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660"/>
  </bookViews>
  <sheets>
    <sheet name="EERR" sheetId="11" r:id="rId1"/>
    <sheet name="Abril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</sheets>
  <externalReferences>
    <externalReference r:id="rId11"/>
  </externalReferences>
  <definedNames>
    <definedName name="_xlnm._FilterDatabase" localSheetId="1" hidden="1">Abril!$A$2:$T$114</definedName>
    <definedName name="_xlnm._FilterDatabase" localSheetId="6" hidden="1">'BCI '!$B$2:$K$138</definedName>
    <definedName name="_xlnm._FilterDatabase" localSheetId="8" hidden="1">'BCI FondRendir'!$A$1:$J$125</definedName>
    <definedName name="_xlnm._FilterDatabase" localSheetId="2" hidden="1">Booking!$B$1:$V$84</definedName>
    <definedName name="_xlnm._FilterDatabase" localSheetId="3" hidden="1">Buuteeq!$A$1:$B$1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R90" i="16" l="1"/>
  <c r="R92" i="16" l="1"/>
  <c r="T92" i="16" s="1"/>
  <c r="S92" i="16"/>
  <c r="U92" i="16" s="1"/>
  <c r="W92" i="16"/>
  <c r="X92" i="16" s="1"/>
  <c r="Y92" i="16" l="1"/>
  <c r="D52" i="11"/>
  <c r="G49" i="11"/>
  <c r="G50" i="11"/>
  <c r="G51" i="11"/>
  <c r="G52" i="11"/>
  <c r="F131" i="15" l="1"/>
  <c r="F130" i="15"/>
  <c r="F129" i="15"/>
  <c r="F128" i="15"/>
  <c r="Y94" i="16" l="1"/>
  <c r="Y96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S90" i="16"/>
  <c r="W90" i="16"/>
  <c r="X90" i="16" s="1"/>
  <c r="R91" i="16"/>
  <c r="S91" i="16"/>
  <c r="W91" i="16"/>
  <c r="Z69" i="16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O59" i="4" s="1"/>
  <c r="N60" i="4"/>
  <c r="N61" i="4"/>
  <c r="Q61" i="4" s="1"/>
  <c r="N62" i="4"/>
  <c r="N63" i="4"/>
  <c r="N64" i="4"/>
  <c r="O64" i="4" s="1"/>
  <c r="N65" i="4"/>
  <c r="O65" i="4" s="1"/>
  <c r="N66" i="4"/>
  <c r="N67" i="4"/>
  <c r="O67" i="4" s="1"/>
  <c r="N6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2" i="4"/>
  <c r="O58" i="4"/>
  <c r="S58" i="4"/>
  <c r="S59" i="4"/>
  <c r="O60" i="4"/>
  <c r="S60" i="4"/>
  <c r="S61" i="4"/>
  <c r="Q62" i="4"/>
  <c r="O62" i="4"/>
  <c r="S62" i="4"/>
  <c r="Q63" i="4"/>
  <c r="O63" i="4"/>
  <c r="S63" i="4"/>
  <c r="Q64" i="4"/>
  <c r="S64" i="4"/>
  <c r="S65" i="4"/>
  <c r="O66" i="4"/>
  <c r="S66" i="4"/>
  <c r="S67" i="4"/>
  <c r="O68" i="4"/>
  <c r="S68" i="4"/>
  <c r="Q365" i="23"/>
  <c r="Q366" i="23"/>
  <c r="Q367" i="23"/>
  <c r="Q368" i="23"/>
  <c r="Q369" i="23"/>
  <c r="Q370" i="23"/>
  <c r="L232" i="23"/>
  <c r="M232" i="23" s="1"/>
  <c r="N232" i="23"/>
  <c r="L233" i="23"/>
  <c r="M233" i="23" s="1"/>
  <c r="N233" i="23"/>
  <c r="L234" i="23"/>
  <c r="M234" i="23" s="1"/>
  <c r="N234" i="23"/>
  <c r="L235" i="23"/>
  <c r="M235" i="23" s="1"/>
  <c r="N235" i="23"/>
  <c r="L236" i="23"/>
  <c r="M236" i="23" s="1"/>
  <c r="N236" i="23"/>
  <c r="L237" i="23"/>
  <c r="M237" i="23" s="1"/>
  <c r="N237" i="23"/>
  <c r="L238" i="23"/>
  <c r="M238" i="23" s="1"/>
  <c r="N238" i="23"/>
  <c r="L239" i="23"/>
  <c r="M239" i="23" s="1"/>
  <c r="N239" i="23"/>
  <c r="L240" i="23"/>
  <c r="M240" i="23"/>
  <c r="N240" i="23"/>
  <c r="L241" i="23"/>
  <c r="M241" i="23" s="1"/>
  <c r="N241" i="23"/>
  <c r="L242" i="23"/>
  <c r="M242" i="23" s="1"/>
  <c r="N242" i="23"/>
  <c r="L243" i="23"/>
  <c r="M243" i="23" s="1"/>
  <c r="N243" i="23"/>
  <c r="L244" i="23"/>
  <c r="M244" i="23" s="1"/>
  <c r="N244" i="23"/>
  <c r="L245" i="23"/>
  <c r="M245" i="23" s="1"/>
  <c r="N245" i="23"/>
  <c r="L246" i="23"/>
  <c r="M246" i="23" s="1"/>
  <c r="N246" i="23"/>
  <c r="L247" i="23"/>
  <c r="M247" i="23" s="1"/>
  <c r="N247" i="23"/>
  <c r="L248" i="23"/>
  <c r="M248" i="23" s="1"/>
  <c r="N248" i="23"/>
  <c r="L249" i="23"/>
  <c r="M249" i="23" s="1"/>
  <c r="N249" i="23"/>
  <c r="L250" i="23"/>
  <c r="M250" i="23" s="1"/>
  <c r="N250" i="23"/>
  <c r="L251" i="23"/>
  <c r="M251" i="23" s="1"/>
  <c r="N251" i="23"/>
  <c r="L252" i="23"/>
  <c r="M252" i="23" s="1"/>
  <c r="N252" i="23"/>
  <c r="L253" i="23"/>
  <c r="M253" i="23" s="1"/>
  <c r="N253" i="23"/>
  <c r="L254" i="23"/>
  <c r="M254" i="23" s="1"/>
  <c r="N254" i="23"/>
  <c r="L255" i="23"/>
  <c r="M255" i="23" s="1"/>
  <c r="N255" i="23"/>
  <c r="L256" i="23"/>
  <c r="M256" i="23" s="1"/>
  <c r="N256" i="23"/>
  <c r="L257" i="23"/>
  <c r="M257" i="23" s="1"/>
  <c r="N257" i="23"/>
  <c r="L258" i="23"/>
  <c r="M258" i="23" s="1"/>
  <c r="N258" i="23"/>
  <c r="L259" i="23"/>
  <c r="M259" i="23" s="1"/>
  <c r="N259" i="23"/>
  <c r="L260" i="23"/>
  <c r="M260" i="23" s="1"/>
  <c r="N260" i="23"/>
  <c r="L261" i="23"/>
  <c r="M261" i="23" s="1"/>
  <c r="N261" i="23"/>
  <c r="L262" i="23"/>
  <c r="M262" i="23" s="1"/>
  <c r="N262" i="23"/>
  <c r="L263" i="23"/>
  <c r="M263" i="23" s="1"/>
  <c r="N263" i="23"/>
  <c r="L264" i="23"/>
  <c r="M264" i="23" s="1"/>
  <c r="N264" i="23"/>
  <c r="L265" i="23"/>
  <c r="M265" i="23"/>
  <c r="N265" i="23"/>
  <c r="L266" i="23"/>
  <c r="M266" i="23" s="1"/>
  <c r="N266" i="23"/>
  <c r="L267" i="23"/>
  <c r="M267" i="23" s="1"/>
  <c r="N267" i="23"/>
  <c r="L268" i="23"/>
  <c r="M268" i="23" s="1"/>
  <c r="N268" i="23"/>
  <c r="L269" i="23"/>
  <c r="M269" i="23" s="1"/>
  <c r="L270" i="23"/>
  <c r="M270" i="23" s="1"/>
  <c r="L271" i="23"/>
  <c r="M271" i="23" s="1"/>
  <c r="L272" i="23"/>
  <c r="M272" i="23" s="1"/>
  <c r="L273" i="23"/>
  <c r="M273" i="23" s="1"/>
  <c r="L274" i="23"/>
  <c r="M274" i="23" s="1"/>
  <c r="L275" i="23"/>
  <c r="M275" i="23" s="1"/>
  <c r="N275" i="23"/>
  <c r="L276" i="23"/>
  <c r="M276" i="23" s="1"/>
  <c r="N276" i="23"/>
  <c r="L277" i="23"/>
  <c r="M277" i="23" s="1"/>
  <c r="N277" i="23"/>
  <c r="L278" i="23"/>
  <c r="M278" i="23" s="1"/>
  <c r="N278" i="23"/>
  <c r="L279" i="23"/>
  <c r="M279" i="23" s="1"/>
  <c r="N279" i="23"/>
  <c r="L280" i="23"/>
  <c r="M280" i="23" s="1"/>
  <c r="N280" i="23"/>
  <c r="L281" i="23"/>
  <c r="M281" i="23" s="1"/>
  <c r="N281" i="23"/>
  <c r="L282" i="23"/>
  <c r="M282" i="23" s="1"/>
  <c r="N282" i="23"/>
  <c r="L283" i="23"/>
  <c r="M283" i="23" s="1"/>
  <c r="N283" i="23"/>
  <c r="L284" i="23"/>
  <c r="M284" i="23" s="1"/>
  <c r="N284" i="23"/>
  <c r="L285" i="23"/>
  <c r="M285" i="23" s="1"/>
  <c r="N285" i="23"/>
  <c r="L286" i="23"/>
  <c r="M286" i="23" s="1"/>
  <c r="N286" i="23"/>
  <c r="L287" i="23"/>
  <c r="M287" i="23" s="1"/>
  <c r="L288" i="23"/>
  <c r="M288" i="23" s="1"/>
  <c r="L289" i="23"/>
  <c r="M289" i="23" s="1"/>
  <c r="L290" i="23"/>
  <c r="M290" i="23" s="1"/>
  <c r="L291" i="23"/>
  <c r="M291" i="23" s="1"/>
  <c r="L292" i="23"/>
  <c r="M292" i="23" s="1"/>
  <c r="L293" i="23"/>
  <c r="M293" i="23" s="1"/>
  <c r="N293" i="23"/>
  <c r="L294" i="23"/>
  <c r="M294" i="23" s="1"/>
  <c r="L295" i="23"/>
  <c r="M295" i="23" s="1"/>
  <c r="N295" i="23"/>
  <c r="L296" i="23"/>
  <c r="M296" i="23" s="1"/>
  <c r="N296" i="23"/>
  <c r="L297" i="23"/>
  <c r="M297" i="23" s="1"/>
  <c r="N297" i="23"/>
  <c r="L298" i="23"/>
  <c r="M298" i="23" s="1"/>
  <c r="N298" i="23"/>
  <c r="L299" i="23"/>
  <c r="M299" i="23" s="1"/>
  <c r="N299" i="23"/>
  <c r="L300" i="23"/>
  <c r="M300" i="23" s="1"/>
  <c r="N300" i="23"/>
  <c r="L301" i="23"/>
  <c r="M301" i="23" s="1"/>
  <c r="L302" i="23"/>
  <c r="M302" i="23" s="1"/>
  <c r="N302" i="23"/>
  <c r="L303" i="23"/>
  <c r="M303" i="23" s="1"/>
  <c r="N303" i="23"/>
  <c r="L304" i="23"/>
  <c r="M304" i="23" s="1"/>
  <c r="N304" i="23"/>
  <c r="L305" i="23"/>
  <c r="M305" i="23" s="1"/>
  <c r="N305" i="23"/>
  <c r="L306" i="23"/>
  <c r="M306" i="23" s="1"/>
  <c r="N306" i="23"/>
  <c r="L307" i="23"/>
  <c r="M307" i="23" s="1"/>
  <c r="L308" i="23"/>
  <c r="M308" i="23" s="1"/>
  <c r="L309" i="23"/>
  <c r="M309" i="23" s="1"/>
  <c r="L310" i="23"/>
  <c r="M310" i="23" s="1"/>
  <c r="L311" i="23"/>
  <c r="M311" i="23" s="1"/>
  <c r="N311" i="23"/>
  <c r="L312" i="23"/>
  <c r="M312" i="23"/>
  <c r="L313" i="23"/>
  <c r="M313" i="23" s="1"/>
  <c r="L314" i="23"/>
  <c r="M314" i="23" s="1"/>
  <c r="L315" i="23"/>
  <c r="M315" i="23" s="1"/>
  <c r="L316" i="23"/>
  <c r="M316" i="23" s="1"/>
  <c r="L317" i="23"/>
  <c r="M317" i="23" s="1"/>
  <c r="N317" i="23"/>
  <c r="L318" i="23"/>
  <c r="M318" i="23" s="1"/>
  <c r="N318" i="23"/>
  <c r="L319" i="23"/>
  <c r="M319" i="23" s="1"/>
  <c r="N319" i="23"/>
  <c r="L320" i="23"/>
  <c r="M320" i="23" s="1"/>
  <c r="N320" i="23"/>
  <c r="L321" i="23"/>
  <c r="M321" i="23" s="1"/>
  <c r="N321" i="23"/>
  <c r="L322" i="23"/>
  <c r="M322" i="23" s="1"/>
  <c r="N322" i="23"/>
  <c r="L323" i="23"/>
  <c r="M323" i="23" s="1"/>
  <c r="L324" i="23"/>
  <c r="M324" i="23" s="1"/>
  <c r="N324" i="23"/>
  <c r="L325" i="23"/>
  <c r="M325" i="23" s="1"/>
  <c r="N325" i="23"/>
  <c r="L326" i="23"/>
  <c r="M326" i="23" s="1"/>
  <c r="N326" i="23"/>
  <c r="L327" i="23"/>
  <c r="M327" i="23" s="1"/>
  <c r="N327" i="23"/>
  <c r="L328" i="23"/>
  <c r="M328" i="23" s="1"/>
  <c r="N328" i="23"/>
  <c r="L329" i="23"/>
  <c r="M329" i="23" s="1"/>
  <c r="N329" i="23"/>
  <c r="L330" i="23"/>
  <c r="M330" i="23" s="1"/>
  <c r="N330" i="23"/>
  <c r="L331" i="23"/>
  <c r="M331" i="23" s="1"/>
  <c r="N331" i="23"/>
  <c r="L332" i="23"/>
  <c r="M332" i="23" s="1"/>
  <c r="L333" i="23"/>
  <c r="M333" i="23" s="1"/>
  <c r="N333" i="23"/>
  <c r="L334" i="23"/>
  <c r="M334" i="23" s="1"/>
  <c r="L335" i="23"/>
  <c r="M335" i="23" s="1"/>
  <c r="L336" i="23"/>
  <c r="M336" i="23"/>
  <c r="L337" i="23"/>
  <c r="M337" i="23" s="1"/>
  <c r="N337" i="23"/>
  <c r="L338" i="23"/>
  <c r="M338" i="23" s="1"/>
  <c r="L339" i="23"/>
  <c r="M339" i="23" s="1"/>
  <c r="L340" i="23"/>
  <c r="M340" i="23" s="1"/>
  <c r="L341" i="23"/>
  <c r="M341" i="23" s="1"/>
  <c r="L342" i="23"/>
  <c r="M342" i="23" s="1"/>
  <c r="L343" i="23"/>
  <c r="M343" i="23" s="1"/>
  <c r="L344" i="23"/>
  <c r="M344" i="23" s="1"/>
  <c r="L345" i="23"/>
  <c r="M345" i="23" s="1"/>
  <c r="L346" i="23"/>
  <c r="M346" i="23" s="1"/>
  <c r="L347" i="23"/>
  <c r="M347" i="23" s="1"/>
  <c r="L348" i="23"/>
  <c r="M348" i="23" s="1"/>
  <c r="L349" i="23"/>
  <c r="M349" i="23" s="1"/>
  <c r="L350" i="23"/>
  <c r="M350" i="23" s="1"/>
  <c r="N350" i="23"/>
  <c r="L351" i="23"/>
  <c r="M351" i="23" s="1"/>
  <c r="L352" i="23"/>
  <c r="M352" i="23" s="1"/>
  <c r="N352" i="23"/>
  <c r="L353" i="23"/>
  <c r="M353" i="23" s="1"/>
  <c r="L354" i="23"/>
  <c r="M354" i="23" s="1"/>
  <c r="L355" i="23"/>
  <c r="M355" i="23" s="1"/>
  <c r="L356" i="23"/>
  <c r="M356" i="23" s="1"/>
  <c r="N356" i="23"/>
  <c r="L357" i="23"/>
  <c r="M357" i="23" s="1"/>
  <c r="N357" i="23"/>
  <c r="L358" i="23"/>
  <c r="M358" i="23" s="1"/>
  <c r="N358" i="23"/>
  <c r="L359" i="23"/>
  <c r="M359" i="23" s="1"/>
  <c r="N359" i="23"/>
  <c r="L360" i="23"/>
  <c r="M360" i="23" s="1"/>
  <c r="N360" i="23"/>
  <c r="L361" i="23"/>
  <c r="M361" i="23" s="1"/>
  <c r="N361" i="23"/>
  <c r="L362" i="23"/>
  <c r="M362" i="23" s="1"/>
  <c r="N362" i="23"/>
  <c r="L363" i="23"/>
  <c r="M363" i="23" s="1"/>
  <c r="N363" i="23"/>
  <c r="L364" i="23"/>
  <c r="M364" i="23" s="1"/>
  <c r="N364" i="23"/>
  <c r="L365" i="23"/>
  <c r="M365" i="23"/>
  <c r="N365" i="23"/>
  <c r="L366" i="23"/>
  <c r="M366" i="23" s="1"/>
  <c r="L367" i="23"/>
  <c r="M367" i="23" s="1"/>
  <c r="L368" i="23"/>
  <c r="M368" i="23" s="1"/>
  <c r="N368" i="23"/>
  <c r="L369" i="23"/>
  <c r="M369" i="23" s="1"/>
  <c r="N369" i="23"/>
  <c r="M370" i="23"/>
  <c r="N370" i="23"/>
  <c r="N231" i="23"/>
  <c r="L231" i="23"/>
  <c r="M231" i="23" s="1"/>
  <c r="U91" i="16" l="1"/>
  <c r="T91" i="16"/>
  <c r="T90" i="16"/>
  <c r="Y91" i="16"/>
  <c r="X91" i="16"/>
  <c r="U90" i="16"/>
  <c r="Y90" i="16" s="1"/>
  <c r="R64" i="4"/>
  <c r="Q65" i="4"/>
  <c r="R65" i="4" s="1"/>
  <c r="R62" i="4"/>
  <c r="O61" i="4"/>
  <c r="R61" i="4"/>
  <c r="R63" i="4"/>
  <c r="R67" i="4"/>
  <c r="Q67" i="4"/>
  <c r="Q59" i="4"/>
  <c r="R59" i="4" s="1"/>
  <c r="Q68" i="4"/>
  <c r="R68" i="4" s="1"/>
  <c r="Q60" i="4"/>
  <c r="R60" i="4" s="1"/>
  <c r="Q66" i="4"/>
  <c r="R66" i="4" s="1"/>
  <c r="Q58" i="4"/>
  <c r="R58" i="4" s="1"/>
  <c r="R37" i="16" l="1"/>
  <c r="S37" i="16"/>
  <c r="Z37" i="16"/>
  <c r="AB37" i="16"/>
  <c r="AA37" i="16" s="1"/>
  <c r="R38" i="16"/>
  <c r="S38" i="16"/>
  <c r="Z38" i="16"/>
  <c r="AB38" i="16"/>
  <c r="AA38" i="16" s="1"/>
  <c r="R39" i="16"/>
  <c r="S39" i="16"/>
  <c r="Z39" i="16"/>
  <c r="AB39" i="16"/>
  <c r="AA39" i="16" s="1"/>
  <c r="R40" i="16"/>
  <c r="S40" i="16"/>
  <c r="W40" i="16"/>
  <c r="Z40" i="16"/>
  <c r="AB40" i="16"/>
  <c r="AA40" i="16" s="1"/>
  <c r="R41" i="16"/>
  <c r="S41" i="16"/>
  <c r="N367" i="23" s="1"/>
  <c r="Z41" i="16"/>
  <c r="AB41" i="16"/>
  <c r="AA41" i="16" s="1"/>
  <c r="R42" i="16"/>
  <c r="S42" i="16"/>
  <c r="Z42" i="16"/>
  <c r="AB42" i="16"/>
  <c r="AA42" i="16" s="1"/>
  <c r="R43" i="16"/>
  <c r="S43" i="16"/>
  <c r="W43" i="16"/>
  <c r="Z43" i="16"/>
  <c r="AB43" i="16"/>
  <c r="AA43" i="16" s="1"/>
  <c r="R44" i="16"/>
  <c r="S44" i="16"/>
  <c r="N344" i="23" s="1"/>
  <c r="Z44" i="16"/>
  <c r="AB44" i="16"/>
  <c r="AA44" i="16" s="1"/>
  <c r="R45" i="16"/>
  <c r="S45" i="16"/>
  <c r="N345" i="23" s="1"/>
  <c r="Z45" i="16"/>
  <c r="AB45" i="16"/>
  <c r="AA45" i="16" s="1"/>
  <c r="R46" i="16"/>
  <c r="S46" i="16"/>
  <c r="V46" i="16"/>
  <c r="Z46" i="16"/>
  <c r="AB46" i="16"/>
  <c r="AA46" i="16" s="1"/>
  <c r="R47" i="16"/>
  <c r="T47" i="16" s="1"/>
  <c r="S47" i="16"/>
  <c r="N347" i="23" s="1"/>
  <c r="Z47" i="16"/>
  <c r="AB47" i="16"/>
  <c r="AA47" i="16" s="1"/>
  <c r="R48" i="16"/>
  <c r="S48" i="16"/>
  <c r="N348" i="23" s="1"/>
  <c r="Z48" i="16"/>
  <c r="AB48" i="16"/>
  <c r="AA48" i="16" s="1"/>
  <c r="R49" i="16"/>
  <c r="S49" i="16"/>
  <c r="W49" i="16"/>
  <c r="Z49" i="16"/>
  <c r="AB49" i="16"/>
  <c r="AA49" i="16" s="1"/>
  <c r="R50" i="16"/>
  <c r="S50" i="16"/>
  <c r="Z50" i="16"/>
  <c r="AB50" i="16"/>
  <c r="AA50" i="16" s="1"/>
  <c r="R51" i="16"/>
  <c r="S51" i="16"/>
  <c r="Z51" i="16"/>
  <c r="AB51" i="16"/>
  <c r="AA51" i="16" s="1"/>
  <c r="R52" i="16"/>
  <c r="S52" i="16"/>
  <c r="Z52" i="16"/>
  <c r="AB52" i="16"/>
  <c r="AA52" i="16" s="1"/>
  <c r="R53" i="16"/>
  <c r="S53" i="16"/>
  <c r="Z53" i="16"/>
  <c r="AB53" i="16"/>
  <c r="AA53" i="16" s="1"/>
  <c r="R54" i="16"/>
  <c r="S54" i="16"/>
  <c r="W54" i="16"/>
  <c r="Z54" i="16"/>
  <c r="AB54" i="16"/>
  <c r="AA54" i="16" s="1"/>
  <c r="R55" i="16"/>
  <c r="S55" i="16"/>
  <c r="Z55" i="16"/>
  <c r="AB55" i="16"/>
  <c r="AA55" i="16" s="1"/>
  <c r="R56" i="16"/>
  <c r="S56" i="16"/>
  <c r="Z56" i="16"/>
  <c r="AB56" i="16"/>
  <c r="AA56" i="16" s="1"/>
  <c r="R57" i="16"/>
  <c r="S57" i="16"/>
  <c r="Z57" i="16"/>
  <c r="AB57" i="16"/>
  <c r="AA57" i="16" s="1"/>
  <c r="R58" i="16"/>
  <c r="S58" i="16"/>
  <c r="Z58" i="16"/>
  <c r="AB58" i="16"/>
  <c r="AA58" i="16" s="1"/>
  <c r="R59" i="16"/>
  <c r="S59" i="16"/>
  <c r="V59" i="16"/>
  <c r="Z59" i="16"/>
  <c r="AB59" i="16"/>
  <c r="AA59" i="16" s="1"/>
  <c r="R60" i="16"/>
  <c r="S60" i="16"/>
  <c r="V60" i="16"/>
  <c r="Z60" i="16"/>
  <c r="AB60" i="16"/>
  <c r="AA60" i="16" s="1"/>
  <c r="I70" i="16"/>
  <c r="J70" i="16"/>
  <c r="K70" i="16"/>
  <c r="L70" i="16"/>
  <c r="M70" i="16"/>
  <c r="N70" i="16"/>
  <c r="V67" i="16"/>
  <c r="V68" i="16"/>
  <c r="V69" i="16"/>
  <c r="T38" i="16" l="1"/>
  <c r="U59" i="16"/>
  <c r="T58" i="16"/>
  <c r="T50" i="16"/>
  <c r="T54" i="16"/>
  <c r="AC50" i="16"/>
  <c r="T43" i="16"/>
  <c r="U46" i="16"/>
  <c r="N349" i="23"/>
  <c r="U54" i="16"/>
  <c r="Y54" i="16" s="1"/>
  <c r="U43" i="16"/>
  <c r="N353" i="23"/>
  <c r="U39" i="16"/>
  <c r="N343" i="23"/>
  <c r="T37" i="16"/>
  <c r="N342" i="23"/>
  <c r="X49" i="16"/>
  <c r="X54" i="16"/>
  <c r="X40" i="16"/>
  <c r="X43" i="16"/>
  <c r="Y43" i="16"/>
  <c r="T42" i="16"/>
  <c r="U49" i="16"/>
  <c r="Y49" i="16" s="1"/>
  <c r="AC47" i="16"/>
  <c r="T39" i="16"/>
  <c r="U44" i="16"/>
  <c r="T51" i="16"/>
  <c r="U40" i="16"/>
  <c r="Y40" i="16" s="1"/>
  <c r="T46" i="16"/>
  <c r="T57" i="16"/>
  <c r="U56" i="16"/>
  <c r="T45" i="16"/>
  <c r="AC43" i="16"/>
  <c r="U51" i="16"/>
  <c r="U48" i="16"/>
  <c r="U52" i="16"/>
  <c r="T49" i="16"/>
  <c r="T41" i="16"/>
  <c r="AC39" i="16"/>
  <c r="U60" i="16"/>
  <c r="T53" i="16"/>
  <c r="AC51" i="16"/>
  <c r="U50" i="16"/>
  <c r="AC49" i="16"/>
  <c r="AC58" i="16"/>
  <c r="AC46" i="16"/>
  <c r="U42" i="16"/>
  <c r="AC57" i="16"/>
  <c r="AC42" i="16"/>
  <c r="AC38" i="16"/>
  <c r="U58" i="16"/>
  <c r="T40" i="16"/>
  <c r="T52" i="16"/>
  <c r="T48" i="16"/>
  <c r="T44" i="16"/>
  <c r="T55" i="16"/>
  <c r="T60" i="16"/>
  <c r="T56" i="16"/>
  <c r="U38" i="16"/>
  <c r="T59" i="16"/>
  <c r="U57" i="16"/>
  <c r="AC54" i="16"/>
  <c r="U47" i="16"/>
  <c r="AC60" i="16"/>
  <c r="AC52" i="16"/>
  <c r="AC44" i="16"/>
  <c r="U41" i="16"/>
  <c r="AC41" i="16"/>
  <c r="AC59" i="16"/>
  <c r="AC56" i="16"/>
  <c r="U53" i="16"/>
  <c r="AC48" i="16"/>
  <c r="U45" i="16"/>
  <c r="AC40" i="16"/>
  <c r="U37" i="16"/>
  <c r="AC53" i="16"/>
  <c r="AC45" i="16"/>
  <c r="AC37" i="16"/>
  <c r="U55" i="16"/>
  <c r="AC55" i="16"/>
  <c r="R3" i="16" l="1"/>
  <c r="R82" i="16" l="1"/>
  <c r="S82" i="16"/>
  <c r="R83" i="16"/>
  <c r="S83" i="16"/>
  <c r="R84" i="16"/>
  <c r="S84" i="16"/>
  <c r="R74" i="16"/>
  <c r="S74" i="16"/>
  <c r="N301" i="23" s="1"/>
  <c r="Z74" i="16"/>
  <c r="R75" i="16"/>
  <c r="S75" i="16"/>
  <c r="Z75" i="16"/>
  <c r="R76" i="16"/>
  <c r="S76" i="16"/>
  <c r="Z76" i="16"/>
  <c r="R77" i="16"/>
  <c r="S77" i="16"/>
  <c r="N346" i="23" s="1"/>
  <c r="Z77" i="16"/>
  <c r="R78" i="16"/>
  <c r="S78" i="16"/>
  <c r="Z78" i="16"/>
  <c r="R79" i="16"/>
  <c r="S79" i="16"/>
  <c r="Z79" i="16"/>
  <c r="U79" i="16" l="1"/>
  <c r="T75" i="16"/>
  <c r="U74" i="16"/>
  <c r="T78" i="16"/>
  <c r="U76" i="16"/>
  <c r="N351" i="23"/>
  <c r="U75" i="16"/>
  <c r="N339" i="23"/>
  <c r="T82" i="16"/>
  <c r="T74" i="16"/>
  <c r="U84" i="16"/>
  <c r="U82" i="16"/>
  <c r="T79" i="16"/>
  <c r="T77" i="16"/>
  <c r="T76" i="16"/>
  <c r="U78" i="16"/>
  <c r="T84" i="16"/>
  <c r="T83" i="16"/>
  <c r="U77" i="16"/>
  <c r="U83" i="16"/>
  <c r="I80" i="16" l="1"/>
  <c r="L40" i="23"/>
  <c r="N40" i="23"/>
  <c r="M40" i="23" l="1"/>
  <c r="W38" i="16"/>
  <c r="F48" i="11"/>
  <c r="X38" i="16" l="1"/>
  <c r="Y38" i="16"/>
  <c r="J135" i="14"/>
  <c r="H156" i="15"/>
  <c r="Z72" i="16"/>
  <c r="AB72" i="16"/>
  <c r="AA72" i="16" s="1"/>
  <c r="Z73" i="16"/>
  <c r="AB73" i="16"/>
  <c r="AA73" i="16" s="1"/>
  <c r="Z4" i="16"/>
  <c r="AB4" i="16"/>
  <c r="AA4" i="16" s="1"/>
  <c r="Z5" i="16"/>
  <c r="AB5" i="16"/>
  <c r="AA5" i="16" s="1"/>
  <c r="Z6" i="16"/>
  <c r="AB6" i="16"/>
  <c r="Z7" i="16"/>
  <c r="AB7" i="16"/>
  <c r="Z8" i="16"/>
  <c r="AB8" i="16"/>
  <c r="Z9" i="16"/>
  <c r="AB9" i="16"/>
  <c r="Z10" i="16"/>
  <c r="AB10" i="16"/>
  <c r="Z11" i="16"/>
  <c r="AB11" i="16"/>
  <c r="AA11" i="16" s="1"/>
  <c r="Z12" i="16"/>
  <c r="AB12" i="16"/>
  <c r="AA12" i="16" s="1"/>
  <c r="Z13" i="16"/>
  <c r="AB13" i="16"/>
  <c r="AA13" i="16" s="1"/>
  <c r="Z14" i="16"/>
  <c r="AB14" i="16"/>
  <c r="Z15" i="16"/>
  <c r="AB15" i="16"/>
  <c r="AA15" i="16" s="1"/>
  <c r="Z16" i="16"/>
  <c r="AB16" i="16"/>
  <c r="Z17" i="16"/>
  <c r="AB17" i="16"/>
  <c r="Z18" i="16"/>
  <c r="AB18" i="16"/>
  <c r="Z19" i="16"/>
  <c r="AB19" i="16"/>
  <c r="AA19" i="16" s="1"/>
  <c r="Z20" i="16"/>
  <c r="AB20" i="16"/>
  <c r="AA20" i="16" s="1"/>
  <c r="Z21" i="16"/>
  <c r="AB21" i="16"/>
  <c r="AA21" i="16" s="1"/>
  <c r="Z22" i="16"/>
  <c r="AB22" i="16"/>
  <c r="AA22" i="16" s="1"/>
  <c r="Z23" i="16"/>
  <c r="AB23" i="16"/>
  <c r="AA23" i="16" s="1"/>
  <c r="Z24" i="16"/>
  <c r="AB24" i="16"/>
  <c r="AA24" i="16" s="1"/>
  <c r="Z25" i="16"/>
  <c r="AB25" i="16"/>
  <c r="Z26" i="16"/>
  <c r="AB26" i="16"/>
  <c r="Z27" i="16"/>
  <c r="AB27" i="16"/>
  <c r="AA27" i="16" s="1"/>
  <c r="Z28" i="16"/>
  <c r="AB28" i="16"/>
  <c r="AA28" i="16" s="1"/>
  <c r="Z29" i="16"/>
  <c r="AB29" i="16"/>
  <c r="AA29" i="16" s="1"/>
  <c r="Z30" i="16"/>
  <c r="AB30" i="16"/>
  <c r="AA30" i="16" s="1"/>
  <c r="Z31" i="16"/>
  <c r="AB31" i="16"/>
  <c r="AA31" i="16" s="1"/>
  <c r="Z32" i="16"/>
  <c r="AB32" i="16"/>
  <c r="AA32" i="16" s="1"/>
  <c r="Z33" i="16"/>
  <c r="AB33" i="16"/>
  <c r="AA33" i="16" s="1"/>
  <c r="Z34" i="16"/>
  <c r="AB34" i="16"/>
  <c r="Z35" i="16"/>
  <c r="AB35" i="16"/>
  <c r="AA35" i="16" s="1"/>
  <c r="Z36" i="16"/>
  <c r="AB36" i="16"/>
  <c r="AA36" i="16" s="1"/>
  <c r="Z61" i="16"/>
  <c r="AB61" i="16"/>
  <c r="AA61" i="16" s="1"/>
  <c r="Z62" i="16"/>
  <c r="AB62" i="16"/>
  <c r="AA62" i="16" s="1"/>
  <c r="Z63" i="16"/>
  <c r="AB63" i="16"/>
  <c r="AA63" i="16" s="1"/>
  <c r="Z64" i="16"/>
  <c r="AB64" i="16"/>
  <c r="AA64" i="16" s="1"/>
  <c r="Z65" i="16"/>
  <c r="AB65" i="16"/>
  <c r="AA65" i="16" s="1"/>
  <c r="Z66" i="16"/>
  <c r="AB66" i="16"/>
  <c r="AA66" i="16" s="1"/>
  <c r="Z67" i="16"/>
  <c r="AB67" i="16"/>
  <c r="Z68" i="16"/>
  <c r="AB68" i="16"/>
  <c r="AB69" i="16"/>
  <c r="AA69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O51" i="4"/>
  <c r="S51" i="4"/>
  <c r="U51" i="4"/>
  <c r="O52" i="4"/>
  <c r="S52" i="4"/>
  <c r="U52" i="4"/>
  <c r="O53" i="4"/>
  <c r="S53" i="4"/>
  <c r="U53" i="4"/>
  <c r="O54" i="4"/>
  <c r="S54" i="4"/>
  <c r="U54" i="4"/>
  <c r="O55" i="4"/>
  <c r="S55" i="4"/>
  <c r="U55" i="4"/>
  <c r="O56" i="4"/>
  <c r="S56" i="4"/>
  <c r="U56" i="4"/>
  <c r="O57" i="4"/>
  <c r="S57" i="4"/>
  <c r="U57" i="4"/>
  <c r="U58" i="4"/>
  <c r="U59" i="4"/>
  <c r="U60" i="4"/>
  <c r="U61" i="4"/>
  <c r="U62" i="4"/>
  <c r="R72" i="16"/>
  <c r="S72" i="16"/>
  <c r="R73" i="16"/>
  <c r="S73" i="16"/>
  <c r="S71" i="16"/>
  <c r="N287" i="23" s="1"/>
  <c r="R71" i="16"/>
  <c r="R63" i="16"/>
  <c r="S63" i="16"/>
  <c r="R64" i="16"/>
  <c r="S64" i="16"/>
  <c r="R65" i="16"/>
  <c r="S65" i="16"/>
  <c r="R66" i="16"/>
  <c r="S66" i="16"/>
  <c r="R67" i="16"/>
  <c r="S67" i="16"/>
  <c r="R68" i="16"/>
  <c r="S68" i="16"/>
  <c r="R69" i="16"/>
  <c r="S69" i="16"/>
  <c r="Q57" i="4" l="1"/>
  <c r="V58" i="16" s="1"/>
  <c r="V57" i="4"/>
  <c r="Q55" i="4"/>
  <c r="V55" i="16" s="1"/>
  <c r="Q54" i="4"/>
  <c r="V56" i="16" s="1"/>
  <c r="R53" i="4"/>
  <c r="Q56" i="4"/>
  <c r="V57" i="16" s="1"/>
  <c r="V61" i="4"/>
  <c r="Q53" i="4"/>
  <c r="V54" i="16" s="1"/>
  <c r="Q52" i="4"/>
  <c r="V51" i="16" s="1"/>
  <c r="Q51" i="4"/>
  <c r="V53" i="16" s="1"/>
  <c r="AC69" i="16"/>
  <c r="U71" i="16"/>
  <c r="T71" i="16"/>
  <c r="T63" i="16"/>
  <c r="T72" i="16"/>
  <c r="U69" i="16"/>
  <c r="T68" i="16"/>
  <c r="U67" i="16"/>
  <c r="T73" i="16"/>
  <c r="U63" i="16"/>
  <c r="U72" i="16"/>
  <c r="U65" i="16"/>
  <c r="AC72" i="16"/>
  <c r="T67" i="16"/>
  <c r="T64" i="16"/>
  <c r="AC67" i="16"/>
  <c r="T69" i="16"/>
  <c r="T66" i="16"/>
  <c r="T65" i="16"/>
  <c r="AC68" i="16"/>
  <c r="AA14" i="16"/>
  <c r="AA8" i="16"/>
  <c r="AA16" i="16"/>
  <c r="AC63" i="16"/>
  <c r="AA67" i="16"/>
  <c r="AA7" i="16"/>
  <c r="AC66" i="16"/>
  <c r="AC64" i="16"/>
  <c r="AA6" i="16"/>
  <c r="AA9" i="16"/>
  <c r="AA17" i="16"/>
  <c r="AA25" i="16"/>
  <c r="V54" i="4"/>
  <c r="V62" i="4"/>
  <c r="AC73" i="16"/>
  <c r="AC65" i="16"/>
  <c r="AA34" i="16"/>
  <c r="AA18" i="16"/>
  <c r="AA68" i="16"/>
  <c r="AA10" i="16"/>
  <c r="AA26" i="16"/>
  <c r="L438" i="23"/>
  <c r="M438" i="23" s="1"/>
  <c r="U73" i="16"/>
  <c r="U68" i="16"/>
  <c r="U66" i="16"/>
  <c r="U64" i="16"/>
  <c r="Z89" i="16"/>
  <c r="R52" i="4" l="1"/>
  <c r="V62" i="16"/>
  <c r="R55" i="4"/>
  <c r="V65" i="16"/>
  <c r="V53" i="4"/>
  <c r="V63" i="16"/>
  <c r="R57" i="4"/>
  <c r="V56" i="4"/>
  <c r="V51" i="4"/>
  <c r="V61" i="16"/>
  <c r="R54" i="4"/>
  <c r="V66" i="16"/>
  <c r="V55" i="4"/>
  <c r="R56" i="4"/>
  <c r="V58" i="4"/>
  <c r="V59" i="4"/>
  <c r="V52" i="4"/>
  <c r="V60" i="4"/>
  <c r="R51" i="4"/>
  <c r="D53" i="11"/>
  <c r="D54" i="11" s="1"/>
  <c r="F84" i="8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42" i="15"/>
  <c r="Y43" i="15"/>
  <c r="Y44" i="15"/>
  <c r="Y45" i="15"/>
  <c r="Y3" i="15"/>
  <c r="L3" i="23" l="1"/>
  <c r="M3" i="23" s="1"/>
  <c r="L4" i="23"/>
  <c r="M4" i="23" s="1"/>
  <c r="L5" i="23"/>
  <c r="L6" i="23"/>
  <c r="L7" i="23"/>
  <c r="L8" i="23"/>
  <c r="M8" i="23" s="1"/>
  <c r="L9" i="23"/>
  <c r="L10" i="23"/>
  <c r="L11" i="23"/>
  <c r="L12" i="23"/>
  <c r="L13" i="23"/>
  <c r="L14" i="23"/>
  <c r="L15" i="23"/>
  <c r="L16" i="23"/>
  <c r="W18" i="16" s="1"/>
  <c r="L17" i="23"/>
  <c r="L18" i="23"/>
  <c r="L19" i="23"/>
  <c r="L20" i="23"/>
  <c r="L21" i="23"/>
  <c r="M21" i="23" s="1"/>
  <c r="L22" i="23"/>
  <c r="L23" i="23"/>
  <c r="M23" i="23" s="1"/>
  <c r="L24" i="23"/>
  <c r="M24" i="23" s="1"/>
  <c r="L25" i="23"/>
  <c r="L26" i="23"/>
  <c r="M26" i="23" s="1"/>
  <c r="L27" i="23"/>
  <c r="M27" i="23" s="1"/>
  <c r="L28" i="23"/>
  <c r="L29" i="23"/>
  <c r="M29" i="23" s="1"/>
  <c r="L30" i="23"/>
  <c r="M30" i="23" s="1"/>
  <c r="L31" i="23"/>
  <c r="L32" i="23"/>
  <c r="W57" i="16" s="1"/>
  <c r="N32" i="23"/>
  <c r="L33" i="23"/>
  <c r="L34" i="23"/>
  <c r="L35" i="23"/>
  <c r="M35" i="23" s="1"/>
  <c r="L36" i="23"/>
  <c r="L37" i="23"/>
  <c r="W37" i="16" s="1"/>
  <c r="L38" i="23"/>
  <c r="L39" i="23"/>
  <c r="L41" i="23"/>
  <c r="L42" i="23"/>
  <c r="L43" i="23"/>
  <c r="M43" i="23" s="1"/>
  <c r="L44" i="23"/>
  <c r="L45" i="23"/>
  <c r="W39" i="16" s="1"/>
  <c r="L46" i="23"/>
  <c r="L47" i="23"/>
  <c r="L48" i="23"/>
  <c r="W88" i="16" s="1"/>
  <c r="L49" i="23"/>
  <c r="L50" i="23"/>
  <c r="W89" i="16" s="1"/>
  <c r="L51" i="23"/>
  <c r="L52" i="23"/>
  <c r="L53" i="23"/>
  <c r="N53" i="23"/>
  <c r="L54" i="23"/>
  <c r="L55" i="23"/>
  <c r="L56" i="23"/>
  <c r="M56" i="23" s="1"/>
  <c r="L57" i="23"/>
  <c r="M57" i="23" s="1"/>
  <c r="L58" i="23"/>
  <c r="L59" i="23"/>
  <c r="L60" i="23"/>
  <c r="M60" i="23" s="1"/>
  <c r="L61" i="23"/>
  <c r="M61" i="23" s="1"/>
  <c r="L62" i="23"/>
  <c r="L63" i="23"/>
  <c r="L64" i="23"/>
  <c r="L65" i="23"/>
  <c r="L66" i="23"/>
  <c r="L67" i="23"/>
  <c r="L68" i="23"/>
  <c r="M68" i="23" s="1"/>
  <c r="L69" i="23"/>
  <c r="L70" i="23"/>
  <c r="M70" i="23" s="1"/>
  <c r="L71" i="23"/>
  <c r="M71" i="23" s="1"/>
  <c r="L72" i="23"/>
  <c r="L73" i="23"/>
  <c r="L74" i="23"/>
  <c r="L75" i="23"/>
  <c r="L76" i="23"/>
  <c r="M76" i="23" s="1"/>
  <c r="L77" i="23"/>
  <c r="L78" i="23"/>
  <c r="L79" i="23"/>
  <c r="L80" i="23"/>
  <c r="L81" i="23"/>
  <c r="L82" i="23"/>
  <c r="L83" i="23"/>
  <c r="L84" i="23"/>
  <c r="M84" i="23" s="1"/>
  <c r="L85" i="23"/>
  <c r="M85" i="23" s="1"/>
  <c r="L86" i="23"/>
  <c r="L87" i="23"/>
  <c r="L88" i="23"/>
  <c r="L89" i="23"/>
  <c r="L90" i="23"/>
  <c r="L91" i="23"/>
  <c r="M91" i="23" s="1"/>
  <c r="L92" i="23"/>
  <c r="M92" i="23" s="1"/>
  <c r="L93" i="23"/>
  <c r="N93" i="23"/>
  <c r="L94" i="23"/>
  <c r="L95" i="23"/>
  <c r="L96" i="23"/>
  <c r="L97" i="23"/>
  <c r="L98" i="23"/>
  <c r="L99" i="23"/>
  <c r="L100" i="23"/>
  <c r="W41" i="16" s="1"/>
  <c r="L101" i="23"/>
  <c r="L102" i="23"/>
  <c r="L103" i="23"/>
  <c r="L104" i="23"/>
  <c r="L105" i="23"/>
  <c r="L106" i="23"/>
  <c r="L107" i="23"/>
  <c r="M107" i="23" s="1"/>
  <c r="L108" i="23"/>
  <c r="N108" i="23"/>
  <c r="L109" i="23"/>
  <c r="L110" i="23"/>
  <c r="L111" i="23"/>
  <c r="M111" i="23" s="1"/>
  <c r="L112" i="23"/>
  <c r="L113" i="23"/>
  <c r="L114" i="23"/>
  <c r="L115" i="23"/>
  <c r="L116" i="23"/>
  <c r="L117" i="23"/>
  <c r="M117" i="23" s="1"/>
  <c r="L118" i="23"/>
  <c r="M118" i="23" s="1"/>
  <c r="L119" i="23"/>
  <c r="M119" i="23" s="1"/>
  <c r="L120" i="23"/>
  <c r="M120" i="23" s="1"/>
  <c r="L121" i="23"/>
  <c r="M121" i="23" s="1"/>
  <c r="L122" i="23"/>
  <c r="M122" i="23" s="1"/>
  <c r="L123" i="23"/>
  <c r="L124" i="23"/>
  <c r="M124" i="23" s="1"/>
  <c r="L125" i="23"/>
  <c r="M125" i="23" s="1"/>
  <c r="L126" i="23"/>
  <c r="M126" i="23" s="1"/>
  <c r="L127" i="23"/>
  <c r="M127" i="23" s="1"/>
  <c r="L128" i="23"/>
  <c r="M128" i="23" s="1"/>
  <c r="L129" i="23"/>
  <c r="L130" i="23"/>
  <c r="M130" i="23" s="1"/>
  <c r="L131" i="23"/>
  <c r="M131" i="23" s="1"/>
  <c r="L132" i="23"/>
  <c r="M132" i="23" s="1"/>
  <c r="L133" i="23"/>
  <c r="M133" i="23" s="1"/>
  <c r="L134" i="23"/>
  <c r="M134" i="23" s="1"/>
  <c r="L135" i="23"/>
  <c r="M135" i="23" s="1"/>
  <c r="N135" i="23"/>
  <c r="L136" i="23"/>
  <c r="W69" i="16" s="1"/>
  <c r="L137" i="23"/>
  <c r="M137" i="23" s="1"/>
  <c r="L138" i="23"/>
  <c r="M138" i="23" s="1"/>
  <c r="L139" i="23"/>
  <c r="M139" i="23" s="1"/>
  <c r="L140" i="23"/>
  <c r="M140" i="23" s="1"/>
  <c r="L141" i="23"/>
  <c r="L142" i="23"/>
  <c r="M142" i="23" s="1"/>
  <c r="L143" i="23"/>
  <c r="M143" i="23" s="1"/>
  <c r="L144" i="23"/>
  <c r="M144" i="23" s="1"/>
  <c r="L145" i="23"/>
  <c r="M145" i="23" s="1"/>
  <c r="L146" i="23"/>
  <c r="M146" i="23" s="1"/>
  <c r="N146" i="23"/>
  <c r="L147" i="23"/>
  <c r="M147" i="23" s="1"/>
  <c r="L148" i="23"/>
  <c r="M148" i="23" s="1"/>
  <c r="L149" i="23"/>
  <c r="M149" i="23" s="1"/>
  <c r="L150" i="23"/>
  <c r="M150" i="23" s="1"/>
  <c r="L151" i="23"/>
  <c r="M151" i="23" s="1"/>
  <c r="L152" i="23"/>
  <c r="M152" i="23" s="1"/>
  <c r="N152" i="23"/>
  <c r="L153" i="23"/>
  <c r="M153" i="23" s="1"/>
  <c r="L154" i="23"/>
  <c r="M154" i="23" s="1"/>
  <c r="N154" i="23"/>
  <c r="L155" i="23"/>
  <c r="M155" i="23" s="1"/>
  <c r="L156" i="23"/>
  <c r="M156" i="23" s="1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L162" i="23"/>
  <c r="M162" i="23" s="1"/>
  <c r="L163" i="23"/>
  <c r="M163" i="23" s="1"/>
  <c r="N163" i="23"/>
  <c r="L164" i="23"/>
  <c r="M164" i="23" s="1"/>
  <c r="L165" i="23"/>
  <c r="N165" i="23"/>
  <c r="L166" i="23"/>
  <c r="N166" i="23"/>
  <c r="L167" i="23"/>
  <c r="M167" i="23" s="1"/>
  <c r="L168" i="23"/>
  <c r="M168" i="23" s="1"/>
  <c r="N168" i="23"/>
  <c r="L169" i="23"/>
  <c r="M169" i="23" s="1"/>
  <c r="N169" i="23"/>
  <c r="L170" i="23"/>
  <c r="N170" i="23"/>
  <c r="L171" i="23"/>
  <c r="N171" i="23"/>
  <c r="L172" i="23"/>
  <c r="N172" i="23"/>
  <c r="L173" i="23"/>
  <c r="N173" i="23"/>
  <c r="L174" i="23"/>
  <c r="M174" i="23" s="1"/>
  <c r="L175" i="23"/>
  <c r="M175" i="23" s="1"/>
  <c r="L176" i="23"/>
  <c r="M176" i="23" s="1"/>
  <c r="L177" i="23"/>
  <c r="M177" i="23" s="1"/>
  <c r="L178" i="23"/>
  <c r="M178" i="23" s="1"/>
  <c r="L179" i="23"/>
  <c r="M179" i="23" s="1"/>
  <c r="L180" i="23"/>
  <c r="M180" i="23" s="1"/>
  <c r="L181" i="23"/>
  <c r="M181" i="23" s="1"/>
  <c r="L182" i="23"/>
  <c r="M182" i="23" s="1"/>
  <c r="L183" i="23"/>
  <c r="M183" i="23" s="1"/>
  <c r="L184" i="23"/>
  <c r="M184" i="23" s="1"/>
  <c r="L185" i="23"/>
  <c r="M185" i="23" s="1"/>
  <c r="L186" i="23"/>
  <c r="M186" i="23" s="1"/>
  <c r="L187" i="23"/>
  <c r="M187" i="23" s="1"/>
  <c r="L188" i="23"/>
  <c r="M188" i="23" s="1"/>
  <c r="N188" i="23"/>
  <c r="L189" i="23"/>
  <c r="M189" i="23" s="1"/>
  <c r="L190" i="23"/>
  <c r="M190" i="23" s="1"/>
  <c r="N190" i="23"/>
  <c r="L191" i="23"/>
  <c r="M191" i="23" s="1"/>
  <c r="N191" i="23"/>
  <c r="L192" i="23"/>
  <c r="N192" i="23"/>
  <c r="L193" i="23"/>
  <c r="M193" i="23" s="1"/>
  <c r="L194" i="23"/>
  <c r="N194" i="23"/>
  <c r="L195" i="23"/>
  <c r="N195" i="23"/>
  <c r="L196" i="23"/>
  <c r="N196" i="23"/>
  <c r="L197" i="23"/>
  <c r="M197" i="23" s="1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L221" i="23"/>
  <c r="M221" i="23" s="1"/>
  <c r="N221" i="23"/>
  <c r="L222" i="23"/>
  <c r="M222" i="23" s="1"/>
  <c r="N222" i="23"/>
  <c r="L223" i="23"/>
  <c r="M223" i="23" s="1"/>
  <c r="N223" i="23"/>
  <c r="N224" i="23"/>
  <c r="N225" i="23"/>
  <c r="N226" i="23"/>
  <c r="L227" i="23"/>
  <c r="M227" i="23" s="1"/>
  <c r="N227" i="23"/>
  <c r="L228" i="23"/>
  <c r="M228" i="23" s="1"/>
  <c r="N228" i="23"/>
  <c r="L229" i="23"/>
  <c r="M229" i="23" s="1"/>
  <c r="N229" i="23"/>
  <c r="L230" i="23"/>
  <c r="M230" i="23" s="1"/>
  <c r="N230" i="23"/>
  <c r="M104" i="23" l="1"/>
  <c r="W50" i="16"/>
  <c r="W51" i="16"/>
  <c r="X51" i="16" s="1"/>
  <c r="W73" i="16"/>
  <c r="Y73" i="16" s="1"/>
  <c r="X69" i="16"/>
  <c r="Y69" i="16"/>
  <c r="X57" i="16"/>
  <c r="Y57" i="16"/>
  <c r="W59" i="16"/>
  <c r="X37" i="16"/>
  <c r="Y37" i="16"/>
  <c r="X89" i="16"/>
  <c r="M87" i="23"/>
  <c r="W46" i="16"/>
  <c r="X88" i="16"/>
  <c r="X41" i="16"/>
  <c r="Y41" i="16"/>
  <c r="W56" i="16"/>
  <c r="W42" i="16"/>
  <c r="X39" i="16"/>
  <c r="Y39" i="16"/>
  <c r="M141" i="23"/>
  <c r="W47" i="16"/>
  <c r="W19" i="16"/>
  <c r="W45" i="16"/>
  <c r="M106" i="23"/>
  <c r="W53" i="16"/>
  <c r="M110" i="23"/>
  <c r="W44" i="16"/>
  <c r="M94" i="23"/>
  <c r="W60" i="16"/>
  <c r="W52" i="16"/>
  <c r="M86" i="23"/>
  <c r="W48" i="16"/>
  <c r="W55" i="16"/>
  <c r="W35" i="16"/>
  <c r="M75" i="23"/>
  <c r="W58" i="16"/>
  <c r="W33" i="16"/>
  <c r="W66" i="16"/>
  <c r="M54" i="23"/>
  <c r="W34" i="16"/>
  <c r="M79" i="23"/>
  <c r="W79" i="16"/>
  <c r="M136" i="23"/>
  <c r="M129" i="23"/>
  <c r="M42" i="23"/>
  <c r="W68" i="16"/>
  <c r="M82" i="23"/>
  <c r="W31" i="16"/>
  <c r="W65" i="16"/>
  <c r="M63" i="23"/>
  <c r="W77" i="16"/>
  <c r="M80" i="23"/>
  <c r="W21" i="16"/>
  <c r="M69" i="23"/>
  <c r="W78" i="16"/>
  <c r="M62" i="23"/>
  <c r="X18" i="16"/>
  <c r="M77" i="23"/>
  <c r="M55" i="23"/>
  <c r="W5" i="16"/>
  <c r="M95" i="23"/>
  <c r="W6" i="16"/>
  <c r="M89" i="23"/>
  <c r="W74" i="16"/>
  <c r="M74" i="23"/>
  <c r="W29" i="16"/>
  <c r="M67" i="23"/>
  <c r="W76" i="16"/>
  <c r="M65" i="23"/>
  <c r="W82" i="16"/>
  <c r="M58" i="23"/>
  <c r="W14" i="16"/>
  <c r="M72" i="23"/>
  <c r="W84" i="16"/>
  <c r="M64" i="23"/>
  <c r="W75" i="16"/>
  <c r="W13" i="16"/>
  <c r="M102" i="23"/>
  <c r="W83" i="16"/>
  <c r="M73" i="23"/>
  <c r="W27" i="16"/>
  <c r="M66" i="23"/>
  <c r="W23" i="16"/>
  <c r="M59" i="23"/>
  <c r="W16" i="16"/>
  <c r="M13" i="23"/>
  <c r="M78" i="23"/>
  <c r="M19" i="23"/>
  <c r="W24" i="16"/>
  <c r="M99" i="23"/>
  <c r="W62" i="16"/>
  <c r="M116" i="23"/>
  <c r="M109" i="23"/>
  <c r="M46" i="23"/>
  <c r="M41" i="23"/>
  <c r="M28" i="23"/>
  <c r="W30" i="16"/>
  <c r="M22" i="23"/>
  <c r="W26" i="16"/>
  <c r="M17" i="23"/>
  <c r="W9" i="16"/>
  <c r="M12" i="23"/>
  <c r="W10" i="16"/>
  <c r="M114" i="23"/>
  <c r="M108" i="23"/>
  <c r="W67" i="16"/>
  <c r="M96" i="23"/>
  <c r="M45" i="23"/>
  <c r="M36" i="23"/>
  <c r="M32" i="23"/>
  <c r="W22" i="16"/>
  <c r="M16" i="23"/>
  <c r="W17" i="16"/>
  <c r="M11" i="23"/>
  <c r="W7" i="16"/>
  <c r="M105" i="23"/>
  <c r="W63" i="16"/>
  <c r="M100" i="23"/>
  <c r="W61" i="16"/>
  <c r="M7" i="23"/>
  <c r="W8" i="16"/>
  <c r="M18" i="23"/>
  <c r="W20" i="16"/>
  <c r="M6" i="23"/>
  <c r="W72" i="16"/>
  <c r="M37" i="23"/>
  <c r="W36" i="16"/>
  <c r="M33" i="23"/>
  <c r="X35" i="16"/>
  <c r="M5" i="23"/>
  <c r="M97" i="23"/>
  <c r="M90" i="23"/>
  <c r="M44" i="23"/>
  <c r="M15" i="23"/>
  <c r="W12" i="16"/>
  <c r="M10" i="23"/>
  <c r="M112" i="23"/>
  <c r="M81" i="23"/>
  <c r="M38" i="23"/>
  <c r="M34" i="23"/>
  <c r="W32" i="16"/>
  <c r="M25" i="23"/>
  <c r="W28" i="16"/>
  <c r="M101" i="23"/>
  <c r="W64" i="16"/>
  <c r="M39" i="23"/>
  <c r="M31" i="23"/>
  <c r="M20" i="23"/>
  <c r="W25" i="16"/>
  <c r="M14" i="23"/>
  <c r="W15" i="16"/>
  <c r="M9" i="23"/>
  <c r="W11" i="16"/>
  <c r="M88" i="23"/>
  <c r="M93" i="23"/>
  <c r="M48" i="23"/>
  <c r="M103" i="23"/>
  <c r="M53" i="23"/>
  <c r="M52" i="23"/>
  <c r="M49" i="23"/>
  <c r="M47" i="23"/>
  <c r="M123" i="23"/>
  <c r="M115" i="23"/>
  <c r="M51" i="23"/>
  <c r="M98" i="23"/>
  <c r="M113" i="23"/>
  <c r="M83" i="23"/>
  <c r="M50" i="23"/>
  <c r="M196" i="23"/>
  <c r="M195" i="23"/>
  <c r="M194" i="23"/>
  <c r="M166" i="23"/>
  <c r="M170" i="23"/>
  <c r="M172" i="23"/>
  <c r="M171" i="23"/>
  <c r="M165" i="23"/>
  <c r="M192" i="23"/>
  <c r="M173" i="23"/>
  <c r="R85" i="16"/>
  <c r="S85" i="16"/>
  <c r="Z85" i="16"/>
  <c r="AB85" i="16"/>
  <c r="AA85" i="16" s="1"/>
  <c r="R86" i="16"/>
  <c r="S86" i="16"/>
  <c r="Z86" i="16"/>
  <c r="AB86" i="16"/>
  <c r="AA86" i="16" s="1"/>
  <c r="R87" i="16"/>
  <c r="S87" i="16"/>
  <c r="N314" i="23" s="1"/>
  <c r="Z87" i="16"/>
  <c r="AB87" i="16"/>
  <c r="AA87" i="16" s="1"/>
  <c r="R88" i="16"/>
  <c r="S88" i="16"/>
  <c r="N164" i="23" s="1"/>
  <c r="Z88" i="16"/>
  <c r="AB88" i="16"/>
  <c r="AA88" i="16" s="1"/>
  <c r="R89" i="16"/>
  <c r="S89" i="16"/>
  <c r="AB89" i="16"/>
  <c r="AA89" i="16" s="1"/>
  <c r="R4" i="16"/>
  <c r="AC4" i="16" s="1"/>
  <c r="S4" i="16"/>
  <c r="N270" i="23" s="1"/>
  <c r="R5" i="16"/>
  <c r="AC5" i="16" s="1"/>
  <c r="S5" i="16"/>
  <c r="N271" i="23" s="1"/>
  <c r="R6" i="16"/>
  <c r="AC6" i="16" s="1"/>
  <c r="S6" i="16"/>
  <c r="R7" i="16"/>
  <c r="AC7" i="16" s="1"/>
  <c r="S7" i="16"/>
  <c r="R8" i="16"/>
  <c r="AC8" i="16" s="1"/>
  <c r="S8" i="16"/>
  <c r="N334" i="23" s="1"/>
  <c r="R9" i="16"/>
  <c r="AC9" i="16" s="1"/>
  <c r="S9" i="16"/>
  <c r="N273" i="23" s="1"/>
  <c r="R10" i="16"/>
  <c r="AC10" i="16" s="1"/>
  <c r="S10" i="16"/>
  <c r="N274" i="23" s="1"/>
  <c r="R11" i="16"/>
  <c r="AC11" i="16" s="1"/>
  <c r="S11" i="16"/>
  <c r="R12" i="16"/>
  <c r="AC12" i="16" s="1"/>
  <c r="S12" i="16"/>
  <c r="N335" i="23" s="1"/>
  <c r="R13" i="16"/>
  <c r="AC13" i="16" s="1"/>
  <c r="S13" i="16"/>
  <c r="R14" i="16"/>
  <c r="AC14" i="16" s="1"/>
  <c r="S14" i="16"/>
  <c r="R15" i="16"/>
  <c r="AC15" i="16" s="1"/>
  <c r="S15" i="16"/>
  <c r="R16" i="16"/>
  <c r="AC16" i="16" s="1"/>
  <c r="S16" i="16"/>
  <c r="R17" i="16"/>
  <c r="AC17" i="16" s="1"/>
  <c r="S17" i="16"/>
  <c r="N294" i="23" s="1"/>
  <c r="R18" i="16"/>
  <c r="AC18" i="16" s="1"/>
  <c r="S18" i="16"/>
  <c r="R19" i="16"/>
  <c r="AC19" i="16" s="1"/>
  <c r="S19" i="16"/>
  <c r="R20" i="16"/>
  <c r="AC20" i="16" s="1"/>
  <c r="S20" i="16"/>
  <c r="N291" i="23" s="1"/>
  <c r="R21" i="16"/>
  <c r="AC21" i="16" s="1"/>
  <c r="S21" i="16"/>
  <c r="R22" i="16"/>
  <c r="AC22" i="16" s="1"/>
  <c r="S22" i="16"/>
  <c r="N310" i="23" s="1"/>
  <c r="R23" i="16"/>
  <c r="AC23" i="16" s="1"/>
  <c r="S23" i="16"/>
  <c r="N307" i="23" s="1"/>
  <c r="R24" i="16"/>
  <c r="AC24" i="16" s="1"/>
  <c r="S24" i="16"/>
  <c r="N308" i="23" s="1"/>
  <c r="R25" i="16"/>
  <c r="AC25" i="16" s="1"/>
  <c r="S25" i="16"/>
  <c r="R26" i="16"/>
  <c r="AC26" i="16" s="1"/>
  <c r="S26" i="16"/>
  <c r="R27" i="16"/>
  <c r="AC27" i="16" s="1"/>
  <c r="S27" i="16"/>
  <c r="N332" i="23" s="1"/>
  <c r="R28" i="16"/>
  <c r="AC28" i="16" s="1"/>
  <c r="S28" i="16"/>
  <c r="N323" i="23" s="1"/>
  <c r="R29" i="16"/>
  <c r="AC29" i="16" s="1"/>
  <c r="S29" i="16"/>
  <c r="R30" i="16"/>
  <c r="AC30" i="16" s="1"/>
  <c r="S30" i="16"/>
  <c r="N338" i="23" s="1"/>
  <c r="R31" i="16"/>
  <c r="AC31" i="16" s="1"/>
  <c r="S31" i="16"/>
  <c r="R32" i="16"/>
  <c r="AC32" i="16" s="1"/>
  <c r="S32" i="16"/>
  <c r="N340" i="23" s="1"/>
  <c r="R33" i="16"/>
  <c r="AC33" i="16" s="1"/>
  <c r="S33" i="16"/>
  <c r="R34" i="16"/>
  <c r="AC34" i="16" s="1"/>
  <c r="S34" i="16"/>
  <c r="R35" i="16"/>
  <c r="AC35" i="16" s="1"/>
  <c r="S35" i="16"/>
  <c r="N189" i="23" s="1"/>
  <c r="R36" i="16"/>
  <c r="AC36" i="16" s="1"/>
  <c r="S36" i="16"/>
  <c r="N113" i="23"/>
  <c r="N138" i="23"/>
  <c r="N128" i="23"/>
  <c r="N181" i="23"/>
  <c r="N33" i="23"/>
  <c r="N176" i="23"/>
  <c r="N177" i="23"/>
  <c r="R61" i="16"/>
  <c r="AC61" i="16" s="1"/>
  <c r="S61" i="16"/>
  <c r="N72" i="23" s="1"/>
  <c r="R62" i="16"/>
  <c r="AC62" i="16" s="1"/>
  <c r="S62" i="16"/>
  <c r="Y51" i="16" l="1"/>
  <c r="X50" i="16"/>
  <c r="Y50" i="16"/>
  <c r="N186" i="23"/>
  <c r="N315" i="23"/>
  <c r="N312" i="23"/>
  <c r="N41" i="23"/>
  <c r="N43" i="23"/>
  <c r="N272" i="23"/>
  <c r="X73" i="16"/>
  <c r="N313" i="23"/>
  <c r="N39" i="23"/>
  <c r="U19" i="16"/>
  <c r="Y19" i="16" s="1"/>
  <c r="N292" i="23"/>
  <c r="N4" i="23"/>
  <c r="N290" i="23"/>
  <c r="N13" i="23"/>
  <c r="N366" i="23"/>
  <c r="N341" i="23"/>
  <c r="N36" i="23"/>
  <c r="N354" i="23"/>
  <c r="N17" i="23"/>
  <c r="N27" i="23"/>
  <c r="N289" i="23"/>
  <c r="N167" i="23"/>
  <c r="N316" i="23"/>
  <c r="N38" i="23"/>
  <c r="N123" i="23"/>
  <c r="N309" i="23"/>
  <c r="N126" i="23"/>
  <c r="N355" i="23"/>
  <c r="N18" i="23"/>
  <c r="N107" i="23"/>
  <c r="N336" i="23"/>
  <c r="N28" i="23"/>
  <c r="N288" i="23"/>
  <c r="X11" i="16"/>
  <c r="X25" i="16"/>
  <c r="X20" i="16"/>
  <c r="X26" i="16"/>
  <c r="X62" i="16"/>
  <c r="X23" i="16"/>
  <c r="X77" i="16"/>
  <c r="Y77" i="16"/>
  <c r="X44" i="16"/>
  <c r="Y44" i="16"/>
  <c r="X28" i="16"/>
  <c r="X72" i="16"/>
  <c r="Y72" i="16"/>
  <c r="X7" i="16"/>
  <c r="X67" i="16"/>
  <c r="Y67" i="16"/>
  <c r="X84" i="16"/>
  <c r="Y84" i="16"/>
  <c r="X29" i="16"/>
  <c r="X79" i="16"/>
  <c r="Y79" i="16"/>
  <c r="X59" i="16"/>
  <c r="Y59" i="16"/>
  <c r="X64" i="16"/>
  <c r="Y64" i="16"/>
  <c r="X17" i="16"/>
  <c r="X24" i="16"/>
  <c r="X27" i="16"/>
  <c r="X65" i="16"/>
  <c r="Y65" i="16"/>
  <c r="X55" i="16"/>
  <c r="Y55" i="16"/>
  <c r="X53" i="16"/>
  <c r="Y53" i="16"/>
  <c r="X46" i="16"/>
  <c r="Y46" i="16"/>
  <c r="X8" i="16"/>
  <c r="X30" i="16"/>
  <c r="X14" i="16"/>
  <c r="X74" i="16"/>
  <c r="Y74" i="16"/>
  <c r="X31" i="16"/>
  <c r="X34" i="16"/>
  <c r="X48" i="16"/>
  <c r="Y48" i="16"/>
  <c r="X12" i="16"/>
  <c r="X61" i="16"/>
  <c r="X22" i="16"/>
  <c r="X10" i="16"/>
  <c r="X83" i="16"/>
  <c r="Y83" i="16"/>
  <c r="X78" i="16"/>
  <c r="Y78" i="16"/>
  <c r="X45" i="16"/>
  <c r="Y45" i="16"/>
  <c r="X42" i="16"/>
  <c r="Y42" i="16"/>
  <c r="X36" i="16"/>
  <c r="X82" i="16"/>
  <c r="Y82" i="16"/>
  <c r="X6" i="16"/>
  <c r="X68" i="16"/>
  <c r="Y68" i="16"/>
  <c r="X66" i="16"/>
  <c r="Y66" i="16"/>
  <c r="X52" i="16"/>
  <c r="Y52" i="16"/>
  <c r="X19" i="16"/>
  <c r="X56" i="16"/>
  <c r="Y56" i="16"/>
  <c r="X32" i="16"/>
  <c r="X9" i="16"/>
  <c r="X13" i="16"/>
  <c r="X21" i="16"/>
  <c r="X33" i="16"/>
  <c r="X60" i="16"/>
  <c r="Y60" i="16"/>
  <c r="X47" i="16"/>
  <c r="Y47" i="16"/>
  <c r="X15" i="16"/>
  <c r="X63" i="16"/>
  <c r="Y63" i="16"/>
  <c r="X16" i="16"/>
  <c r="X75" i="16"/>
  <c r="Y75" i="16"/>
  <c r="X76" i="16"/>
  <c r="Y76" i="16"/>
  <c r="X5" i="16"/>
  <c r="X58" i="16"/>
  <c r="Y58" i="16"/>
  <c r="N94" i="23"/>
  <c r="N81" i="23"/>
  <c r="N112" i="23"/>
  <c r="N179" i="23"/>
  <c r="N124" i="23"/>
  <c r="N121" i="23"/>
  <c r="N83" i="23"/>
  <c r="N119" i="23"/>
  <c r="N103" i="23"/>
  <c r="N55" i="23"/>
  <c r="N42" i="23"/>
  <c r="N115" i="23"/>
  <c r="N114" i="23"/>
  <c r="N31" i="23"/>
  <c r="N127" i="23"/>
  <c r="N122" i="23"/>
  <c r="N91" i="23"/>
  <c r="N175" i="23"/>
  <c r="N48" i="23"/>
  <c r="N182" i="23"/>
  <c r="N34" i="23"/>
  <c r="N77" i="23"/>
  <c r="N185" i="23"/>
  <c r="N25" i="23"/>
  <c r="N76" i="23"/>
  <c r="N184" i="23"/>
  <c r="N101" i="23"/>
  <c r="N178" i="23"/>
  <c r="N35" i="23"/>
  <c r="N139" i="23"/>
  <c r="N187" i="23"/>
  <c r="N100" i="23"/>
  <c r="N75" i="23"/>
  <c r="N89" i="23"/>
  <c r="N197" i="23"/>
  <c r="N12" i="23"/>
  <c r="N116" i="23"/>
  <c r="N64" i="23"/>
  <c r="N88" i="23"/>
  <c r="N29" i="23"/>
  <c r="N57" i="23"/>
  <c r="N21" i="23"/>
  <c r="N174" i="23"/>
  <c r="N37" i="23"/>
  <c r="N73" i="23"/>
  <c r="N118" i="23"/>
  <c r="N66" i="23"/>
  <c r="N110" i="23"/>
  <c r="N60" i="23"/>
  <c r="N80" i="23"/>
  <c r="N56" i="23"/>
  <c r="N111" i="23"/>
  <c r="N61" i="23"/>
  <c r="N120" i="23"/>
  <c r="N71" i="23"/>
  <c r="N97" i="23"/>
  <c r="N59" i="23"/>
  <c r="N117" i="23"/>
  <c r="N70" i="23"/>
  <c r="N87" i="23"/>
  <c r="N58" i="23"/>
  <c r="U85" i="16"/>
  <c r="U86" i="16"/>
  <c r="U89" i="16"/>
  <c r="Y89" i="16" s="1"/>
  <c r="T87" i="16"/>
  <c r="U62" i="16"/>
  <c r="Y62" i="16" s="1"/>
  <c r="T89" i="16"/>
  <c r="N193" i="23"/>
  <c r="T86" i="16"/>
  <c r="T85" i="16"/>
  <c r="N183" i="23"/>
  <c r="T88" i="16"/>
  <c r="U87" i="16"/>
  <c r="N23" i="23"/>
  <c r="N180" i="23"/>
  <c r="U32" i="16"/>
  <c r="Y32" i="16" s="1"/>
  <c r="T13" i="16"/>
  <c r="T9" i="16"/>
  <c r="N79" i="23"/>
  <c r="N54" i="23"/>
  <c r="N78" i="23"/>
  <c r="U12" i="16"/>
  <c r="Y12" i="16" s="1"/>
  <c r="U33" i="16"/>
  <c r="Y33" i="16" s="1"/>
  <c r="T25" i="16"/>
  <c r="U28" i="16"/>
  <c r="Y28" i="16" s="1"/>
  <c r="T5" i="16"/>
  <c r="T29" i="16"/>
  <c r="T17" i="16"/>
  <c r="U4" i="16"/>
  <c r="U36" i="16"/>
  <c r="Y36" i="16" s="1"/>
  <c r="T34" i="16"/>
  <c r="T21" i="16"/>
  <c r="T33" i="16"/>
  <c r="U20" i="16"/>
  <c r="Y20" i="16" s="1"/>
  <c r="T16" i="16"/>
  <c r="N99" i="23"/>
  <c r="N46" i="23"/>
  <c r="U6" i="16"/>
  <c r="Y6" i="16" s="1"/>
  <c r="N47" i="23"/>
  <c r="N156" i="23"/>
  <c r="N68" i="23"/>
  <c r="T27" i="16"/>
  <c r="N104" i="23"/>
  <c r="U25" i="16"/>
  <c r="Y25" i="16" s="1"/>
  <c r="U22" i="16"/>
  <c r="Y22" i="16" s="1"/>
  <c r="N95" i="23"/>
  <c r="U17" i="16"/>
  <c r="Y17" i="16" s="1"/>
  <c r="U14" i="16"/>
  <c r="Y14" i="16" s="1"/>
  <c r="N84" i="23"/>
  <c r="T11" i="16"/>
  <c r="N63" i="23"/>
  <c r="U9" i="16"/>
  <c r="Y9" i="16" s="1"/>
  <c r="T6" i="16"/>
  <c r="N140" i="23"/>
  <c r="N144" i="23"/>
  <c r="N15" i="23"/>
  <c r="N141" i="23"/>
  <c r="N142" i="23"/>
  <c r="N143" i="23"/>
  <c r="N145" i="23"/>
  <c r="N16" i="23"/>
  <c r="N125" i="23"/>
  <c r="N6" i="23"/>
  <c r="T24" i="16"/>
  <c r="N102" i="23"/>
  <c r="N109" i="23"/>
  <c r="N19" i="23"/>
  <c r="N147" i="23"/>
  <c r="T8" i="16"/>
  <c r="N49" i="23"/>
  <c r="N148" i="23"/>
  <c r="N149" i="23"/>
  <c r="N20" i="23"/>
  <c r="T62" i="16"/>
  <c r="N161" i="23"/>
  <c r="N51" i="23"/>
  <c r="N14" i="23"/>
  <c r="N136" i="23"/>
  <c r="T32" i="16"/>
  <c r="N9" i="23"/>
  <c r="N131" i="23"/>
  <c r="U30" i="16"/>
  <c r="Y30" i="16" s="1"/>
  <c r="N7" i="23"/>
  <c r="N133" i="23"/>
  <c r="T22" i="16"/>
  <c r="T19" i="16"/>
  <c r="T14" i="16"/>
  <c r="N30" i="23"/>
  <c r="T35" i="16"/>
  <c r="N132" i="23"/>
  <c r="N11" i="23"/>
  <c r="T30" i="16"/>
  <c r="N52" i="23"/>
  <c r="N106" i="23"/>
  <c r="N86" i="23"/>
  <c r="T4" i="16"/>
  <c r="N45" i="23"/>
  <c r="T20" i="16"/>
  <c r="N96" i="23"/>
  <c r="U23" i="16"/>
  <c r="Y23" i="16" s="1"/>
  <c r="U21" i="16"/>
  <c r="Y21" i="16" s="1"/>
  <c r="U18" i="16"/>
  <c r="Y18" i="16" s="1"/>
  <c r="N85" i="23"/>
  <c r="U15" i="16"/>
  <c r="Y15" i="16" s="1"/>
  <c r="T12" i="16"/>
  <c r="N62" i="23"/>
  <c r="U10" i="16"/>
  <c r="Y10" i="16" s="1"/>
  <c r="N90" i="23"/>
  <c r="U5" i="16"/>
  <c r="Y5" i="16" s="1"/>
  <c r="T7" i="16"/>
  <c r="N44" i="23"/>
  <c r="N22" i="23"/>
  <c r="N150" i="23"/>
  <c r="N8" i="23"/>
  <c r="N130" i="23"/>
  <c r="T28" i="16"/>
  <c r="N5" i="23"/>
  <c r="U26" i="16"/>
  <c r="Y26" i="16" s="1"/>
  <c r="N105" i="23"/>
  <c r="N50" i="23"/>
  <c r="N26" i="23"/>
  <c r="N155" i="23"/>
  <c r="N24" i="23"/>
  <c r="N151" i="23"/>
  <c r="T31" i="16"/>
  <c r="N69" i="23"/>
  <c r="U29" i="16"/>
  <c r="Y29" i="16" s="1"/>
  <c r="T26" i="16"/>
  <c r="T23" i="16"/>
  <c r="T18" i="16"/>
  <c r="T15" i="16"/>
  <c r="U13" i="16"/>
  <c r="Y13" i="16" s="1"/>
  <c r="T10" i="16"/>
  <c r="T61" i="16"/>
  <c r="N162" i="23"/>
  <c r="N65" i="23"/>
  <c r="N153" i="23"/>
  <c r="T36" i="16"/>
  <c r="N134" i="23"/>
  <c r="N67" i="23"/>
  <c r="U34" i="16"/>
  <c r="Y34" i="16" s="1"/>
  <c r="N10" i="23"/>
  <c r="N137" i="23"/>
  <c r="U24" i="16"/>
  <c r="Y24" i="16" s="1"/>
  <c r="N98" i="23"/>
  <c r="U16" i="16"/>
  <c r="Y16" i="16" s="1"/>
  <c r="U8" i="16"/>
  <c r="Y8" i="16" s="1"/>
  <c r="U88" i="16"/>
  <c r="Y88" i="16" s="1"/>
  <c r="U27" i="16"/>
  <c r="Y27" i="16" s="1"/>
  <c r="U11" i="16"/>
  <c r="Y11" i="16" s="1"/>
  <c r="U61" i="16"/>
  <c r="Y61" i="16" s="1"/>
  <c r="U35" i="16"/>
  <c r="Y35" i="16" s="1"/>
  <c r="U31" i="16"/>
  <c r="Y31" i="16" s="1"/>
  <c r="U7" i="16"/>
  <c r="Y7" i="16" s="1"/>
  <c r="L2" i="23"/>
  <c r="W87" i="16"/>
  <c r="I224" i="23"/>
  <c r="I445" i="23" s="1"/>
  <c r="J224" i="23"/>
  <c r="J445" i="23" s="1"/>
  <c r="L3" i="5"/>
  <c r="L4" i="5"/>
  <c r="L5" i="5"/>
  <c r="L6" i="5"/>
  <c r="V77" i="16" s="1"/>
  <c r="L7" i="5"/>
  <c r="L8" i="5"/>
  <c r="L9" i="5"/>
  <c r="L10" i="5"/>
  <c r="L11" i="5"/>
  <c r="V74" i="16" s="1"/>
  <c r="L12" i="5"/>
  <c r="L13" i="5"/>
  <c r="V76" i="16" s="1"/>
  <c r="L14" i="5"/>
  <c r="V75" i="16" s="1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S48" i="4"/>
  <c r="U48" i="4"/>
  <c r="S49" i="4"/>
  <c r="U49" i="4"/>
  <c r="S50" i="4"/>
  <c r="U50" i="4"/>
  <c r="V73" i="16" l="1"/>
  <c r="V78" i="16"/>
  <c r="V72" i="16"/>
  <c r="X87" i="16"/>
  <c r="Y87" i="16"/>
  <c r="W4" i="16"/>
  <c r="O48" i="4"/>
  <c r="Q48" i="4"/>
  <c r="O49" i="4"/>
  <c r="Q49" i="4"/>
  <c r="V50" i="16" s="1"/>
  <c r="Q50" i="4"/>
  <c r="O50" i="4"/>
  <c r="I225" i="23"/>
  <c r="L224" i="23"/>
  <c r="W85" i="16"/>
  <c r="M2" i="23"/>
  <c r="X85" i="16" l="1"/>
  <c r="Y85" i="16"/>
  <c r="X4" i="16"/>
  <c r="Y4" i="16"/>
  <c r="V64" i="16"/>
  <c r="V52" i="16"/>
  <c r="V50" i="4"/>
  <c r="R50" i="4"/>
  <c r="M224" i="23"/>
  <c r="I226" i="23"/>
  <c r="L226" i="23" s="1"/>
  <c r="M226" i="23" s="1"/>
  <c r="L225" i="23"/>
  <c r="M225" i="23" s="1"/>
  <c r="V49" i="4"/>
  <c r="V48" i="4"/>
  <c r="R48" i="4"/>
  <c r="R49" i="4"/>
  <c r="L443" i="23" l="1"/>
  <c r="I93" i="16"/>
  <c r="N2" i="23"/>
  <c r="J140" i="14" l="1"/>
  <c r="J141" i="14"/>
  <c r="J142" i="14"/>
  <c r="J143" i="14"/>
  <c r="J144" i="14"/>
  <c r="J145" i="14"/>
  <c r="J146" i="14"/>
  <c r="J147" i="14"/>
  <c r="J139" i="14"/>
  <c r="J148" i="14" l="1"/>
  <c r="K101" i="4"/>
  <c r="S46" i="4"/>
  <c r="U46" i="4"/>
  <c r="S47" i="4"/>
  <c r="U47" i="4"/>
  <c r="O47" i="4" l="1"/>
  <c r="R47" i="4" s="1"/>
  <c r="Q47" i="4"/>
  <c r="V49" i="16" s="1"/>
  <c r="O46" i="4"/>
  <c r="R46" i="4" s="1"/>
  <c r="Q46" i="4"/>
  <c r="V47" i="4" l="1"/>
  <c r="V46" i="4"/>
  <c r="AN14" i="14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7" i="15"/>
  <c r="H158" i="15"/>
  <c r="F103" i="16" s="1"/>
  <c r="H159" i="15"/>
  <c r="G103" i="16" s="1"/>
  <c r="H143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D133" i="14"/>
  <c r="C133" i="14"/>
  <c r="E64" i="8"/>
  <c r="D64" i="8"/>
  <c r="H160" i="15"/>
  <c r="G141" i="15"/>
  <c r="H1" i="8"/>
  <c r="F141" i="15"/>
  <c r="AB71" i="16"/>
  <c r="AB81" i="16"/>
  <c r="AC92" i="16"/>
  <c r="AB3" i="16"/>
  <c r="L2" i="5"/>
  <c r="V79" i="16" s="1"/>
  <c r="AB32" i="5"/>
  <c r="AB33" i="5"/>
  <c r="AB34" i="5"/>
  <c r="AB11" i="5"/>
  <c r="AB12" i="5"/>
  <c r="AB13" i="5"/>
  <c r="H58" i="11"/>
  <c r="F149" i="14" l="1"/>
  <c r="F137" i="14"/>
  <c r="C21" i="11" s="1"/>
  <c r="D150" i="14"/>
  <c r="F148" i="14"/>
  <c r="F144" i="14"/>
  <c r="C23" i="11" s="1"/>
  <c r="F140" i="14"/>
  <c r="C27" i="11" s="1"/>
  <c r="F136" i="14"/>
  <c r="C20" i="11" s="1"/>
  <c r="F146" i="14"/>
  <c r="F142" i="14"/>
  <c r="F138" i="14"/>
  <c r="C22" i="11" s="1"/>
  <c r="F134" i="14"/>
  <c r="C18" i="11" s="1"/>
  <c r="F145" i="14"/>
  <c r="C26" i="11" s="1"/>
  <c r="F141" i="14"/>
  <c r="F147" i="14"/>
  <c r="F143" i="14"/>
  <c r="C31" i="11" s="1"/>
  <c r="C30" i="11" s="1"/>
  <c r="F139" i="14"/>
  <c r="C29" i="11" s="1"/>
  <c r="F135" i="14"/>
  <c r="C19" i="11" s="1"/>
  <c r="F133" i="14"/>
  <c r="C17" i="11" s="1"/>
  <c r="C150" i="14"/>
  <c r="G144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V88" i="16" s="1"/>
  <c r="I14" i="18"/>
  <c r="J14" i="18"/>
  <c r="V89" i="16" s="1"/>
  <c r="I15" i="18"/>
  <c r="J15" i="18"/>
  <c r="V91" i="16" s="1"/>
  <c r="I16" i="18"/>
  <c r="J16" i="18"/>
  <c r="V90" i="16" s="1"/>
  <c r="I17" i="18"/>
  <c r="J17" i="18"/>
  <c r="V92" i="16" s="1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S45" i="4"/>
  <c r="U45" i="4"/>
  <c r="AC90" i="16"/>
  <c r="AC91" i="16"/>
  <c r="V83" i="16" l="1"/>
  <c r="V82" i="16"/>
  <c r="V87" i="16"/>
  <c r="V85" i="16"/>
  <c r="V84" i="16"/>
  <c r="V86" i="16"/>
  <c r="Q44" i="4"/>
  <c r="V48" i="16" s="1"/>
  <c r="Q36" i="4"/>
  <c r="O41" i="4"/>
  <c r="Q41" i="4"/>
  <c r="V42" i="16" s="1"/>
  <c r="O33" i="4"/>
  <c r="Q33" i="4"/>
  <c r="O31" i="4"/>
  <c r="Q31" i="4"/>
  <c r="O43" i="4"/>
  <c r="Q43" i="4"/>
  <c r="V44" i="16" s="1"/>
  <c r="Q40" i="4"/>
  <c r="V41" i="16" s="1"/>
  <c r="Q32" i="4"/>
  <c r="O30" i="4"/>
  <c r="Q30" i="4"/>
  <c r="Q37" i="4"/>
  <c r="V40" i="16" s="1"/>
  <c r="O29" i="4"/>
  <c r="Q29" i="4"/>
  <c r="O39" i="4"/>
  <c r="Q39" i="4"/>
  <c r="V43" i="16" s="1"/>
  <c r="O38" i="4"/>
  <c r="Q38" i="4"/>
  <c r="V39" i="16" s="1"/>
  <c r="O35" i="4"/>
  <c r="Q35" i="4"/>
  <c r="Q45" i="4"/>
  <c r="V47" i="16" s="1"/>
  <c r="O42" i="4"/>
  <c r="Q42" i="4"/>
  <c r="V45" i="16" s="1"/>
  <c r="O34" i="4"/>
  <c r="Q34" i="4"/>
  <c r="W86" i="16"/>
  <c r="W3" i="16"/>
  <c r="O37" i="4"/>
  <c r="R37" i="4" s="1"/>
  <c r="O45" i="4"/>
  <c r="R45" i="4" s="1"/>
  <c r="V44" i="4"/>
  <c r="V36" i="4"/>
  <c r="O44" i="4"/>
  <c r="O36" i="4"/>
  <c r="O40" i="4"/>
  <c r="O32" i="4"/>
  <c r="V71" i="16"/>
  <c r="W70" i="16" l="1"/>
  <c r="X86" i="16"/>
  <c r="Y86" i="16"/>
  <c r="V31" i="16"/>
  <c r="V36" i="16"/>
  <c r="V38" i="16"/>
  <c r="V32" i="16"/>
  <c r="V33" i="16"/>
  <c r="V35" i="16"/>
  <c r="V37" i="16"/>
  <c r="R36" i="4"/>
  <c r="V32" i="4"/>
  <c r="V34" i="16"/>
  <c r="R44" i="4"/>
  <c r="V40" i="4"/>
  <c r="V45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7" i="14" l="1"/>
  <c r="J127" i="14"/>
  <c r="AI14" i="14"/>
  <c r="V81" i="16"/>
  <c r="R225" i="23"/>
  <c r="L140" i="14" l="1"/>
  <c r="L141" i="14"/>
  <c r="L142" i="14"/>
  <c r="L143" i="14"/>
  <c r="L144" i="14"/>
  <c r="L145" i="14"/>
  <c r="L146" i="14"/>
  <c r="L147" i="14"/>
  <c r="L139" i="14"/>
  <c r="I127" i="14"/>
  <c r="W71" i="16" l="1"/>
  <c r="W81" i="16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W93" i="16" l="1"/>
  <c r="W80" i="16"/>
  <c r="Y71" i="16"/>
  <c r="Q22" i="4"/>
  <c r="Q14" i="4"/>
  <c r="Q19" i="4"/>
  <c r="Q11" i="4"/>
  <c r="Q25" i="4"/>
  <c r="Q17" i="4"/>
  <c r="Q16" i="4"/>
  <c r="Q21" i="4"/>
  <c r="Q13" i="4"/>
  <c r="Q18" i="4"/>
  <c r="Q10" i="4"/>
  <c r="Q24" i="4"/>
  <c r="Q23" i="4"/>
  <c r="Q15" i="4"/>
  <c r="V14" i="16" s="1"/>
  <c r="Q20" i="4"/>
  <c r="Q12" i="4"/>
  <c r="V13" i="16" s="1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S3" i="16"/>
  <c r="AC3" i="16"/>
  <c r="J93" i="16"/>
  <c r="K93" i="16"/>
  <c r="L93" i="16"/>
  <c r="M93" i="16"/>
  <c r="N93" i="16"/>
  <c r="O93" i="16"/>
  <c r="N3" i="23" l="1"/>
  <c r="N269" i="23"/>
  <c r="R25" i="4"/>
  <c r="V23" i="16"/>
  <c r="V25" i="16"/>
  <c r="V17" i="16"/>
  <c r="V26" i="16"/>
  <c r="V16" i="16"/>
  <c r="V21" i="16"/>
  <c r="V19" i="16"/>
  <c r="V18" i="4"/>
  <c r="V20" i="16"/>
  <c r="V13" i="4"/>
  <c r="V15" i="16"/>
  <c r="V22" i="4"/>
  <c r="V24" i="16"/>
  <c r="V21" i="4"/>
  <c r="V22" i="16"/>
  <c r="V17" i="4"/>
  <c r="V18" i="16"/>
  <c r="V25" i="4"/>
  <c r="R22" i="4"/>
  <c r="R13" i="4"/>
  <c r="R17" i="4"/>
  <c r="R18" i="4"/>
  <c r="R21" i="4"/>
  <c r="N74" i="23"/>
  <c r="N92" i="23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U3" i="16"/>
  <c r="Y3" i="16" s="1"/>
  <c r="R24" i="4"/>
  <c r="R12" i="4"/>
  <c r="R20" i="4"/>
  <c r="R16" i="4"/>
  <c r="T3" i="16"/>
  <c r="J80" i="16"/>
  <c r="K80" i="16"/>
  <c r="L80" i="16"/>
  <c r="M80" i="16"/>
  <c r="N80" i="16"/>
  <c r="O80" i="16"/>
  <c r="P80" i="16"/>
  <c r="Q80" i="16"/>
  <c r="J136" i="14"/>
  <c r="L35" i="5" l="1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AC85" i="16"/>
  <c r="Q6" i="4" l="1"/>
  <c r="Q27" i="4"/>
  <c r="V27" i="16" s="1"/>
  <c r="Q3" i="4"/>
  <c r="Q26" i="4"/>
  <c r="V28" i="16" s="1"/>
  <c r="Q7" i="4"/>
  <c r="Q9" i="4"/>
  <c r="Q8" i="4"/>
  <c r="Q5" i="4"/>
  <c r="Q28" i="4"/>
  <c r="Q4" i="4"/>
  <c r="O27" i="4"/>
  <c r="O28" i="4"/>
  <c r="O8" i="4"/>
  <c r="O4" i="4"/>
  <c r="O9" i="4"/>
  <c r="O5" i="4"/>
  <c r="O7" i="4"/>
  <c r="O3" i="4"/>
  <c r="O26" i="4"/>
  <c r="O6" i="4"/>
  <c r="V5" i="16" l="1"/>
  <c r="V10" i="16"/>
  <c r="V11" i="16"/>
  <c r="R8" i="4"/>
  <c r="V29" i="16"/>
  <c r="V30" i="16"/>
  <c r="V8" i="4"/>
  <c r="V6" i="4"/>
  <c r="V8" i="16"/>
  <c r="R4" i="4"/>
  <c r="V5" i="4"/>
  <c r="V7" i="16"/>
  <c r="V4" i="4"/>
  <c r="V9" i="4"/>
  <c r="V12" i="16"/>
  <c r="V7" i="4"/>
  <c r="V9" i="16"/>
  <c r="V3" i="4"/>
  <c r="V4" i="16"/>
  <c r="R6" i="4"/>
  <c r="R9" i="4"/>
  <c r="R3" i="4"/>
  <c r="R7" i="4"/>
  <c r="R5" i="4"/>
  <c r="V27" i="4"/>
  <c r="V26" i="4"/>
  <c r="V28" i="4"/>
  <c r="R28" i="4"/>
  <c r="R26" i="4"/>
  <c r="R27" i="4"/>
  <c r="O70" i="16"/>
  <c r="P97" i="16"/>
  <c r="Q97" i="16"/>
  <c r="R81" i="16"/>
  <c r="S81" i="16"/>
  <c r="N129" i="23" l="1"/>
  <c r="N82" i="23"/>
  <c r="S93" i="16"/>
  <c r="S80" i="16"/>
  <c r="R80" i="16"/>
  <c r="AC71" i="16"/>
  <c r="R93" i="16"/>
  <c r="AC81" i="16"/>
  <c r="T81" i="16"/>
  <c r="U81" i="16"/>
  <c r="Y81" i="16" s="1"/>
  <c r="S70" i="16"/>
  <c r="R70" i="16"/>
  <c r="T80" i="16" l="1"/>
  <c r="U80" i="16"/>
  <c r="Y80" i="16" s="1"/>
  <c r="U93" i="16"/>
  <c r="Y93" i="16" s="1"/>
  <c r="W97" i="16"/>
  <c r="T70" i="16"/>
  <c r="U70" i="16"/>
  <c r="Y70" i="16" s="1"/>
  <c r="U2" i="4" l="1"/>
  <c r="Z3" i="16"/>
  <c r="AA3" i="16"/>
  <c r="S2" i="4"/>
  <c r="I21" i="18"/>
  <c r="J21" i="18"/>
  <c r="I22" i="18"/>
  <c r="J22" i="18"/>
  <c r="I23" i="18"/>
  <c r="J23" i="18"/>
  <c r="Z81" i="16"/>
  <c r="AA81" i="16"/>
  <c r="U101" i="4" l="1"/>
  <c r="H60" i="11" l="1"/>
  <c r="H59" i="11"/>
  <c r="T94" i="16" l="1"/>
  <c r="AB2" i="5"/>
  <c r="AB35" i="5" s="1"/>
  <c r="M96" i="16"/>
  <c r="M97" i="16" s="1"/>
  <c r="J24" i="18" l="1"/>
  <c r="X81" i="16"/>
  <c r="G48" i="11"/>
  <c r="G138" i="14" l="1"/>
  <c r="C34" i="11"/>
  <c r="C33" i="11" s="1"/>
  <c r="C36" i="11"/>
  <c r="C39" i="11" s="1"/>
  <c r="G142" i="14" l="1"/>
  <c r="G140" i="14"/>
  <c r="G137" i="14"/>
  <c r="F150" i="14"/>
  <c r="N2" i="4"/>
  <c r="Q2" i="4" l="1"/>
  <c r="V3" i="16" s="1"/>
  <c r="G150" i="14"/>
  <c r="C40" i="11" s="1"/>
  <c r="H154" i="14"/>
  <c r="Q101" i="4" l="1"/>
  <c r="V6" i="16"/>
  <c r="AA14" i="14"/>
  <c r="X106" i="16" l="1"/>
  <c r="H61" i="11" l="1"/>
  <c r="H62" i="11" s="1"/>
  <c r="S95" i="16" l="1"/>
  <c r="I96" i="16"/>
  <c r="J96" i="16"/>
  <c r="J97" i="16" s="1"/>
  <c r="K96" i="16"/>
  <c r="K97" i="16" s="1"/>
  <c r="Q181" i="23" s="1"/>
  <c r="L96" i="16"/>
  <c r="L97" i="16" s="1"/>
  <c r="M98" i="16"/>
  <c r="N96" i="16"/>
  <c r="N97" i="16" s="1"/>
  <c r="O96" i="16"/>
  <c r="O97" i="16" s="1"/>
  <c r="O98" i="16" s="1"/>
  <c r="G97" i="16"/>
  <c r="H97" i="16"/>
  <c r="K98" i="16" l="1"/>
  <c r="K100" i="16" s="1"/>
  <c r="R181" i="23"/>
  <c r="L98" i="16"/>
  <c r="I106" i="16" s="1"/>
  <c r="L102" i="16"/>
  <c r="M102" i="16" s="1"/>
  <c r="I97" i="16"/>
  <c r="I99" i="16" s="1"/>
  <c r="N98" i="16"/>
  <c r="T95" i="16"/>
  <c r="J98" i="16"/>
  <c r="E114" i="16"/>
  <c r="S96" i="16"/>
  <c r="R96" i="16"/>
  <c r="AA95" i="16"/>
  <c r="Z95" i="16"/>
  <c r="W95" i="16"/>
  <c r="X95" i="16" l="1"/>
  <c r="Y95" i="16"/>
  <c r="I103" i="16"/>
  <c r="T93" i="16"/>
  <c r="S97" i="16"/>
  <c r="R97" i="16"/>
  <c r="S98" i="16" l="1"/>
  <c r="S102" i="16"/>
  <c r="R98" i="16"/>
  <c r="R102" i="16"/>
  <c r="U97" i="16"/>
  <c r="T97" i="16"/>
  <c r="T98" i="16" s="1"/>
  <c r="U98" i="16" l="1"/>
  <c r="Y98" i="16" s="1"/>
  <c r="Y97" i="16"/>
  <c r="X101" i="16"/>
  <c r="X71" i="16" l="1"/>
  <c r="Z71" i="16"/>
  <c r="AA71" i="16"/>
  <c r="O2" i="4" l="1"/>
  <c r="V2" i="4" l="1"/>
  <c r="R2" i="4"/>
  <c r="R101" i="4" s="1"/>
  <c r="K24" i="18"/>
  <c r="X3" i="16" l="1"/>
  <c r="S101" i="4"/>
  <c r="I24" i="18" l="1"/>
  <c r="E4" i="11" s="1"/>
  <c r="E5" i="11" s="1"/>
  <c r="H111" i="16" l="1"/>
  <c r="H108" i="16"/>
  <c r="R102" i="4" l="1"/>
  <c r="C53" i="11" l="1"/>
  <c r="C12" i="11" l="1"/>
  <c r="C10" i="11"/>
  <c r="E53" i="11" l="1"/>
  <c r="E54" i="11" s="1"/>
  <c r="C9" i="11" l="1"/>
  <c r="J110" i="16" l="1"/>
  <c r="J101" i="16"/>
  <c r="C13" i="11" l="1"/>
  <c r="C8" i="11" s="1"/>
  <c r="C38" i="11" l="1"/>
  <c r="D39" i="11" s="1"/>
  <c r="C43" i="11"/>
  <c r="C41" i="11"/>
  <c r="I113" i="16"/>
  <c r="C42" i="11" l="1"/>
  <c r="J105" i="16"/>
  <c r="D4" i="11" l="1"/>
  <c r="D5" i="11" s="1"/>
  <c r="I104" i="16"/>
  <c r="I107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11" i="16"/>
  <c r="J113" i="16" s="1"/>
  <c r="R99" i="16"/>
  <c r="R100" i="16" s="1"/>
  <c r="I110" i="16"/>
  <c r="J104" i="16"/>
  <c r="J103" i="16" l="1"/>
  <c r="J107" i="16" s="1"/>
  <c r="V98" i="16"/>
  <c r="S100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112" i="16" l="1"/>
  <c r="H113" i="16" s="1"/>
  <c r="H109" i="16"/>
  <c r="H106" i="16" l="1"/>
  <c r="H107" i="16" s="1"/>
  <c r="H110" i="16"/>
</calcChain>
</file>

<file path=xl/sharedStrings.xml><?xml version="1.0" encoding="utf-8"?>
<sst xmlns="http://schemas.openxmlformats.org/spreadsheetml/2006/main" count="4191" uniqueCount="1491">
  <si>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</si>
  <si>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</si>
  <si>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</si>
  <si>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</si>
  <si>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</si>
  <si>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</si>
  <si>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</si>
  <si>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</si>
  <si>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</si>
  <si>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</si>
  <si>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</si>
  <si>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</si>
  <si>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</si>
  <si>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</si>
  <si>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</si>
  <si>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</si>
  <si>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</si>
  <si>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</si>
  <si>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</si>
  <si>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</si>
  <si>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</si>
  <si>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</si>
  <si>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</si>
  <si>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</si>
  <si>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</si>
  <si>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</si>
  <si>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</si>
  <si>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</si>
  <si>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</si>
  <si>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</si>
  <si>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</si>
  <si>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</si>
  <si>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</si>
  <si>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</si>
  <si>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</si>
  <si>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</si>
  <si>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</si>
  <si>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</si>
  <si>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</si>
  <si>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</si>
  <si>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</si>
  <si>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</si>
  <si>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</si>
  <si>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</si>
  <si>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</si>
  <si>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</si>
  <si>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</si>
  <si>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</si>
  <si>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</si>
  <si>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</si>
  <si>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</si>
  <si>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</si>
  <si>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</si>
  <si>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</si>
  <si>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</si>
  <si>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</si>
  <si>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</si>
  <si>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</si>
  <si>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</si>
  <si>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</si>
  <si>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</si>
  <si>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</si>
  <si>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</si>
  <si>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</si>
  <si>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</si>
  <si>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</si>
  <si>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</si>
  <si>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</si>
  <si>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</si>
  <si>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</si>
  <si>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</si>
  <si>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</si>
  <si>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</si>
  <si>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</si>
  <si>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</si>
  <si>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</si>
  <si>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</si>
  <si>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</si>
  <si>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</si>
  <si>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</si>
  <si>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</si>
  <si>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</si>
  <si>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</si>
  <si>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</si>
  <si>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</si>
  <si>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</si>
  <si>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</si>
  <si>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</si>
  <si>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</si>
  <si>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</si>
  <si>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</si>
  <si>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</si>
  <si>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</si>
  <si>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</si>
  <si>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</si>
  <si>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</si>
  <si>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</si>
  <si>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</si>
  <si>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</si>
  <si>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</si>
  <si>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</si>
  <si>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</si>
  <si>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</si>
  <si>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</si>
  <si>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</si>
  <si>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</si>
  <si>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</si>
  <si>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</si>
  <si>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</si>
  <si>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</si>
  <si>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</si>
  <si>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</si>
  <si>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</si>
  <si>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</si>
  <si>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</si>
  <si>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</si>
  <si>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</si>
  <si>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</si>
  <si>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</si>
  <si>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</si>
  <si>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</si>
  <si>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</si>
  <si>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</si>
  <si>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</si>
  <si>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</si>
  <si>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</si>
  <si>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</si>
  <si>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</si>
  <si>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</si>
  <si>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</si>
  <si>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</si>
  <si>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</si>
  <si>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</si>
  <si>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</si>
  <si>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</si>
  <si>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</si>
  <si>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</si>
  <si>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</si>
  <si>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</si>
  <si>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</si>
  <si>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</si>
  <si>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</si>
  <si>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</si>
  <si>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</si>
  <si>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</si>
  <si>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</si>
  <si>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</si>
  <si>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</si>
  <si>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</si>
  <si>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</si>
  <si>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</si>
  <si>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</si>
  <si>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</si>
  <si>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</si>
  <si>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</si>
  <si>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</si>
  <si>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</si>
  <si>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</si>
  <si>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</si>
  <si>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</si>
  <si>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</si>
  <si>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</si>
  <si>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</si>
  <si>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</si>
  <si>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</si>
  <si>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</si>
  <si>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</si>
  <si>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</si>
  <si>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</si>
  <si>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</si>
  <si>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</si>
  <si>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</si>
  <si>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</si>
  <si>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</si>
  <si>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</si>
  <si>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</si>
  <si>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</si>
  <si>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</si>
  <si>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</si>
  <si>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</si>
  <si>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</si>
  <si>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</si>
  <si>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</si>
  <si>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</si>
  <si>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</si>
  <si>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</si>
  <si>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</si>
  <si>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</si>
  <si>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</si>
  <si>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</si>
  <si>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</si>
  <si>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</si>
  <si>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</si>
  <si>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</si>
  <si>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</si>
  <si>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</si>
  <si>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</si>
  <si>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</si>
  <si>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</si>
  <si>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</si>
  <si>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</si>
  <si>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</si>
  <si>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</si>
  <si>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</si>
  <si>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</si>
  <si>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</si>
  <si>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</si>
  <si>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</si>
  <si>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</si>
  <si>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</si>
  <si>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</si>
  <si>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</si>
  <si>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</si>
  <si>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</si>
  <si>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</si>
  <si>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</si>
  <si>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</si>
  <si>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</si>
  <si>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</si>
  <si>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</si>
  <si>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</si>
  <si>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</si>
  <si>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</si>
  <si>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</si>
  <si>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</si>
  <si>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</si>
  <si>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</si>
  <si>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</si>
  <si>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</si>
  <si>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</si>
  <si>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</si>
  <si>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</si>
  <si>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</si>
  <si>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</si>
  <si>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</si>
  <si>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</si>
  <si>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</si>
  <si>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</si>
  <si>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</si>
  <si>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</si>
  <si>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</si>
  <si>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</si>
  <si>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</si>
  <si>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</si>
  <si>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</si>
  <si>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</si>
  <si>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</si>
  <si>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</si>
  <si>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</si>
  <si>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</si>
  <si>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</si>
  <si>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</si>
  <si>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</si>
  <si>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</si>
  <si>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5.461.861-1</t>
  </si>
  <si>
    <t xml:space="preserve">Angelica Ramirez Muñoz                       </t>
  </si>
  <si>
    <t>76.191.561-4</t>
  </si>
  <si>
    <t>SOCIEDAD HOTELERA ZAMORA RAMIREZ HERMANOS LIM</t>
  </si>
  <si>
    <t>EL AGRO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</si>
  <si>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</si>
  <si>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</si>
  <si>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</si>
  <si>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</si>
  <si>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</si>
  <si>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</si>
  <si>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</si>
  <si>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</si>
  <si>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</si>
  <si>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</si>
  <si>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</si>
  <si>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</si>
  <si>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</si>
  <si>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</si>
  <si>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</si>
  <si>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</si>
  <si>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</si>
  <si>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</si>
  <si>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</si>
  <si>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</si>
  <si>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</si>
  <si>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</si>
  <si>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</si>
  <si>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</si>
  <si>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</si>
  <si>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</si>
  <si>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</si>
  <si>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</si>
  <si>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</si>
  <si>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</si>
  <si>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</si>
  <si>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66653927</t>
  </si>
  <si>
    <t>1638114</t>
  </si>
  <si>
    <t>54010918</t>
  </si>
  <si>
    <t>25033894</t>
  </si>
  <si>
    <t>25173415</t>
  </si>
  <si>
    <t>1012203106</t>
  </si>
  <si>
    <t>23399570</t>
  </si>
  <si>
    <t>16259043</t>
  </si>
  <si>
    <t>21066477</t>
  </si>
  <si>
    <t>7505124</t>
  </si>
  <si>
    <t>ok</t>
  </si>
  <si>
    <t>Habitación con 2 camas individuales</t>
  </si>
  <si>
    <t>Habitación doble</t>
  </si>
  <si>
    <t>Banco $ BCI</t>
  </si>
  <si>
    <t>Banco USD BCI</t>
  </si>
  <si>
    <t>MG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</si>
  <si>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</si>
  <si>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</si>
  <si>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</si>
  <si>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</si>
  <si>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</si>
  <si>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</si>
  <si>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</si>
  <si>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</si>
  <si>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</si>
  <si>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</si>
  <si>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</si>
  <si>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</si>
  <si>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</si>
  <si>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</si>
  <si>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</si>
  <si>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</si>
  <si>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</si>
  <si>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</si>
  <si>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</si>
  <si>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</si>
  <si>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</si>
  <si>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</si>
  <si>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</si>
  <si>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</si>
  <si>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</si>
  <si>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</si>
  <si>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</si>
  <si>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</si>
  <si>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</si>
  <si>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</si>
  <si>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</si>
  <si>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</si>
  <si>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</si>
  <si>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</si>
  <si>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</si>
  <si>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</si>
  <si>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</si>
  <si>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</si>
  <si>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</si>
  <si>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</si>
  <si>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</si>
  <si>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</si>
  <si>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</si>
  <si>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</si>
  <si>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</si>
  <si>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>23590575</t>
  </si>
  <si>
    <t xml:space="preserve">Luis Arias Arias                             </t>
  </si>
  <si>
    <t>DEV. CB VIAJES 1</t>
  </si>
  <si>
    <t>ABONO POR PAGO A COMERCIO POR TARJETA D</t>
  </si>
  <si>
    <t>anulacion</t>
  </si>
  <si>
    <t>Cheque Cobrado/Depositado BCI</t>
  </si>
  <si>
    <t>21.924.153-4</t>
  </si>
  <si>
    <t>21924153</t>
  </si>
  <si>
    <t xml:space="preserve">Lucia Choque                                 </t>
  </si>
  <si>
    <t>LAN COM SANTIAGO</t>
  </si>
  <si>
    <t>Retiros</t>
  </si>
  <si>
    <t>no_show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</si>
  <si>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</si>
  <si>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</si>
  <si>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</si>
  <si>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</si>
  <si>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</si>
  <si>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</si>
  <si>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</si>
  <si>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</si>
  <si>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</si>
  <si>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</si>
  <si>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</si>
  <si>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</si>
  <si>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Anulación USD$</t>
  </si>
  <si>
    <t>68</t>
  </si>
  <si>
    <t>64</t>
  </si>
  <si>
    <t>Anulación $</t>
  </si>
  <si>
    <t>DI</t>
  </si>
  <si>
    <t>19.185.447-0</t>
  </si>
  <si>
    <t>19185447</t>
  </si>
  <si>
    <t xml:space="preserve">Javiera Cuadra Bravo                         </t>
  </si>
  <si>
    <t>EL SOL</t>
  </si>
  <si>
    <t>FERRETERIA</t>
  </si>
  <si>
    <t>GIUYMAR</t>
  </si>
  <si>
    <t>Retiros Acumulados 2017-Angelica</t>
  </si>
  <si>
    <t>Retiros Acumulados 2017-Maria</t>
  </si>
  <si>
    <t>Retiros Acumulados 2017-Sergio</t>
  </si>
  <si>
    <t>Retiros Acumulados 2017-Carlos</t>
  </si>
  <si>
    <t>B.SUITE.COM</t>
  </si>
  <si>
    <t>422061XXXXXXX5869</t>
  </si>
  <si>
    <t>552252XXXXXXX8154</t>
  </si>
  <si>
    <t>455110XXXXXXX3188</t>
  </si>
  <si>
    <t>549167XXXXXXX8898</t>
  </si>
  <si>
    <t>40</t>
  </si>
  <si>
    <t>521892XXXXXXX5699</t>
  </si>
  <si>
    <t>438857XXXXXXX7300</t>
  </si>
  <si>
    <t>540445XXXXXXX2686</t>
  </si>
  <si>
    <t>374981XXXXXX2009</t>
  </si>
  <si>
    <t>547408XXXXXXX8406</t>
  </si>
  <si>
    <t>498408XXXXXXX4401</t>
  </si>
  <si>
    <t>419679XXXXXXX1076</t>
  </si>
  <si>
    <t>459078XXXXXXX5332</t>
  </si>
  <si>
    <t>422248XXXXXXX8003</t>
  </si>
  <si>
    <t>17.355.985-2</t>
  </si>
  <si>
    <t>17355985</t>
  </si>
  <si>
    <t xml:space="preserve">Carlos Moscoso B                             </t>
  </si>
  <si>
    <t>2017-04-01</t>
  </si>
  <si>
    <t>2017-04-04</t>
  </si>
  <si>
    <t>2017-04-02</t>
  </si>
  <si>
    <t>2017-04-03</t>
  </si>
  <si>
    <t>01/03/2017 08:13</t>
  </si>
  <si>
    <t>412654XXXXXXX9866</t>
  </si>
  <si>
    <t>000105</t>
  </si>
  <si>
    <t>01/03/2017 11:04</t>
  </si>
  <si>
    <t>475776XXXXXXX3027</t>
  </si>
  <si>
    <t>530583</t>
  </si>
  <si>
    <t>01/03/2017 19:01</t>
  </si>
  <si>
    <t>498453XXXXXXX0008</t>
  </si>
  <si>
    <t>670737</t>
  </si>
  <si>
    <t>01/03/2017 19:03</t>
  </si>
  <si>
    <t>532655XXXXXXX6313</t>
  </si>
  <si>
    <t>598348</t>
  </si>
  <si>
    <t>01/03/2017 19:09</t>
  </si>
  <si>
    <t>521892XXXXXXX4251</t>
  </si>
  <si>
    <t>829766</t>
  </si>
  <si>
    <t>01/03/2017 20:53</t>
  </si>
  <si>
    <t>554904XXXXXXX7501</t>
  </si>
  <si>
    <t>727745</t>
  </si>
  <si>
    <t>01/03/2017 20:55</t>
  </si>
  <si>
    <t>350642</t>
  </si>
  <si>
    <t>02/03/2017 11:12</t>
  </si>
  <si>
    <t>083719</t>
  </si>
  <si>
    <t>02/03/2017 14:09</t>
  </si>
  <si>
    <t>497413XXXXXXX3108</t>
  </si>
  <si>
    <t>033536</t>
  </si>
  <si>
    <t>02/03/2017 15:23</t>
  </si>
  <si>
    <t>549162XXXXXXX3406</t>
  </si>
  <si>
    <t>284343</t>
  </si>
  <si>
    <t>02/03/2017 16:10</t>
  </si>
  <si>
    <t>439027XXXXXXX1958</t>
  </si>
  <si>
    <t>651176</t>
  </si>
  <si>
    <t>02/03/2017 16:12</t>
  </si>
  <si>
    <t>376429XXXXXX9005</t>
  </si>
  <si>
    <t>61</t>
  </si>
  <si>
    <t>02/03/2017 21:11</t>
  </si>
  <si>
    <t>521892XXXXXXX2773</t>
  </si>
  <si>
    <t>016812</t>
  </si>
  <si>
    <t>02/03/2017 21:13</t>
  </si>
  <si>
    <t>532953XXXXXXX8024</t>
  </si>
  <si>
    <t>304685</t>
  </si>
  <si>
    <t>02/03/2017 21:18</t>
  </si>
  <si>
    <t>553096XXXXXXX3106</t>
  </si>
  <si>
    <t>043323</t>
  </si>
  <si>
    <t>03/03/2017 10:30</t>
  </si>
  <si>
    <t>05248C</t>
  </si>
  <si>
    <t>03/03/2017 10:32</t>
  </si>
  <si>
    <t>06595C</t>
  </si>
  <si>
    <t>03/03/2017 11:06</t>
  </si>
  <si>
    <t>379800XXXXXX1003</t>
  </si>
  <si>
    <t>54</t>
  </si>
  <si>
    <t>03/03/2017 13:59</t>
  </si>
  <si>
    <t>440503XXXXXXX9706</t>
  </si>
  <si>
    <t>L409DI</t>
  </si>
  <si>
    <t>03/03/2017 18:55</t>
  </si>
  <si>
    <t>451551</t>
  </si>
  <si>
    <t>04/03/2017 12:59</t>
  </si>
  <si>
    <t>000108</t>
  </si>
  <si>
    <t>05/03/2017 18:15</t>
  </si>
  <si>
    <t>448165XXXXXXX6059</t>
  </si>
  <si>
    <t>217752</t>
  </si>
  <si>
    <t>06/03/2017 10:29</t>
  </si>
  <si>
    <t>325565</t>
  </si>
  <si>
    <t>06/03/2017 20:40</t>
  </si>
  <si>
    <t>445596XXXXXXX2701</t>
  </si>
  <si>
    <t>641334</t>
  </si>
  <si>
    <t>06/03/2017 22:38</t>
  </si>
  <si>
    <t>522832XXXXXXX8402</t>
  </si>
  <si>
    <t>736665</t>
  </si>
  <si>
    <t>07/03/2017 15:06</t>
  </si>
  <si>
    <t>555949XXXXXXX8616</t>
  </si>
  <si>
    <t>15N4SY</t>
  </si>
  <si>
    <t>08/03/2017 16:05</t>
  </si>
  <si>
    <t>14</t>
  </si>
  <si>
    <t>08/03/2017 16:51</t>
  </si>
  <si>
    <t>518595</t>
  </si>
  <si>
    <t>08/03/2017 16:53</t>
  </si>
  <si>
    <t>910624</t>
  </si>
  <si>
    <t>08/03/2017 16:54</t>
  </si>
  <si>
    <t>514868XXXXXXX8942</t>
  </si>
  <si>
    <t>011498</t>
  </si>
  <si>
    <t>414720XXXXXXX8981</t>
  </si>
  <si>
    <t>05487D</t>
  </si>
  <si>
    <t>08/03/2017 16:56</t>
  </si>
  <si>
    <t>531681XXXXXXX6279</t>
  </si>
  <si>
    <t>016154</t>
  </si>
  <si>
    <t>08/03/2017 16:58</t>
  </si>
  <si>
    <t>521892XXXXXXX7346</t>
  </si>
  <si>
    <t>782541</t>
  </si>
  <si>
    <t>08/03/2017 17:00</t>
  </si>
  <si>
    <t>414720XXXXXXX6137</t>
  </si>
  <si>
    <t>03630I</t>
  </si>
  <si>
    <t>08/03/2017 17:02</t>
  </si>
  <si>
    <t>405870XXXXXXX6291</t>
  </si>
  <si>
    <t>912143</t>
  </si>
  <si>
    <t>08/03/2017 17:03</t>
  </si>
  <si>
    <t>521892XXXXXXX9117</t>
  </si>
  <si>
    <t>802719</t>
  </si>
  <si>
    <t>497804XXXXXXX5722</t>
  </si>
  <si>
    <t>224069</t>
  </si>
  <si>
    <t>08/03/2017 17:05</t>
  </si>
  <si>
    <t>514945XXXXXXX8001</t>
  </si>
  <si>
    <t>045159</t>
  </si>
  <si>
    <t>08/03/2017 17:06</t>
  </si>
  <si>
    <t>552489XXXXXXX9360</t>
  </si>
  <si>
    <t>00772Z</t>
  </si>
  <si>
    <t>08/03/2017 17:07</t>
  </si>
  <si>
    <t>455176XXXXXXX2039</t>
  </si>
  <si>
    <t>324409</t>
  </si>
  <si>
    <t>454325XXXXXXX2657</t>
  </si>
  <si>
    <t>222298</t>
  </si>
  <si>
    <t>08/03/2017 17:09</t>
  </si>
  <si>
    <t>552236XXXXXXX7163</t>
  </si>
  <si>
    <t>054957</t>
  </si>
  <si>
    <t>08/03/2017 17:10</t>
  </si>
  <si>
    <t>441524XXXXXXX6892</t>
  </si>
  <si>
    <t>151663</t>
  </si>
  <si>
    <t>08/03/2017 17:11</t>
  </si>
  <si>
    <t>553636XXXXXXX1731</t>
  </si>
  <si>
    <t>064308</t>
  </si>
  <si>
    <t>08/03/2017 19:14</t>
  </si>
  <si>
    <t>497043XXXXXXX0410</t>
  </si>
  <si>
    <t>516512</t>
  </si>
  <si>
    <t>08/03/2017 19:24</t>
  </si>
  <si>
    <t>515876XXXXXXX7694</t>
  </si>
  <si>
    <t>096895</t>
  </si>
  <si>
    <t>08/03/2017 21:35</t>
  </si>
  <si>
    <t>552213XXXXXXX2890</t>
  </si>
  <si>
    <t>055258</t>
  </si>
  <si>
    <t>09/03/2017 07:23</t>
  </si>
  <si>
    <t>3926S1</t>
  </si>
  <si>
    <t>10/03/2017 10:59</t>
  </si>
  <si>
    <t>150767</t>
  </si>
  <si>
    <t>10/03/2017 15:34</t>
  </si>
  <si>
    <t>379783XXXXXX1003</t>
  </si>
  <si>
    <t>10/03/2017 20:33</t>
  </si>
  <si>
    <t>521892XXXXXXX6579</t>
  </si>
  <si>
    <t>834401</t>
  </si>
  <si>
    <t>11/03/2017 14:01</t>
  </si>
  <si>
    <t>371296XXXXXX1005</t>
  </si>
  <si>
    <t>11/03/2017 14:03</t>
  </si>
  <si>
    <t>432151XXXXXXX9141</t>
  </si>
  <si>
    <t>000089</t>
  </si>
  <si>
    <t>11/03/2017 14:12</t>
  </si>
  <si>
    <t>514868XXXXXXX0899</t>
  </si>
  <si>
    <t>053453</t>
  </si>
  <si>
    <t>497202XXXXXXX1139</t>
  </si>
  <si>
    <t>514811</t>
  </si>
  <si>
    <t>11/03/2017 14:14</t>
  </si>
  <si>
    <t>540477XXXXXXX5856</t>
  </si>
  <si>
    <t>563587</t>
  </si>
  <si>
    <t>11/03/2017 14:16</t>
  </si>
  <si>
    <t>490172XXXXXXX2432</t>
  </si>
  <si>
    <t>062648</t>
  </si>
  <si>
    <t>11/03/2017 14:21</t>
  </si>
  <si>
    <t>377825XXXXXX9398</t>
  </si>
  <si>
    <t>715690</t>
  </si>
  <si>
    <t>493787XXXXXXX4826</t>
  </si>
  <si>
    <t>032614</t>
  </si>
  <si>
    <t>11/03/2017 14:24</t>
  </si>
  <si>
    <t>497527XXXXXXX2861</t>
  </si>
  <si>
    <t>826518</t>
  </si>
  <si>
    <t>459326XXXXXXX2102</t>
  </si>
  <si>
    <t>427488</t>
  </si>
  <si>
    <t>11/03/2017 19:59</t>
  </si>
  <si>
    <t>027808</t>
  </si>
  <si>
    <t>12/03/2017 11:17</t>
  </si>
  <si>
    <t>490172XXXXXXX1324</t>
  </si>
  <si>
    <t>037708</t>
  </si>
  <si>
    <t>12/03/2017 18:38</t>
  </si>
  <si>
    <t>13/03/2017 18:19</t>
  </si>
  <si>
    <t>087862</t>
  </si>
  <si>
    <t>14/03/2017 16:36</t>
  </si>
  <si>
    <t>714638</t>
  </si>
  <si>
    <t>14/03/2017 16:37</t>
  </si>
  <si>
    <t>489107XXXXXXX0706</t>
  </si>
  <si>
    <t>474514</t>
  </si>
  <si>
    <t>14/03/2017 16:45</t>
  </si>
  <si>
    <t>374287XXXXXX3033</t>
  </si>
  <si>
    <t>24</t>
  </si>
  <si>
    <t>15/03/2017 11:46</t>
  </si>
  <si>
    <t>873411</t>
  </si>
  <si>
    <t>15/03/2017 13:03</t>
  </si>
  <si>
    <t>498408XXXXXXX1753</t>
  </si>
  <si>
    <t>016172</t>
  </si>
  <si>
    <t>16/03/2017 10:26</t>
  </si>
  <si>
    <t>589710XXXXXXXXX6779</t>
  </si>
  <si>
    <t>005462</t>
  </si>
  <si>
    <t>16/03/2017 16:03</t>
  </si>
  <si>
    <t>523224XXXXXXX2189</t>
  </si>
  <si>
    <t>798051</t>
  </si>
  <si>
    <t>16/03/2017 16:04</t>
  </si>
  <si>
    <t>445199XXXXXXX4012</t>
  </si>
  <si>
    <t>803158</t>
  </si>
  <si>
    <t>16/03/2017 19:42</t>
  </si>
  <si>
    <t>522660XXXXXXX1634</t>
  </si>
  <si>
    <t>076200</t>
  </si>
  <si>
    <t>17/03/2017 09:48</t>
  </si>
  <si>
    <t>455225XXXXXXX4434</t>
  </si>
  <si>
    <t>H94406</t>
  </si>
  <si>
    <t>17/03/2017 11:50</t>
  </si>
  <si>
    <t>439027XXXXXXX2817</t>
  </si>
  <si>
    <t>602255</t>
  </si>
  <si>
    <t>17/03/2017 11:53</t>
  </si>
  <si>
    <t>414720XXXXXXX1934</t>
  </si>
  <si>
    <t>09849C</t>
  </si>
  <si>
    <t>17/03/2017 13:55</t>
  </si>
  <si>
    <t>525718XXXXXXX5848</t>
  </si>
  <si>
    <t>015278</t>
  </si>
  <si>
    <t>17/03/2017 13:56</t>
  </si>
  <si>
    <t>019821</t>
  </si>
  <si>
    <t>17/03/2017 13:59</t>
  </si>
  <si>
    <t>371244XXXXXX2002</t>
  </si>
  <si>
    <t>53</t>
  </si>
  <si>
    <t>17/03/2017 14:00</t>
  </si>
  <si>
    <t>552252XXXXXXX5015</t>
  </si>
  <si>
    <t>771227</t>
  </si>
  <si>
    <t>17/03/2017 14:02</t>
  </si>
  <si>
    <t>531663XXXXXXX7346</t>
  </si>
  <si>
    <t>444318</t>
  </si>
  <si>
    <t>412985XXXXXXX1411</t>
  </si>
  <si>
    <t>005356</t>
  </si>
  <si>
    <t>17/03/2017 14:03</t>
  </si>
  <si>
    <t>414931XXXXXXX1096</t>
  </si>
  <si>
    <t>456413</t>
  </si>
  <si>
    <t>17/03/2017 14:04</t>
  </si>
  <si>
    <t>376089XXXXXX1009</t>
  </si>
  <si>
    <t>90</t>
  </si>
  <si>
    <t>17/03/2017 14:09</t>
  </si>
  <si>
    <t>552289XXXXXXX2068</t>
  </si>
  <si>
    <t>053468</t>
  </si>
  <si>
    <t>*17/03/2017 15:55</t>
  </si>
  <si>
    <t>138167</t>
  </si>
  <si>
    <t>*18/03/2017 10:20</t>
  </si>
  <si>
    <t>535584XXXXXXX2825</t>
  </si>
  <si>
    <t>NSNY5N</t>
  </si>
  <si>
    <t>19/03/2017 16:49</t>
  </si>
  <si>
    <t>377616XXXXXX1426</t>
  </si>
  <si>
    <t>96</t>
  </si>
  <si>
    <t>19/03/2017 17:37</t>
  </si>
  <si>
    <t>433831XXXXXXX1606</t>
  </si>
  <si>
    <t>003138</t>
  </si>
  <si>
    <t>19/03/2017 20:45</t>
  </si>
  <si>
    <t>552289XXXXXXX3255</t>
  </si>
  <si>
    <t>022687</t>
  </si>
  <si>
    <t>20/03/2017 10:48</t>
  </si>
  <si>
    <t>921959</t>
  </si>
  <si>
    <t>20/03/2017 12:14</t>
  </si>
  <si>
    <t>553177XXXXXXX9932</t>
  </si>
  <si>
    <t>364151</t>
  </si>
  <si>
    <t>20/03/2017 21:19</t>
  </si>
  <si>
    <t>408586XXXXXXX5720</t>
  </si>
  <si>
    <t>085500</t>
  </si>
  <si>
    <t>21/03/2017 11:33</t>
  </si>
  <si>
    <t>NITA2F</t>
  </si>
  <si>
    <t>21/03/2017 15:32</t>
  </si>
  <si>
    <t>540477XXXXXXX2971</t>
  </si>
  <si>
    <t>306388</t>
  </si>
  <si>
    <t>21/03/2017 16:38</t>
  </si>
  <si>
    <t>009184</t>
  </si>
  <si>
    <t>21/03/2017 17:26</t>
  </si>
  <si>
    <t>452088XXXXXXX2690</t>
  </si>
  <si>
    <t>09546I</t>
  </si>
  <si>
    <t>21/03/2017 23:13</t>
  </si>
  <si>
    <t>457972XXXXXXX4083</t>
  </si>
  <si>
    <t>317654</t>
  </si>
  <si>
    <t>22/03/2017 18:23</t>
  </si>
  <si>
    <t>552289XXXXXXX6430</t>
  </si>
  <si>
    <t>078166</t>
  </si>
  <si>
    <t>22/03/2017 19:51</t>
  </si>
  <si>
    <t>317665</t>
  </si>
  <si>
    <t>23/03/2017 10:04</t>
  </si>
  <si>
    <t>525663XXXXXXX2282</t>
  </si>
  <si>
    <t>090358</t>
  </si>
  <si>
    <t>23/03/2017 10:19</t>
  </si>
  <si>
    <t>414720XXXXXXX2410</t>
  </si>
  <si>
    <t>00567C</t>
  </si>
  <si>
    <t>23/03/2017 10:21</t>
  </si>
  <si>
    <t>497943XXXXXXX5278</t>
  </si>
  <si>
    <t>214116</t>
  </si>
  <si>
    <t>23/03/2017 10:23</t>
  </si>
  <si>
    <t>549167XXXXXXX0850</t>
  </si>
  <si>
    <t>086534</t>
  </si>
  <si>
    <t>23/03/2017 10:28</t>
  </si>
  <si>
    <t>450878XXXXXXX2809</t>
  </si>
  <si>
    <t>735036</t>
  </si>
  <si>
    <t>23/03/2017 10:54</t>
  </si>
  <si>
    <t>421355XXXXXXX3813</t>
  </si>
  <si>
    <t>190057</t>
  </si>
  <si>
    <t>23/03/2017 10:59</t>
  </si>
  <si>
    <t>552273XXXXXXX3122</t>
  </si>
  <si>
    <t>607658</t>
  </si>
  <si>
    <t>23/03/2017 11:00</t>
  </si>
  <si>
    <t>544731XXXXXXX1059</t>
  </si>
  <si>
    <t>011371</t>
  </si>
  <si>
    <t>23/03/2017 11:01</t>
  </si>
  <si>
    <t>483313XXXXXXX8204</t>
  </si>
  <si>
    <t>080210</t>
  </si>
  <si>
    <t>23/03/2017 11:07</t>
  </si>
  <si>
    <t>553636XXXXXXX6104</t>
  </si>
  <si>
    <t>050523</t>
  </si>
  <si>
    <t>23/03/2017 11:16</t>
  </si>
  <si>
    <t>525664XXXXXXX6771</t>
  </si>
  <si>
    <t>076378</t>
  </si>
  <si>
    <t>23/03/2017 11:17</t>
  </si>
  <si>
    <t>377616XXXXXX4407</t>
  </si>
  <si>
    <t>56</t>
  </si>
  <si>
    <t>23/03/2017 11:20</t>
  </si>
  <si>
    <t>552475XXXXXXX5190</t>
  </si>
  <si>
    <t>00761P</t>
  </si>
  <si>
    <t>23/03/2017 11:23</t>
  </si>
  <si>
    <t>549162XXXXXXX5313</t>
  </si>
  <si>
    <t>134881</t>
  </si>
  <si>
    <t>23/03/2017 11:24</t>
  </si>
  <si>
    <t>521892XXXXXXX4201</t>
  </si>
  <si>
    <t>080792</t>
  </si>
  <si>
    <t>23/03/2017 11:26</t>
  </si>
  <si>
    <t>452487XXXXXXX0348</t>
  </si>
  <si>
    <t>349827</t>
  </si>
  <si>
    <t>23/03/2017 18:39</t>
  </si>
  <si>
    <t>565295</t>
  </si>
  <si>
    <t>23/03/2017 21:41</t>
  </si>
  <si>
    <t>458643XXXXXXX9405</t>
  </si>
  <si>
    <t>H12749</t>
  </si>
  <si>
    <t>24/03/2017 07:12</t>
  </si>
  <si>
    <t>407505XXXXXXX7643</t>
  </si>
  <si>
    <t>065394</t>
  </si>
  <si>
    <t>24/03/2017 13:20</t>
  </si>
  <si>
    <t>032112</t>
  </si>
  <si>
    <t>24/03/2017 13:21</t>
  </si>
  <si>
    <t>021339</t>
  </si>
  <si>
    <t>24/03/2017 13:22</t>
  </si>
  <si>
    <t>032331</t>
  </si>
  <si>
    <t>25/03/2017 10:32</t>
  </si>
  <si>
    <t>522081</t>
  </si>
  <si>
    <t>25/03/2017 17:20</t>
  </si>
  <si>
    <t>11</t>
  </si>
  <si>
    <t>26/03/2017 12:52</t>
  </si>
  <si>
    <t>099589</t>
  </si>
  <si>
    <t>26/03/2017 12:55</t>
  </si>
  <si>
    <t>055528</t>
  </si>
  <si>
    <t>26/03/2017 14:45</t>
  </si>
  <si>
    <t>406669XXXXXXX9679</t>
  </si>
  <si>
    <t>660290</t>
  </si>
  <si>
    <t>27/03/2017 20:50</t>
  </si>
  <si>
    <t>01714D</t>
  </si>
  <si>
    <t>27/03/2017 21:48</t>
  </si>
  <si>
    <t>433831XXXXXXX3272</t>
  </si>
  <si>
    <t>005389</t>
  </si>
  <si>
    <t>30/03/2017 08:20</t>
  </si>
  <si>
    <t>30/03/2017 09:00</t>
  </si>
  <si>
    <t>376478XXXXXX5003</t>
  </si>
  <si>
    <t>43</t>
  </si>
  <si>
    <t>30/03/2017 13:29</t>
  </si>
  <si>
    <t>076835</t>
  </si>
  <si>
    <t>31/03/2017 10:54</t>
  </si>
  <si>
    <t>498811XXXXXXX3749</t>
  </si>
  <si>
    <t>535099</t>
  </si>
  <si>
    <t>31/03/2017 11:43</t>
  </si>
  <si>
    <t>521892XXXXXXX8792</t>
  </si>
  <si>
    <t>826661</t>
  </si>
  <si>
    <t>931022</t>
  </si>
  <si>
    <t>01700I</t>
  </si>
  <si>
    <t>08/03/2017</t>
  </si>
  <si>
    <t>17/03/2017</t>
  </si>
  <si>
    <t>22/03/2017</t>
  </si>
  <si>
    <t>HOMECENTER</t>
  </si>
  <si>
    <t>09/03/2017</t>
  </si>
  <si>
    <t>VALIMPORT</t>
  </si>
  <si>
    <t>NOTARIA</t>
  </si>
  <si>
    <t>SAN PEDRO ATACAMA</t>
  </si>
  <si>
    <t>Deposito En Efectivo Por Caja</t>
  </si>
  <si>
    <t>COMPRA DE DIVISAS</t>
  </si>
  <si>
    <t>SITEMINDER</t>
  </si>
  <si>
    <t>11/03/2017</t>
  </si>
  <si>
    <t>EXPEDIA HC COMP PYM</t>
  </si>
  <si>
    <t>WWW.HOTELOGIX.COM</t>
  </si>
  <si>
    <t>GOOGLE *SVCSAPPS_PA</t>
  </si>
  <si>
    <t>- 2.500.000</t>
  </si>
  <si>
    <t>15/03/2017</t>
  </si>
  <si>
    <t>- 200.000</t>
  </si>
  <si>
    <t>99.061.000-2</t>
  </si>
  <si>
    <t>2141803</t>
  </si>
  <si>
    <t xml:space="preserve">LIBERTY SEGURO                               </t>
  </si>
  <si>
    <t>14.167.960-0</t>
  </si>
  <si>
    <t>14167960</t>
  </si>
  <si>
    <t xml:space="preserve">Cristian Edwards Bravo                       </t>
  </si>
  <si>
    <t>Liquidez en banco- 1 Marzo</t>
  </si>
  <si>
    <t xml:space="preserve">GABRIELA MEDEIROS </t>
  </si>
  <si>
    <t>MICHEL SAMSON</t>
  </si>
  <si>
    <t>CECILE DESSENT</t>
  </si>
  <si>
    <t>SMITH LIKHITMASKUL</t>
  </si>
  <si>
    <t>HECTOR MORILLA</t>
  </si>
  <si>
    <t>LUCIANO GRANETO</t>
  </si>
  <si>
    <t>LUIZ AQUINO</t>
  </si>
  <si>
    <t>VALERIA MARRNO</t>
  </si>
  <si>
    <t>MERYL CABELLOS</t>
  </si>
  <si>
    <t>DANIEL GENNARELLI</t>
  </si>
  <si>
    <t>ANA SILVA</t>
  </si>
  <si>
    <t>SERGIO HERNANDEZ</t>
  </si>
  <si>
    <t>CAMILA YEBOLES</t>
  </si>
  <si>
    <t>PATRICIA MATSUBARA</t>
  </si>
  <si>
    <t>RUDOLF EYLERTS</t>
  </si>
  <si>
    <t>MAHE GROULT</t>
  </si>
  <si>
    <t>JOEL BARDEL</t>
  </si>
  <si>
    <t>RACHEL TERUMI</t>
  </si>
  <si>
    <t>ALICE CAETANO</t>
  </si>
  <si>
    <t>DAVID XU</t>
  </si>
  <si>
    <t>ALINE BARRETO</t>
  </si>
  <si>
    <t>BRENO MENDOCA</t>
  </si>
  <si>
    <t xml:space="preserve">CESAR MORENO </t>
  </si>
  <si>
    <t>CAROLINA REQUENA</t>
  </si>
  <si>
    <t>FRANCISCA LECOURT</t>
  </si>
  <si>
    <t>CRISTIAN MARTINEZ</t>
  </si>
  <si>
    <t>FELIPE BATISTA</t>
  </si>
  <si>
    <t>CHRISTIAN ARIAS</t>
  </si>
  <si>
    <t xml:space="preserve">ROSSIE ZEN </t>
  </si>
  <si>
    <t>MARCELO LOURO</t>
  </si>
  <si>
    <t>KWANGJU PARK</t>
  </si>
  <si>
    <t>MARIANA QUEIROZ</t>
  </si>
  <si>
    <t>ALESSANDRI PONCE</t>
  </si>
  <si>
    <t>KAREN BRAZIL</t>
  </si>
  <si>
    <t xml:space="preserve">URS GAMMA </t>
  </si>
  <si>
    <t>GUILHERME SANTOS</t>
  </si>
  <si>
    <t>JUAN HERNANDEZ</t>
  </si>
  <si>
    <t>CARLOS PUCHETA</t>
  </si>
  <si>
    <t xml:space="preserve">JORGE SCHENKE </t>
  </si>
  <si>
    <t>CARLOS GARCIA</t>
  </si>
  <si>
    <t>HEIJI INUZUKA</t>
  </si>
  <si>
    <t>MARCOS DOTI</t>
  </si>
  <si>
    <t>FELIPE FURTADO</t>
  </si>
  <si>
    <t>MICHAEL IRVING</t>
  </si>
  <si>
    <t>JUAN PABLO FUENTES</t>
  </si>
  <si>
    <t>SURAIA TRUZZI DINNI</t>
  </si>
  <si>
    <t>THEA HENRY</t>
  </si>
  <si>
    <t>ANA PAULA ANTUNES</t>
  </si>
  <si>
    <t>CHANDLER GRAEMER</t>
  </si>
  <si>
    <t>ALESSANDRA LANNA</t>
  </si>
  <si>
    <t>EUGENIO GARCIA</t>
  </si>
  <si>
    <t>LARA SEKIGUCHI</t>
  </si>
  <si>
    <t>AJ VOS</t>
  </si>
  <si>
    <t>GERRIT DOORNE</t>
  </si>
  <si>
    <t>JAVIER RUIZ</t>
  </si>
  <si>
    <t>KEN SAKAJIRI</t>
  </si>
  <si>
    <t>IRINA CASTRO</t>
  </si>
  <si>
    <t>ANDREA ZACCO</t>
  </si>
  <si>
    <t xml:space="preserve">PAULO ESTEVES </t>
  </si>
  <si>
    <t>30-04-017</t>
  </si>
  <si>
    <t>NAHO KOHTAKE</t>
  </si>
  <si>
    <t>LUIZA ALVES</t>
  </si>
  <si>
    <t>MARIA PAZ FLORES</t>
  </si>
  <si>
    <t>SYLVIE ALLARD</t>
  </si>
  <si>
    <t>DUANE HARRISON</t>
  </si>
  <si>
    <t>CARLA DA SILVA CALVETE</t>
  </si>
  <si>
    <t xml:space="preserve">YORK TICHELMANN </t>
  </si>
  <si>
    <t>JULIET JOHNSON</t>
  </si>
  <si>
    <t xml:space="preserve">MIRIAM  KITCHEN </t>
  </si>
  <si>
    <t>FELIPE YAÑEZ</t>
  </si>
  <si>
    <t xml:space="preserve">WALTER SOLDAN </t>
  </si>
  <si>
    <t>CARLOS DEBONI</t>
  </si>
  <si>
    <t>KIM PATRICK</t>
  </si>
  <si>
    <t>JASON SONG</t>
  </si>
  <si>
    <t>CLARA HASKOVEC</t>
  </si>
  <si>
    <t xml:space="preserve">BRIDIE MANN </t>
  </si>
  <si>
    <t>ALAN BOYLE</t>
  </si>
  <si>
    <t>ALISON DAL PAI</t>
  </si>
  <si>
    <t>ADITYA AURADKAR</t>
  </si>
  <si>
    <t>RONALDO MORIMOTO</t>
  </si>
  <si>
    <t>522832XXXXXXX0773</t>
  </si>
  <si>
    <t>522840XXXXXXX9225</t>
  </si>
  <si>
    <t>04956Z</t>
  </si>
  <si>
    <t>455110XXXXXXX2061</t>
  </si>
  <si>
    <t>406655XXXXXXX6799</t>
  </si>
  <si>
    <t>371294XXXXXX2000</t>
  </si>
  <si>
    <t>414720XXXXXXX7150</t>
  </si>
  <si>
    <t>02558I</t>
  </si>
  <si>
    <t>377711XXXXXX2938</t>
  </si>
  <si>
    <t>550140XXXXXXX5616</t>
  </si>
  <si>
    <t>516361XXXXXXX8251</t>
  </si>
  <si>
    <t>R51032</t>
  </si>
  <si>
    <t>414720XXXXXXX3079</t>
  </si>
  <si>
    <t>03281I</t>
  </si>
  <si>
    <t>450637XXXXXXX3505</t>
  </si>
  <si>
    <t>549167XXXXXXX4318</t>
  </si>
  <si>
    <t>421847XXXXXXX5386</t>
  </si>
  <si>
    <t>378795XXXXXX1007</t>
  </si>
  <si>
    <t>440066XXXXXXX6137</t>
  </si>
  <si>
    <t>05371C</t>
  </si>
  <si>
    <t>414720XXXXXXX6632</t>
  </si>
  <si>
    <t>07633C</t>
  </si>
  <si>
    <t>448165XXXXXXX0869</t>
  </si>
  <si>
    <t>540926XXXXXXX0077</t>
  </si>
  <si>
    <t>434960XXXXXXX5337</t>
  </si>
  <si>
    <t>377169XXXXXX1013</t>
  </si>
  <si>
    <t>422061XXXXXXX8475</t>
  </si>
  <si>
    <t>512267XXXXXXX4112</t>
  </si>
  <si>
    <t>T85302</t>
  </si>
  <si>
    <t>376072XXXXXX2000</t>
  </si>
  <si>
    <t>440066XXXXXXX3854</t>
  </si>
  <si>
    <t>07017D</t>
  </si>
  <si>
    <t>516220XXXXXXX6592</t>
  </si>
  <si>
    <t>444499</t>
  </si>
  <si>
    <t>560551</t>
  </si>
  <si>
    <t>492910XXXXXXX1006</t>
  </si>
  <si>
    <t>514945XXXXXXX2138</t>
  </si>
  <si>
    <t>360756XXXXX6607</t>
  </si>
  <si>
    <t>377169XXXXXX1007</t>
  </si>
  <si>
    <t>421958XXXXXXX3446</t>
  </si>
  <si>
    <t>412177XXXXXXX3139</t>
  </si>
  <si>
    <t>553636XXXXXXX0485</t>
  </si>
  <si>
    <t>552289XXXXXXX8031</t>
  </si>
  <si>
    <t>549167XXXXXXX0645</t>
  </si>
  <si>
    <t>450979XXXXXXX8528</t>
  </si>
  <si>
    <t>522832XXXXXXX7096</t>
  </si>
  <si>
    <t>455183XXXXXXX3394</t>
  </si>
  <si>
    <t>522832XXXXXXX3411</t>
  </si>
  <si>
    <t>524886XXXXXXX9983</t>
  </si>
  <si>
    <t>549162XXXXXXX1073</t>
  </si>
  <si>
    <t>417624XXXXXXX4871</t>
  </si>
  <si>
    <t>498406XXXXXXX6848</t>
  </si>
  <si>
    <t>514945XXXXXXX3000</t>
  </si>
  <si>
    <t>406669XXXXXXX0889</t>
  </si>
  <si>
    <t>453211XXXXXXX8749</t>
  </si>
  <si>
    <t>542820XXXXXXX9375</t>
  </si>
  <si>
    <t>421960XXXXXXX0506</t>
  </si>
  <si>
    <t>422695XXXXXXX0188</t>
  </si>
  <si>
    <t>06594D</t>
  </si>
  <si>
    <t>376445XXXXXX1008</t>
  </si>
  <si>
    <t>515590XXXXXXX5474</t>
  </si>
  <si>
    <t>497041XXXXXXX3821</t>
  </si>
  <si>
    <t>549162XXXXXXX9550</t>
  </si>
  <si>
    <t>477272XXXXXXX3512</t>
  </si>
  <si>
    <t>451757XXXXXXX2902</t>
  </si>
  <si>
    <t>450994XXXXXXX3132</t>
  </si>
  <si>
    <t>465950XXXXXXX6096</t>
  </si>
  <si>
    <t>542418XXXXXXX7819</t>
  </si>
  <si>
    <t>41497B</t>
  </si>
  <si>
    <t>446867XXXXXXX5952</t>
  </si>
  <si>
    <t>H19237</t>
  </si>
  <si>
    <t>498401XXXXXXX0330</t>
  </si>
  <si>
    <t>422061XXXXXXX4813</t>
  </si>
  <si>
    <t>411911XXXXXXX9245</t>
  </si>
  <si>
    <t>406669XXXXXXX5944</t>
  </si>
  <si>
    <t>377825XXXXXX4063</t>
  </si>
  <si>
    <t>855728</t>
  </si>
  <si>
    <t>453211XXXXXXX2352</t>
  </si>
  <si>
    <t>515590XXXXXXX7018</t>
  </si>
  <si>
    <t>498408XXXXXXX3924</t>
  </si>
  <si>
    <t>421847XXXXXXX1001</t>
  </si>
  <si>
    <t>545053XXXXXXX0968</t>
  </si>
  <si>
    <t>521892XXXXXXX1995</t>
  </si>
  <si>
    <t>514868XXXXXXX9564</t>
  </si>
  <si>
    <t>515590XXXXXXX2963</t>
  </si>
  <si>
    <t>498423XXXXXXX0148</t>
  </si>
  <si>
    <t>475775XXXXXXX4738</t>
  </si>
  <si>
    <t>474843XXXXXXX3674</t>
  </si>
  <si>
    <t>522832XXXXXXX4947</t>
  </si>
  <si>
    <t>515590XXXXXXX1880</t>
  </si>
  <si>
    <t>490172XXXXXXX4167</t>
  </si>
  <si>
    <t>553636XXXXXXX6619</t>
  </si>
  <si>
    <t>553645XXXXXXX5864</t>
  </si>
  <si>
    <t>376461XXXXXX3001</t>
  </si>
  <si>
    <t>377662XXXXXX5707</t>
  </si>
  <si>
    <t>490172XXXXXXX2798</t>
  </si>
  <si>
    <t>515590XXXXXXX1264</t>
  </si>
  <si>
    <t>552252XXXXXXX3406</t>
  </si>
  <si>
    <t>454818XXXXXXX8011</t>
  </si>
  <si>
    <t>527934XXXXXXX2097</t>
  </si>
  <si>
    <t>479395XXXXXXX3312</t>
  </si>
  <si>
    <t>376214XXXXXX1007</t>
  </si>
  <si>
    <t>549167XXXXXXX2787</t>
  </si>
  <si>
    <t>521892XXXXXXX6070</t>
  </si>
  <si>
    <t>549167XXXXXXX9506</t>
  </si>
  <si>
    <t>521892XXXXXXX0678</t>
  </si>
  <si>
    <t>589701XXXXXXXXX6910</t>
  </si>
  <si>
    <t>559202XXXXXXX6420</t>
  </si>
  <si>
    <t>Facturas</t>
  </si>
  <si>
    <t>Medeiros, Gabriela</t>
  </si>
  <si>
    <t>Gabriela Medeiros</t>
  </si>
  <si>
    <t>2017-01-12 11:42:05</t>
  </si>
  <si>
    <t>Samson, Michel</t>
  </si>
  <si>
    <t>Michel Samson</t>
  </si>
  <si>
    <t>2017-01-03 15:38:23</t>
  </si>
  <si>
    <t>Smithi Likhitmaskul</t>
  </si>
  <si>
    <t>2017-02-17 11:37:04</t>
  </si>
  <si>
    <t>Dessent, Cécile</t>
  </si>
  <si>
    <t>Cécile Dessent</t>
  </si>
  <si>
    <t>2017-04-08</t>
  </si>
  <si>
    <t>2016-11-13 20:44:40</t>
  </si>
  <si>
    <t>Aquino, Luiz Saulo</t>
  </si>
  <si>
    <t>Luiz Saulo Aquino</t>
  </si>
  <si>
    <t>2017-04-10</t>
  </si>
  <si>
    <t>2017-01-12 23:46:30</t>
  </si>
  <si>
    <t>Graneto Vieira, Luciano</t>
  </si>
  <si>
    <t>Luciano Graneto Vieira</t>
  </si>
  <si>
    <t>2017-04-07</t>
  </si>
  <si>
    <t>2017-03-10 22:40:19</t>
  </si>
  <si>
    <t>MORILLA, HECTOR</t>
  </si>
  <si>
    <t>2017-04-06</t>
  </si>
  <si>
    <t>2017-03-31 05:18:31</t>
  </si>
  <si>
    <t>Marrano, Valéria</t>
  </si>
  <si>
    <t>Valéria Cecílio Alba Marrano</t>
  </si>
  <si>
    <t>2016-06-15 03:43:15</t>
  </si>
  <si>
    <t>Cabellos, Meryl</t>
  </si>
  <si>
    <t>Meryl Cabellos</t>
  </si>
  <si>
    <t>2017-03-18 23:01:52</t>
  </si>
  <si>
    <t>Gennarelli, Daniel</t>
  </si>
  <si>
    <t>Daniel Gennarelli</t>
  </si>
  <si>
    <t>2017-04-01 14:27:00</t>
  </si>
  <si>
    <t>Matsubara, Patricia</t>
  </si>
  <si>
    <t>Patricia Matsubara</t>
  </si>
  <si>
    <t>2017-04-13</t>
  </si>
  <si>
    <t>2017-01-11 15:47:13</t>
  </si>
  <si>
    <t>Silva Solísde Ovando, Ana</t>
  </si>
  <si>
    <t>Ana Silva Solísde Ovando</t>
  </si>
  <si>
    <t>2017-04-09</t>
  </si>
  <si>
    <t>2016-12-27 14:29:23</t>
  </si>
  <si>
    <t>Yéboles, Camila</t>
  </si>
  <si>
    <t>Camila Yéboles</t>
  </si>
  <si>
    <t>2017-04-14</t>
  </si>
  <si>
    <t>2017-01-08 22:31:43</t>
  </si>
  <si>
    <t>HERNANDEZ, SERGIO</t>
  </si>
  <si>
    <t>2016-12-30 01:23:07</t>
  </si>
  <si>
    <t>BARDEL, JOEL</t>
  </si>
  <si>
    <t>2017-03-13 00:19:25</t>
  </si>
  <si>
    <t>2017-03-23 14:20:03</t>
  </si>
  <si>
    <t>GROULT, Mahe</t>
  </si>
  <si>
    <t>Mahe GROULT</t>
  </si>
  <si>
    <t>2017-04-12</t>
  </si>
  <si>
    <t>2017-03-05 17:38:35</t>
  </si>
  <si>
    <t>Eylerts, Rudolf</t>
  </si>
  <si>
    <t>Rudolf Eylerts</t>
  </si>
  <si>
    <t>2017-04-11</t>
  </si>
  <si>
    <t>2017-02-14 22:38:01</t>
  </si>
  <si>
    <t>David Xu</t>
  </si>
  <si>
    <t>2017-01-22 15:54:38</t>
  </si>
  <si>
    <t>Higashi, Rachel Terumi</t>
  </si>
  <si>
    <t>Rachel Terumi Higashi</t>
  </si>
  <si>
    <t>2017-02-02 03:09:07</t>
  </si>
  <si>
    <t>Caetano, Alice</t>
  </si>
  <si>
    <t>Alice Caetano</t>
  </si>
  <si>
    <t>2017-02-13 23:53:28</t>
  </si>
  <si>
    <t>2017-03-23 14:23:01</t>
  </si>
  <si>
    <t>2016-12-30 01:33:51</t>
  </si>
  <si>
    <t>Barreto c sobral, Aline</t>
  </si>
  <si>
    <t>2017-04-15</t>
  </si>
  <si>
    <t>2017-03-21 12:18:37</t>
  </si>
  <si>
    <t>Mendonca, Breno</t>
  </si>
  <si>
    <t>Breno Mendonca</t>
  </si>
  <si>
    <t>2017-01-05 15:57:17</t>
  </si>
  <si>
    <t>Cesar Moreno Mendoza</t>
  </si>
  <si>
    <t>2017-04-17</t>
  </si>
  <si>
    <t>2016-12-05 01:37:24</t>
  </si>
  <si>
    <t>Requena, Carolina</t>
  </si>
  <si>
    <t>Carolina Requena</t>
  </si>
  <si>
    <t>2017-04-16</t>
  </si>
  <si>
    <t>2017-03-17 23:00:36</t>
  </si>
  <si>
    <t>Martinez, Cristian</t>
  </si>
  <si>
    <t>Cristian Martinez</t>
  </si>
  <si>
    <t>2016-11-07 16:49:06</t>
  </si>
  <si>
    <t>2017-02-02 03:06:17</t>
  </si>
  <si>
    <t>Lecourt, Francisca</t>
  </si>
  <si>
    <t>Francisca Lecourt</t>
  </si>
  <si>
    <t>2016-12-21 15:22:10</t>
  </si>
  <si>
    <t>Batista, Felipe</t>
  </si>
  <si>
    <t>Felipe Batista</t>
  </si>
  <si>
    <t>2017-04-20</t>
  </si>
  <si>
    <t>2017-03-20 21:51:38</t>
  </si>
  <si>
    <t>Zen, Rossie</t>
  </si>
  <si>
    <t>Rossie Zen</t>
  </si>
  <si>
    <t>2017-04-18</t>
  </si>
  <si>
    <t>2017-02-15 13:06:47</t>
  </si>
  <si>
    <t>louro, marcelo</t>
  </si>
  <si>
    <t>marcelo louro</t>
  </si>
  <si>
    <t>2017-03-22 01:41:52</t>
  </si>
  <si>
    <t>Arias, Christian</t>
  </si>
  <si>
    <t>Christian Arias</t>
  </si>
  <si>
    <t>2017-04-04 09:13:57</t>
  </si>
  <si>
    <t>park, kwangju</t>
  </si>
  <si>
    <t>park kwangju</t>
  </si>
  <si>
    <t>2017-04-19</t>
  </si>
  <si>
    <t>2017-03-27 12:36:09</t>
  </si>
  <si>
    <t>Ponce, Alessandri</t>
  </si>
  <si>
    <t>Alessandri Ponce</t>
  </si>
  <si>
    <t>2017-02-01 23:54:11</t>
  </si>
  <si>
    <t>queiroz, mariana</t>
  </si>
  <si>
    <t>mariana thomaz da silva queiroz</t>
  </si>
  <si>
    <t>2017-01-16 01:10:24</t>
  </si>
  <si>
    <t>2017-03-24 02:06:24</t>
  </si>
  <si>
    <t>Brazil, Karen</t>
  </si>
  <si>
    <t>Karen  Brazil</t>
  </si>
  <si>
    <t>2017-04-21</t>
  </si>
  <si>
    <t>2017-03-31 15:47:07</t>
  </si>
  <si>
    <t>Gamma, Urs</t>
  </si>
  <si>
    <t>Urs Gamma</t>
  </si>
  <si>
    <t>2017-04-05 00:28:37</t>
  </si>
  <si>
    <t>Hernandez, Juan</t>
  </si>
  <si>
    <t>Alvaro Nussbaum; Juan Hernandez</t>
  </si>
  <si>
    <t>2017-02-27 23:00:05</t>
  </si>
  <si>
    <t>Santos, Guilherme</t>
  </si>
  <si>
    <t>Bianca Fernandes Vasco</t>
  </si>
  <si>
    <t>2017-04-24</t>
  </si>
  <si>
    <t>2017-02-25 01:34:59</t>
  </si>
  <si>
    <t>García Oliveros, Carlos</t>
  </si>
  <si>
    <t>Carlos García Oliveros</t>
  </si>
  <si>
    <t>2017-04-23</t>
  </si>
  <si>
    <t>2016-12-21 23:03:57</t>
  </si>
  <si>
    <t>schenke, jorge</t>
  </si>
  <si>
    <t>jorge schenke</t>
  </si>
  <si>
    <t>2017-04-22</t>
  </si>
  <si>
    <t>2017-03-08 00:12:53</t>
  </si>
  <si>
    <t>Pucheta, Carlos V</t>
  </si>
  <si>
    <t>Carlos V Pucheta</t>
  </si>
  <si>
    <t>2016-05-31 22:21:51</t>
  </si>
  <si>
    <t>Inuzuka, Heiji</t>
  </si>
  <si>
    <t>Heiji Inuzuka</t>
  </si>
  <si>
    <t>2017-04-26</t>
  </si>
  <si>
    <t>2017-01-16 20:24:10</t>
  </si>
  <si>
    <t>González, Alfonso</t>
  </si>
  <si>
    <t>Alfonso González Derri</t>
  </si>
  <si>
    <t>2016-11-10 02:09:05</t>
  </si>
  <si>
    <t>Doti, Marcos</t>
  </si>
  <si>
    <t>Marcos Doti</t>
  </si>
  <si>
    <t>2017-04-27</t>
  </si>
  <si>
    <t>2016-09-03 22:45:30</t>
  </si>
  <si>
    <t>Irving, Michael</t>
  </si>
  <si>
    <t>Michael Irving</t>
  </si>
  <si>
    <t>2017-04-25</t>
  </si>
  <si>
    <t>2017-01-12 13:38:20</t>
  </si>
  <si>
    <t>fuentes cortes, juan pablo</t>
  </si>
  <si>
    <t>juan pablo fuentes cortes</t>
  </si>
  <si>
    <t>2017-01-23 01:26:51</t>
  </si>
  <si>
    <t>Furtado Groke, Felipe</t>
  </si>
  <si>
    <t>Felipe Furtado Groke</t>
  </si>
  <si>
    <t>2017-04-29</t>
  </si>
  <si>
    <t>2017-01-15 18:31:37</t>
  </si>
  <si>
    <t>Dini, Suraia Abboud Truzzi</t>
  </si>
  <si>
    <t>Suraia Abboud Truzzi Dini</t>
  </si>
  <si>
    <t>2017-03-05 22:24:28</t>
  </si>
  <si>
    <t>Antunes, Ana Paula</t>
  </si>
  <si>
    <t>Ana Paula Antunes</t>
  </si>
  <si>
    <t>2017-02-28 20:32:49</t>
  </si>
  <si>
    <t>Henry, Thea</t>
  </si>
  <si>
    <t>Thea Henry</t>
  </si>
  <si>
    <t>2017-04-28</t>
  </si>
  <si>
    <t>2017-03-09 00:07:41</t>
  </si>
  <si>
    <t>graeme, chandler</t>
  </si>
  <si>
    <t>chandler graeme; graham johnson</t>
  </si>
  <si>
    <t>2017-01-26 19:26:30</t>
  </si>
  <si>
    <t>Lanna, Alessandra</t>
  </si>
  <si>
    <t>2017-05-03</t>
  </si>
  <si>
    <t>2017-02-24 12:32:07</t>
  </si>
  <si>
    <t>Sekiguchi, Lara</t>
  </si>
  <si>
    <t>Lara Sekiguchi</t>
  </si>
  <si>
    <t>2017-04-30</t>
  </si>
  <si>
    <t>2017-02-15 18:38:31</t>
  </si>
  <si>
    <t>Doorn, Gerrit</t>
  </si>
  <si>
    <t>2017-03-04 18:05:48</t>
  </si>
  <si>
    <t>Garcia, Eugenio</t>
  </si>
  <si>
    <t>Eugenio Garcia</t>
  </si>
  <si>
    <t>2016-10-08 02:13:45</t>
  </si>
  <si>
    <t>Vos, AJ</t>
  </si>
  <si>
    <t>AJ Vos</t>
  </si>
  <si>
    <t>2017-03-04 18:00:23</t>
  </si>
  <si>
    <t>Zacco, Andrea</t>
  </si>
  <si>
    <t>Andrea Zacco</t>
  </si>
  <si>
    <t>2017-05-01</t>
  </si>
  <si>
    <t>2016-11-04 02:03:53</t>
  </si>
  <si>
    <t>Ruiz, Javier</t>
  </si>
  <si>
    <t>Javier Ruiz</t>
  </si>
  <si>
    <t>2017-02-20 01:00:53</t>
  </si>
  <si>
    <t>Sakajiri, Ken</t>
  </si>
  <si>
    <t>2017-05-02</t>
  </si>
  <si>
    <t>2017-03-01 02:53:44</t>
  </si>
  <si>
    <t>CASTRO, IRINA</t>
  </si>
  <si>
    <t>IRINA CASTRO ARIAS</t>
  </si>
  <si>
    <t>2016-12-28 14:58:46</t>
  </si>
  <si>
    <t>Kohtake, Naho</t>
  </si>
  <si>
    <t>Kohtake Naho</t>
  </si>
  <si>
    <t>2017-02-25 16:36:19</t>
  </si>
  <si>
    <t>Esteves, Paulo</t>
  </si>
  <si>
    <t>Paulo Esteves</t>
  </si>
  <si>
    <t>2017-04-21 21:37:35</t>
  </si>
  <si>
    <t>Alves, Luiza</t>
  </si>
  <si>
    <t>Luiza Alves</t>
  </si>
  <si>
    <t>2017-05-04</t>
  </si>
  <si>
    <t>2017-04-30 13:54:19</t>
  </si>
  <si>
    <t>Alan Edward Boyle</t>
  </si>
  <si>
    <t>2016-12-02T08:21:00-08:00</t>
  </si>
  <si>
    <t>EXP-761505635</t>
  </si>
  <si>
    <t>Bridie mann</t>
  </si>
  <si>
    <t>2017-01-14T15:53:00-08:00</t>
  </si>
  <si>
    <t>EXP-778889660</t>
  </si>
  <si>
    <t>Ronaldo Morimoto</t>
  </si>
  <si>
    <t>2017-01-17T16:47:00-08:00</t>
  </si>
  <si>
    <t>EXP-780356194</t>
  </si>
  <si>
    <t>Ronaldo A Morimoto</t>
  </si>
  <si>
    <t>EXP-780356196</t>
  </si>
  <si>
    <t>Alison Felipe Dal Pai</t>
  </si>
  <si>
    <t>2017-01-23T16:18:00-08:00</t>
  </si>
  <si>
    <t>EXP-783161929</t>
  </si>
  <si>
    <t>Walter Soldan</t>
  </si>
  <si>
    <t>2017-03-12T18:24:00-07:00</t>
  </si>
  <si>
    <t>EXP-807954993</t>
  </si>
  <si>
    <t>Carlos Deboni</t>
  </si>
  <si>
    <t>EXP-807954994</t>
  </si>
  <si>
    <t>Fabio Leal</t>
  </si>
  <si>
    <t>2017-03-18T11:34:00-07:00</t>
  </si>
  <si>
    <t>EXP-811258516</t>
  </si>
  <si>
    <t>Aditya Auradkar</t>
  </si>
  <si>
    <t>2017-03-22T21:56:00-07:00</t>
  </si>
  <si>
    <t>EXP-813736390</t>
  </si>
  <si>
    <t>Jason Song</t>
  </si>
  <si>
    <t>2017-04-03T06:54:00-07:00</t>
  </si>
  <si>
    <t>EXP-819611186</t>
  </si>
  <si>
    <t>Patrick Kim</t>
  </si>
  <si>
    <t>EXP-819611287</t>
  </si>
  <si>
    <t>CELSO LUIZ SANTOS JUNIOR</t>
  </si>
  <si>
    <t>2017-04-10T08:34:00-07:00</t>
  </si>
  <si>
    <t>EXP-823423187</t>
  </si>
  <si>
    <t>Clara Haskovec</t>
  </si>
  <si>
    <t>2017-04-13T09:16:00-07:00</t>
  </si>
  <si>
    <t>EXP-825154947</t>
  </si>
  <si>
    <t>03/04/2017</t>
  </si>
  <si>
    <t>04/04/2017</t>
  </si>
  <si>
    <t>05/04/2017</t>
  </si>
  <si>
    <t>06/04/2017</t>
  </si>
  <si>
    <t>4.000.000</t>
  </si>
  <si>
    <t>6.658.560</t>
  </si>
  <si>
    <t>07/04/2017</t>
  </si>
  <si>
    <t>11/04/2017</t>
  </si>
  <si>
    <t>CENTRAL GARANTIAS</t>
  </si>
  <si>
    <t>Cargo Seguro Garantia</t>
  </si>
  <si>
    <t>12/04/2017</t>
  </si>
  <si>
    <t>5420411</t>
  </si>
  <si>
    <t>5420412</t>
  </si>
  <si>
    <t>13/04/2017</t>
  </si>
  <si>
    <t>Reversa De Cargo</t>
  </si>
  <si>
    <t>1.268.006</t>
  </si>
  <si>
    <t>5420414</t>
  </si>
  <si>
    <t>5420413</t>
  </si>
  <si>
    <t>17/04/2017</t>
  </si>
  <si>
    <t>20/04/2017</t>
  </si>
  <si>
    <t>21/04/2017</t>
  </si>
  <si>
    <t>5.000.000</t>
  </si>
  <si>
    <t>24/04/2017</t>
  </si>
  <si>
    <t>25/04/2017</t>
  </si>
  <si>
    <t>26/04/2017</t>
  </si>
  <si>
    <t>27/04/2017</t>
  </si>
  <si>
    <t>5.081.538</t>
  </si>
  <si>
    <t>321.830</t>
  </si>
  <si>
    <t>28/04/2017</t>
  </si>
  <si>
    <t>5.000</t>
  </si>
  <si>
    <t>02/05/2017</t>
  </si>
  <si>
    <t>143.511</t>
  </si>
  <si>
    <t>41538088</t>
  </si>
  <si>
    <t>41575460</t>
  </si>
  <si>
    <t>- 126.007</t>
  </si>
  <si>
    <t>Fact 222159</t>
  </si>
  <si>
    <t>41682635</t>
  </si>
  <si>
    <t>- 431.924</t>
  </si>
  <si>
    <t>Poliza 6673911-1</t>
  </si>
  <si>
    <t>41678947</t>
  </si>
  <si>
    <t xml:space="preserve">BANCO SECURITY                     </t>
  </si>
  <si>
    <t>157803001</t>
  </si>
  <si>
    <t>- 2.000.000</t>
  </si>
  <si>
    <t xml:space="preserve">Soc Hotelera Zamora Ramirez hnos Ltda        </t>
  </si>
  <si>
    <t>TRANS</t>
  </si>
  <si>
    <t>41667723</t>
  </si>
  <si>
    <t>22.645.286-9</t>
  </si>
  <si>
    <t>22645286</t>
  </si>
  <si>
    <t>- 1.244.286</t>
  </si>
  <si>
    <t xml:space="preserve">Ydania Huayhua Lazaro                        </t>
  </si>
  <si>
    <t>finiquito idania</t>
  </si>
  <si>
    <t>41842506</t>
  </si>
  <si>
    <t>9.775.769-0</t>
  </si>
  <si>
    <t>1770081919</t>
  </si>
  <si>
    <t>- 110.000</t>
  </si>
  <si>
    <t xml:space="preserve">Jorge Contreras Peña                         </t>
  </si>
  <si>
    <t>gasfiter</t>
  </si>
  <si>
    <t>41884751</t>
  </si>
  <si>
    <t>- 523.946</t>
  </si>
  <si>
    <t>Sueldo Abril 2017</t>
  </si>
  <si>
    <t>41861078</t>
  </si>
  <si>
    <t>- 30.000</t>
  </si>
  <si>
    <t>limpieza cabañas Solor</t>
  </si>
  <si>
    <t>15/04/2017</t>
  </si>
  <si>
    <t>41926297</t>
  </si>
  <si>
    <t>Sueldo Abril 17</t>
  </si>
  <si>
    <t>16/04/2017</t>
  </si>
  <si>
    <t>41928633</t>
  </si>
  <si>
    <t>- 300.000</t>
  </si>
  <si>
    <t>42068956</t>
  </si>
  <si>
    <t>14.298.623-K</t>
  </si>
  <si>
    <t>14298623</t>
  </si>
  <si>
    <t>- 100.000</t>
  </si>
  <si>
    <t xml:space="preserve">Pedro Cea                                    </t>
  </si>
  <si>
    <t>Porta Maleta1</t>
  </si>
  <si>
    <t>42051337</t>
  </si>
  <si>
    <t>72.809.800-7</t>
  </si>
  <si>
    <t>54003610</t>
  </si>
  <si>
    <t>- 865.056</t>
  </si>
  <si>
    <t xml:space="preserve">Comite de Agua San Pedro de Atacama          </t>
  </si>
  <si>
    <t>factura 10019</t>
  </si>
  <si>
    <t>42125744</t>
  </si>
  <si>
    <t>- 1.000.000</t>
  </si>
  <si>
    <t>42156190</t>
  </si>
  <si>
    <t>96.568.740-8</t>
  </si>
  <si>
    <t>1610169807</t>
  </si>
  <si>
    <t>- 243.366</t>
  </si>
  <si>
    <t xml:space="preserve">GASCO GLP S.A                                </t>
  </si>
  <si>
    <t>Factura 8238682</t>
  </si>
  <si>
    <t>42153096</t>
  </si>
  <si>
    <t>- 1.057.558</t>
  </si>
  <si>
    <t>Factura 1535</t>
  </si>
  <si>
    <t>42153128</t>
  </si>
  <si>
    <t>76.617.951-7</t>
  </si>
  <si>
    <t>52095631</t>
  </si>
  <si>
    <t>- 54.264</t>
  </si>
  <si>
    <t xml:space="preserve">Juturi Ltda                                  </t>
  </si>
  <si>
    <t>Factura 85</t>
  </si>
  <si>
    <t>42189662</t>
  </si>
  <si>
    <t>79.609.330-7</t>
  </si>
  <si>
    <t>81486278</t>
  </si>
  <si>
    <t>- 228.900</t>
  </si>
  <si>
    <t xml:space="preserve">Soc Repuestos Rodar Imda                     </t>
  </si>
  <si>
    <t>Mantencion Camioneta Soc Hotel</t>
  </si>
  <si>
    <t>42180827</t>
  </si>
  <si>
    <t>22.815.013-4</t>
  </si>
  <si>
    <t>99190282712</t>
  </si>
  <si>
    <t xml:space="preserve">Abrahan Delgado Vega                         </t>
  </si>
  <si>
    <t>42288292</t>
  </si>
  <si>
    <t>- 1.007.339</t>
  </si>
  <si>
    <t>Sueldo Abril17</t>
  </si>
  <si>
    <t>42288406</t>
  </si>
  <si>
    <t>- 1.227.842</t>
  </si>
  <si>
    <t>42288391</t>
  </si>
  <si>
    <t>- 568.909</t>
  </si>
  <si>
    <t>42288322</t>
  </si>
  <si>
    <t>- 558.861</t>
  </si>
  <si>
    <t>42288310</t>
  </si>
  <si>
    <t>- 587.109</t>
  </si>
  <si>
    <t>42288367</t>
  </si>
  <si>
    <t>- 445.326</t>
  </si>
  <si>
    <t>42288379</t>
  </si>
  <si>
    <t>- 437.725</t>
  </si>
  <si>
    <t>42288513</t>
  </si>
  <si>
    <t>23.467.075-1</t>
  </si>
  <si>
    <t>23467075</t>
  </si>
  <si>
    <t>- 510.148</t>
  </si>
  <si>
    <t xml:space="preserve">Juany Estelo Cruz                            </t>
  </si>
  <si>
    <t>42288351</t>
  </si>
  <si>
    <t>- 429.505</t>
  </si>
  <si>
    <t>42288440</t>
  </si>
  <si>
    <t>14.692.149-3</t>
  </si>
  <si>
    <t>14692149</t>
  </si>
  <si>
    <t>- 165.000</t>
  </si>
  <si>
    <t xml:space="preserve">Edith Wanka                                  </t>
  </si>
  <si>
    <t>42288338</t>
  </si>
  <si>
    <t>- 380.552</t>
  </si>
  <si>
    <t>42288428</t>
  </si>
  <si>
    <t>- 105.000</t>
  </si>
  <si>
    <t>30/04/2017</t>
  </si>
  <si>
    <t>42308383</t>
  </si>
  <si>
    <t>18.442.821-0</t>
  </si>
  <si>
    <t>1481673605</t>
  </si>
  <si>
    <t xml:space="preserve">Esteban Farias Inzunza                       </t>
  </si>
  <si>
    <t>42308375</t>
  </si>
  <si>
    <t>- 15.000</t>
  </si>
  <si>
    <t>Limpieza casa solor</t>
  </si>
  <si>
    <t>42308336</t>
  </si>
  <si>
    <t>- 331.562</t>
  </si>
  <si>
    <t>Fact 3317-3553-3626-3724</t>
  </si>
  <si>
    <t>42308331</t>
  </si>
  <si>
    <t>- 52.157</t>
  </si>
  <si>
    <t>Fact 3437- Nota Credito  446</t>
  </si>
  <si>
    <t>1303 88224069</t>
  </si>
  <si>
    <t>RESTAURANT BLANCO S.P. DE ATAC</t>
  </si>
  <si>
    <t>1303 88310364</t>
  </si>
  <si>
    <t>12/03/2017</t>
  </si>
  <si>
    <t>TRANSVIP MOVIL SANTIAGO</t>
  </si>
  <si>
    <t>1303 88428993</t>
  </si>
  <si>
    <t>AEROPUERTO CARRIEL TALCAHUANO</t>
  </si>
  <si>
    <t>1503 88318803</t>
  </si>
  <si>
    <t>WWW MERCADOPAGO CL SANTIAGO</t>
  </si>
  <si>
    <t>1603 88455835</t>
  </si>
  <si>
    <t>1603 88456104</t>
  </si>
  <si>
    <t>0404 88041892</t>
  </si>
  <si>
    <t>0404 88041930</t>
  </si>
  <si>
    <t>0803 00000010</t>
  </si>
  <si>
    <t>0903 00000000</t>
  </si>
  <si>
    <t>1303 00000000</t>
  </si>
  <si>
    <t>13/03/2017</t>
  </si>
  <si>
    <t>1503 00000010</t>
  </si>
  <si>
    <t>DEV. CB RESTO 5</t>
  </si>
  <si>
    <t>1703 00000000</t>
  </si>
  <si>
    <t>2203 00000010</t>
  </si>
  <si>
    <t>0304 00000000</t>
  </si>
  <si>
    <t>0404 00000000</t>
  </si>
  <si>
    <t>1004 24492157098637001108385</t>
  </si>
  <si>
    <t>08/04/2017</t>
  </si>
  <si>
    <t>1104 74929277101019130008423</t>
  </si>
  <si>
    <t>10/04/2017</t>
  </si>
  <si>
    <t>2604 24492157116637008084439</t>
  </si>
  <si>
    <t>0305 24692167122000076309296</t>
  </si>
  <si>
    <t>COMEX ORDEN PAGO ENTRANTE. OPE307060</t>
  </si>
  <si>
    <t>TRANSFERENCIA DESDE BCI De SOCIEDAD HOTELERA ZAMORARAMIREZ H</t>
  </si>
  <si>
    <t>2143846-Transacciones operaciones financieras ABONO</t>
  </si>
  <si>
    <t>PAGO EN LINEA SII</t>
  </si>
  <si>
    <t>PAGO PROVEEDORES</t>
  </si>
  <si>
    <t>2150144-Transacciones operaciones financieras ABONO</t>
  </si>
  <si>
    <t>TRANSFERENCIA A Banco Ita? PARA Carlos Zamora</t>
  </si>
  <si>
    <t>COMEX ORDEN PAGO ENTRANTE. OPE307957</t>
  </si>
  <si>
    <t>2143846-Transacciones operaciones financieras CARGO</t>
  </si>
  <si>
    <t>COMEX ORDEN PAGO ENTRANTE. OPE308665</t>
  </si>
  <si>
    <t>COMEX ORDEN PAGO ENTRANTE. OPE309421</t>
  </si>
  <si>
    <t>2150144-Transacciones operaciones financieras CARGO</t>
  </si>
  <si>
    <t>Carlos Zamora</t>
  </si>
  <si>
    <t>Banco Itaú</t>
  </si>
  <si>
    <t>Angelica Ramirez Munoz</t>
  </si>
  <si>
    <t>Banco Estado</t>
  </si>
  <si>
    <t>desde Security</t>
  </si>
  <si>
    <t>desde BCI USD</t>
  </si>
  <si>
    <t>Liberty seguros</t>
  </si>
  <si>
    <t>hacias Security</t>
  </si>
  <si>
    <t>Entel</t>
  </si>
  <si>
    <t>Gasfiter</t>
  </si>
  <si>
    <t>Porta maletas Mueblista</t>
  </si>
  <si>
    <t>Cespa</t>
  </si>
  <si>
    <t>Capra</t>
  </si>
  <si>
    <t>Juturi Agua</t>
  </si>
  <si>
    <t>Automotriz Miranda Mantención Camioneta</t>
  </si>
  <si>
    <t>Gasco</t>
  </si>
  <si>
    <t>Liquidez en banco- 1 Mayo</t>
  </si>
  <si>
    <t>02/05/2017 </t>
  </si>
  <si>
    <t xml:space="preserve">TRANSFERENCIA A Banco Estado PARA Angelica Ramirez Munoz </t>
  </si>
  <si>
    <t xml:space="preserve">  </t>
  </si>
  <si>
    <t xml:space="preserve">PAGO EN LINEA SII </t>
  </si>
  <si>
    <t>angelica para impuestos</t>
  </si>
  <si>
    <t>retiros Carlos</t>
  </si>
  <si>
    <t>Felipe</t>
  </si>
  <si>
    <t>YaÃ±ez</t>
  </si>
  <si>
    <t>Matrimonial</t>
  </si>
  <si>
    <t>carlos</t>
  </si>
  <si>
    <t>pucheta</t>
  </si>
  <si>
    <t>duane</t>
  </si>
  <si>
    <t>harrison</t>
  </si>
  <si>
    <t>York</t>
  </si>
  <si>
    <t>TÃ¼chelmann</t>
  </si>
  <si>
    <t>Twin / Doble</t>
  </si>
  <si>
    <t>Sergio</t>
  </si>
  <si>
    <t>Zamora</t>
  </si>
  <si>
    <t>Twin / Doble,Matrimonial,Matrimonial</t>
  </si>
  <si>
    <t>Carla</t>
  </si>
  <si>
    <t>Da Silva Calvete</t>
  </si>
  <si>
    <t>MarÃ­a Paz</t>
  </si>
  <si>
    <t>Flores</t>
  </si>
  <si>
    <t>Miriam</t>
  </si>
  <si>
    <t>Kitchen</t>
  </si>
  <si>
    <t>Juliet</t>
  </si>
  <si>
    <t>Johnson</t>
  </si>
  <si>
    <t>Sylvie</t>
  </si>
  <si>
    <t>Allard</t>
  </si>
  <si>
    <t>18/04/2017</t>
  </si>
  <si>
    <t>ABRIL</t>
  </si>
  <si>
    <t xml:space="preserve">FRUTA </t>
  </si>
  <si>
    <t>QUESO</t>
  </si>
  <si>
    <t>ESTACIONAMIENTO LIDER</t>
  </si>
  <si>
    <t>S/B</t>
  </si>
  <si>
    <t>ESTACIOANMEINTO</t>
  </si>
  <si>
    <t>SODIMAC</t>
  </si>
  <si>
    <t>VERDURAS</t>
  </si>
  <si>
    <t>LA BERTITA</t>
  </si>
  <si>
    <t>PROPINA EMPAQUE ABRIL LIDER</t>
  </si>
  <si>
    <t>PROPINA EMPAQUE EL AGRO</t>
  </si>
  <si>
    <t>ALAN BOLIVIA</t>
  </si>
  <si>
    <t>ARREGLO PPR</t>
  </si>
  <si>
    <t>CELSO SANTOS</t>
  </si>
  <si>
    <t xml:space="preserve"> Suma de VALOR 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</si>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</sst>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28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7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0" fillId="7" borderId="0" xfId="1" applyNumberFormat="1" applyFont="1" applyFill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0" fontId="41" fillId="0" borderId="1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167" fontId="7" fillId="0" borderId="1" xfId="1" applyNumberFormat="1" applyFont="1" applyBorder="1"/>
    <xf numFmtId="167" fontId="42" fillId="0" borderId="19" xfId="1" applyNumberFormat="1" applyFont="1" applyBorder="1" applyAlignment="1">
      <alignment horizontal="right" vertical="center" wrapText="1"/>
    </xf>
    <xf numFmtId="167" fontId="7" fillId="0" borderId="1" xfId="1" applyNumberFormat="1" applyFont="1" applyBorder="1" applyAlignment="1">
      <alignment horizontal="right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167" fontId="7" fillId="7" borderId="1" xfId="1" applyNumberFormat="1" applyFont="1" applyFill="1" applyBorder="1" applyAlignment="1">
      <alignment horizontal="center"/>
    </xf>
    <xf numFmtId="9" fontId="8" fillId="0" borderId="0" xfId="4" applyNumberFormat="1" applyFont="1" applyFill="1"/>
    <xf numFmtId="167" fontId="41" fillId="2" borderId="1" xfId="1" applyNumberFormat="1" applyFont="1" applyFill="1" applyBorder="1" applyAlignment="1">
      <alignment horizontal="center"/>
    </xf>
    <xf numFmtId="167" fontId="7" fillId="6" borderId="1" xfId="1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7" fontId="7" fillId="6" borderId="1" xfId="1" applyNumberFormat="1" applyFont="1" applyFill="1" applyBorder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0" fillId="0" borderId="1" xfId="0" applyFont="1" applyFill="1" applyBorder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0" fontId="40" fillId="7" borderId="1" xfId="0" applyFont="1" applyFill="1" applyBorder="1"/>
    <xf numFmtId="41" fontId="22" fillId="0" borderId="1" xfId="49" applyFont="1" applyFill="1" applyBorder="1"/>
    <xf numFmtId="14" fontId="0" fillId="7" borderId="0" xfId="0" applyNumberFormat="1" applyFill="1"/>
    <xf numFmtId="0" fontId="2" fillId="7" borderId="0" xfId="0" applyFont="1" applyFill="1"/>
    <xf numFmtId="167" fontId="8" fillId="7" borderId="1" xfId="1" applyNumberFormat="1" applyFont="1" applyFill="1" applyBorder="1" applyAlignment="1">
      <alignment horizontal="left"/>
    </xf>
    <xf numFmtId="167" fontId="16" fillId="4" borderId="1" xfId="1" applyNumberFormat="1" applyFont="1" applyFill="1" applyBorder="1" applyAlignment="1">
      <alignment horizontal="center"/>
    </xf>
    <xf numFmtId="167" fontId="8" fillId="4" borderId="1" xfId="1" applyNumberFormat="1" applyFont="1" applyFill="1" applyBorder="1" applyAlignment="1">
      <alignment horizontal="left"/>
    </xf>
    <xf numFmtId="167" fontId="20" fillId="0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right"/>
    </xf>
    <xf numFmtId="0" fontId="8" fillId="2" borderId="1" xfId="0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67" fontId="20" fillId="2" borderId="1" xfId="1" applyNumberFormat="1" applyFont="1" applyFill="1" applyBorder="1" applyAlignment="1">
      <alignment horizontal="center"/>
    </xf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zoomScale="70" zoomScaleNormal="70" workbookViewId="0">
      <selection activeCell="C33" sqref="C33:C34"/>
    </sheetView>
  </sheetViews>
  <sheetFormatPr baseColWidth="10" defaultRowHeight="14.4" x14ac:dyDescent="0.3"/>
  <cols>
    <col min="2" max="2" width="40.6640625" customWidth="1"/>
    <col min="3" max="3" width="25.21875" customWidth="1"/>
    <col min="4" max="4" width="21.33203125" customWidth="1"/>
    <col min="5" max="5" width="23.77734375" customWidth="1"/>
    <col min="6" max="8" width="21.33203125" customWidth="1"/>
    <col min="9" max="9" width="14.109375" bestFit="1" customWidth="1"/>
    <col min="10" max="10" width="16.21875" customWidth="1"/>
    <col min="11" max="11" width="12.88671875" customWidth="1"/>
    <col min="12" max="12" width="15.21875" customWidth="1"/>
    <col min="13" max="13" width="16.109375" customWidth="1"/>
    <col min="14" max="14" width="16.21875" customWidth="1"/>
  </cols>
  <sheetData>
    <row r="1" spans="2:7" ht="21" x14ac:dyDescent="0.35">
      <c r="B1" s="11">
        <v>42826</v>
      </c>
    </row>
    <row r="2" spans="2:7" x14ac:dyDescent="0.3">
      <c r="B2" s="6" t="s">
        <v>15</v>
      </c>
      <c r="C2" s="6"/>
      <c r="D2" s="111">
        <v>655.74</v>
      </c>
    </row>
    <row r="3" spans="2:7" ht="15" x14ac:dyDescent="0.25">
      <c r="B3" s="6" t="s">
        <v>23</v>
      </c>
      <c r="C3" s="6"/>
      <c r="D3" s="46">
        <v>26561.42</v>
      </c>
    </row>
    <row r="4" spans="2:7" ht="15" x14ac:dyDescent="0.25">
      <c r="B4" s="6" t="s">
        <v>14</v>
      </c>
      <c r="C4" s="6"/>
      <c r="D4" s="6">
        <f>Abril!I97</f>
        <v>270</v>
      </c>
      <c r="E4" s="97">
        <f>Booking!Q101+Buuteeq!L35+Expedia!I24</f>
        <v>266</v>
      </c>
    </row>
    <row r="5" spans="2:7" x14ac:dyDescent="0.3">
      <c r="B5" s="6" t="s">
        <v>16</v>
      </c>
      <c r="C5" s="6"/>
      <c r="D5" s="197">
        <f>D4/(30*10)</f>
        <v>0.9</v>
      </c>
      <c r="E5" s="197">
        <f>E4/(30*10)</f>
        <v>0.88666666666666671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34692721.35838151</v>
      </c>
      <c r="D8" s="8">
        <f>C8/D4</f>
        <v>128491.56058659818</v>
      </c>
      <c r="E8" s="5"/>
      <c r="F8" s="5"/>
    </row>
    <row r="9" spans="2:7" ht="15" x14ac:dyDescent="0.25">
      <c r="B9" t="s">
        <v>7</v>
      </c>
      <c r="C9" s="1">
        <f>Abril!U70/(1.038)</f>
        <v>27931386.926782276</v>
      </c>
      <c r="D9" s="9">
        <f>C9/$C$8</f>
        <v>0.80510798326388011</v>
      </c>
    </row>
    <row r="10" spans="2:7" ht="15" x14ac:dyDescent="0.25">
      <c r="B10" t="s">
        <v>8</v>
      </c>
      <c r="C10" s="1">
        <f>Abril!U80/(1.038)</f>
        <v>3071691.396917148</v>
      </c>
      <c r="D10" s="9">
        <f>C10/$C$8</f>
        <v>8.8539937965259954E-2</v>
      </c>
    </row>
    <row r="11" spans="2:7" ht="15" x14ac:dyDescent="0.25">
      <c r="B11" t="s">
        <v>100</v>
      </c>
      <c r="C11" s="1"/>
      <c r="D11" s="9">
        <f>C11/$C$8</f>
        <v>0</v>
      </c>
    </row>
    <row r="12" spans="2:7" ht="15" x14ac:dyDescent="0.25">
      <c r="B12" t="s">
        <v>101</v>
      </c>
      <c r="C12" s="1">
        <f>Abril!U93/(1.038)</f>
        <v>3689643.0346820811</v>
      </c>
      <c r="D12" s="9">
        <f>C12/$C$8</f>
        <v>0.10635207877085981</v>
      </c>
      <c r="E12" s="1"/>
    </row>
    <row r="13" spans="2:7" ht="15" x14ac:dyDescent="0.25">
      <c r="B13" t="s">
        <v>57</v>
      </c>
      <c r="C13" s="1">
        <f>Abril!T96*D2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9447178</v>
      </c>
      <c r="D16" s="8">
        <f>C16/D4</f>
        <v>34989.548148148147</v>
      </c>
      <c r="E16" s="5">
        <f>C16+C25+C30+C33</f>
        <v>26556503</v>
      </c>
      <c r="F16" s="116"/>
      <c r="G16" s="133"/>
    </row>
    <row r="17" spans="2:6" ht="15" x14ac:dyDescent="0.25">
      <c r="B17" t="str">
        <f>'BCI FondRendir'!B133</f>
        <v>Comisión Bco</v>
      </c>
      <c r="C17" s="1">
        <f>'BCI FondRendir'!F133</f>
        <v>56964</v>
      </c>
      <c r="D17" s="5">
        <f>C17/$D$4</f>
        <v>210.97777777777779</v>
      </c>
      <c r="E17" s="5"/>
    </row>
    <row r="18" spans="2:6" x14ac:dyDescent="0.3">
      <c r="B18" t="str">
        <f>'BCI FondRendir'!B134</f>
        <v>Comisión Booking</v>
      </c>
      <c r="C18" s="1">
        <f>+'BCI FondRendir'!F134</f>
        <v>3226086</v>
      </c>
      <c r="D18" s="5">
        <f t="shared" ref="D18:D26" si="0">C18/$D$4</f>
        <v>11948.466666666667</v>
      </c>
      <c r="E18" s="5"/>
    </row>
    <row r="19" spans="2:6" x14ac:dyDescent="0.3">
      <c r="B19" t="str">
        <f>'BCI FondRendir'!B135</f>
        <v>Comisión Expedia</v>
      </c>
      <c r="C19" s="1">
        <f>+'BCI FondRendir'!F135</f>
        <v>0</v>
      </c>
      <c r="D19" s="5">
        <f t="shared" si="0"/>
        <v>0</v>
      </c>
      <c r="E19" s="5"/>
    </row>
    <row r="20" spans="2:6" x14ac:dyDescent="0.3">
      <c r="B20" t="str">
        <f>'BCI FondRendir'!B136</f>
        <v>Comisión otras</v>
      </c>
      <c r="C20" s="1">
        <f>+'BCI FondRendir'!F136</f>
        <v>198864</v>
      </c>
      <c r="D20" s="5">
        <f t="shared" si="0"/>
        <v>736.5333333333333</v>
      </c>
      <c r="E20" s="5"/>
    </row>
    <row r="21" spans="2:6" x14ac:dyDescent="0.3">
      <c r="B21" t="str">
        <f>'BCI FondRendir'!B137</f>
        <v>Costos Directos</v>
      </c>
      <c r="C21" s="1">
        <f>+'BCI FondRendir'!F137</f>
        <v>54264</v>
      </c>
      <c r="D21" s="5">
        <f t="shared" si="0"/>
        <v>200.97777777777779</v>
      </c>
      <c r="E21" s="5"/>
    </row>
    <row r="22" spans="2:6" x14ac:dyDescent="0.3">
      <c r="B22" t="str">
        <f>'BCI FondRendir'!B138</f>
        <v>Fondos a Rendir</v>
      </c>
      <c r="C22" s="1">
        <f>+'BCI FondRendir'!F138</f>
        <v>3500000</v>
      </c>
      <c r="D22" s="5">
        <f t="shared" si="0"/>
        <v>12962.962962962964</v>
      </c>
      <c r="E22" s="5"/>
    </row>
    <row r="23" spans="2:6" x14ac:dyDescent="0.3">
      <c r="B23" t="s">
        <v>270</v>
      </c>
      <c r="C23" s="1">
        <f>'BCI FondRendir'!F144</f>
        <v>2411000</v>
      </c>
      <c r="D23" s="5">
        <f>C23/$D$4</f>
        <v>8929.6296296296296</v>
      </c>
      <c r="E23" s="5"/>
    </row>
    <row r="24" spans="2:6" x14ac:dyDescent="0.3">
      <c r="B24" t="s">
        <v>86</v>
      </c>
      <c r="C24" s="1">
        <f>'BCI FondRendir'!H150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12889083</v>
      </c>
      <c r="D25" s="8">
        <f>C25/D4</f>
        <v>47737.344444444447</v>
      </c>
      <c r="E25" s="5"/>
      <c r="F25" s="5"/>
    </row>
    <row r="26" spans="2:6" x14ac:dyDescent="0.3">
      <c r="B26" t="s">
        <v>50</v>
      </c>
      <c r="C26" s="1">
        <f>'BCI FondRendir'!F145</f>
        <v>11600099</v>
      </c>
      <c r="D26" s="5">
        <f t="shared" si="0"/>
        <v>42963.329629629632</v>
      </c>
    </row>
    <row r="27" spans="2:6" s="252" customFormat="1" x14ac:dyDescent="0.3">
      <c r="B27" t="str">
        <f>'BCI FondRendir'!B140</f>
        <v>Gastos Operación</v>
      </c>
      <c r="C27" s="1">
        <f>+'BCI FondRendir'!F140</f>
        <v>896831</v>
      </c>
      <c r="D27" s="5">
        <f>C27/$D$4</f>
        <v>3321.5962962962963</v>
      </c>
    </row>
    <row r="28" spans="2:6" x14ac:dyDescent="0.3">
      <c r="B28" s="16" t="s">
        <v>24</v>
      </c>
      <c r="C28" s="17"/>
      <c r="D28" s="5">
        <f t="shared" ref="D28:D29" si="1">C28/$D$4</f>
        <v>0</v>
      </c>
    </row>
    <row r="29" spans="2:6" x14ac:dyDescent="0.3">
      <c r="B29" s="16" t="s">
        <v>62</v>
      </c>
      <c r="C29" s="1">
        <f>'BCI FondRendir'!F139</f>
        <v>392153</v>
      </c>
      <c r="D29" s="5">
        <f t="shared" si="1"/>
        <v>1452.4185185185186</v>
      </c>
    </row>
    <row r="30" spans="2:6" x14ac:dyDescent="0.3">
      <c r="B30" s="6" t="s">
        <v>21</v>
      </c>
      <c r="C30" s="8">
        <f>SUM(C31:C32)</f>
        <v>4120242</v>
      </c>
      <c r="D30" s="8">
        <f>C30/D4</f>
        <v>15260.155555555555</v>
      </c>
    </row>
    <row r="31" spans="2:6" x14ac:dyDescent="0.3">
      <c r="B31" t="s">
        <v>22</v>
      </c>
      <c r="C31" s="1">
        <f>+'BCI FondRendir'!F143</f>
        <v>4120242</v>
      </c>
      <c r="E31" s="157"/>
    </row>
    <row r="32" spans="2:6" x14ac:dyDescent="0.3">
      <c r="C32" s="1"/>
    </row>
    <row r="33" spans="2:13" x14ac:dyDescent="0.3">
      <c r="B33" s="6" t="s">
        <v>12</v>
      </c>
      <c r="C33" s="7">
        <f>SUM(C34:C35)</f>
        <v>100000</v>
      </c>
      <c r="D33" s="8">
        <f>C33/D4</f>
        <v>370.37037037037038</v>
      </c>
    </row>
    <row r="34" spans="2:13" x14ac:dyDescent="0.3">
      <c r="B34" t="s">
        <v>167</v>
      </c>
      <c r="C34" s="1">
        <f>+'BCI FondRendir'!F142</f>
        <v>100000</v>
      </c>
    </row>
    <row r="35" spans="2:13" x14ac:dyDescent="0.3">
      <c r="B35" t="s">
        <v>169</v>
      </c>
      <c r="C35" s="1"/>
    </row>
    <row r="36" spans="2:13" x14ac:dyDescent="0.3">
      <c r="B36" t="str">
        <f>'BCI FondRendir'!B141</f>
        <v>Impuestos</v>
      </c>
      <c r="C36" s="1">
        <f>+'BCI FondRendir'!F141</f>
        <v>10884728</v>
      </c>
      <c r="D36" s="5">
        <f>C36/$D$4</f>
        <v>40313.80740740741</v>
      </c>
    </row>
    <row r="38" spans="2:13" x14ac:dyDescent="0.3">
      <c r="B38" s="2" t="s">
        <v>17</v>
      </c>
      <c r="C38" s="10">
        <f>C8-C16-C25-C33-C30</f>
        <v>8136218.3583815098</v>
      </c>
    </row>
    <row r="39" spans="2:13" x14ac:dyDescent="0.3">
      <c r="B39" s="2" t="s">
        <v>52</v>
      </c>
      <c r="C39" s="10">
        <f>C36</f>
        <v>10884728</v>
      </c>
      <c r="D39" s="10">
        <f>C38*0.25</f>
        <v>2034054.5895953774</v>
      </c>
    </row>
    <row r="40" spans="2:13" x14ac:dyDescent="0.3">
      <c r="B40" s="2" t="s">
        <v>141</v>
      </c>
      <c r="C40" s="10">
        <f>'BCI FondRendir'!G150</f>
        <v>1322798.05</v>
      </c>
    </row>
    <row r="41" spans="2:13" x14ac:dyDescent="0.3">
      <c r="B41" s="2" t="s">
        <v>142</v>
      </c>
      <c r="C41" s="10">
        <f>Abril!E114</f>
        <v>1209608.97</v>
      </c>
    </row>
    <row r="42" spans="2:13" x14ac:dyDescent="0.3">
      <c r="B42" s="18" t="s">
        <v>18</v>
      </c>
      <c r="C42" s="19">
        <f>C38-D39</f>
        <v>6102163.7687861323</v>
      </c>
    </row>
    <row r="43" spans="2:13" x14ac:dyDescent="0.3">
      <c r="B43" s="18" t="s">
        <v>185</v>
      </c>
      <c r="C43" s="10">
        <f>C8-C16-C25</f>
        <v>12356460.35838151</v>
      </c>
      <c r="J43" s="115"/>
      <c r="K43" s="115"/>
      <c r="L43" s="115"/>
      <c r="M43" s="115"/>
    </row>
    <row r="44" spans="2:13" x14ac:dyDescent="0.3">
      <c r="C44" s="22" t="s">
        <v>70</v>
      </c>
      <c r="D44" s="22" t="s">
        <v>71</v>
      </c>
      <c r="E44" s="22" t="s">
        <v>208</v>
      </c>
      <c r="F44" s="22" t="s">
        <v>63</v>
      </c>
      <c r="G44" s="22" t="s">
        <v>64</v>
      </c>
      <c r="J44" s="116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>
        <f>100000000/23312-883-195-585-2088</f>
        <v>538.63623884694607</v>
      </c>
      <c r="G48" s="10">
        <f>F48*$D$3</f>
        <v>14306943.367234049</v>
      </c>
      <c r="I48" s="205"/>
    </row>
    <row r="49" spans="2:15" x14ac:dyDescent="0.3">
      <c r="B49" s="2" t="s">
        <v>386</v>
      </c>
      <c r="C49" s="10"/>
      <c r="D49" s="10"/>
      <c r="E49" s="10"/>
      <c r="F49" s="10"/>
      <c r="G49" s="10">
        <f t="shared" ref="G49:G52" si="2">F49*$D$3</f>
        <v>0</v>
      </c>
      <c r="J49" s="205"/>
      <c r="K49" s="205"/>
      <c r="L49" s="205"/>
      <c r="M49" s="205"/>
    </row>
    <row r="50" spans="2:15" x14ac:dyDescent="0.3">
      <c r="B50" s="2" t="s">
        <v>387</v>
      </c>
      <c r="C50" s="10"/>
      <c r="D50" s="10"/>
      <c r="E50" s="10"/>
      <c r="F50" s="10"/>
      <c r="G50" s="10">
        <f t="shared" si="2"/>
        <v>0</v>
      </c>
      <c r="J50" s="205"/>
      <c r="K50" s="205"/>
      <c r="L50" s="205"/>
      <c r="M50" s="205"/>
    </row>
    <row r="51" spans="2:15" x14ac:dyDescent="0.3">
      <c r="B51" s="2" t="s">
        <v>388</v>
      </c>
      <c r="C51" s="10"/>
      <c r="D51" s="10"/>
      <c r="E51" s="10"/>
      <c r="F51" s="10"/>
      <c r="G51" s="10">
        <f t="shared" si="2"/>
        <v>0</v>
      </c>
      <c r="J51" s="205"/>
      <c r="K51" s="205"/>
      <c r="L51" s="205"/>
      <c r="M51" s="205"/>
    </row>
    <row r="52" spans="2:15" x14ac:dyDescent="0.3">
      <c r="B52" s="2" t="s">
        <v>389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205"/>
      <c r="K52" s="205"/>
      <c r="L52" s="205"/>
      <c r="M52" s="205"/>
    </row>
    <row r="53" spans="2:15" x14ac:dyDescent="0.3">
      <c r="B53" s="124" t="s">
        <v>135</v>
      </c>
      <c r="C53" s="125">
        <f>SUM(C45:C52)</f>
        <v>0</v>
      </c>
      <c r="D53" s="125">
        <f>SUM(D45:D52)</f>
        <v>1129.4585375770855</v>
      </c>
      <c r="E53" s="125">
        <f>SUM(E45:E52)</f>
        <v>0</v>
      </c>
      <c r="F53" s="125"/>
      <c r="G53" s="125"/>
      <c r="I53" s="205"/>
      <c r="J53" s="205"/>
      <c r="K53" s="205"/>
      <c r="L53" s="205"/>
      <c r="M53" s="205"/>
    </row>
    <row r="54" spans="2:15" x14ac:dyDescent="0.3">
      <c r="B54" s="124"/>
      <c r="C54" s="125"/>
      <c r="D54" s="125">
        <f>D53*D3</f>
        <v>30000022.58917075</v>
      </c>
      <c r="E54" s="125">
        <f>E53*D3</f>
        <v>0</v>
      </c>
      <c r="F54" s="125"/>
      <c r="G54" s="125"/>
      <c r="I54" s="205"/>
      <c r="J54" s="252"/>
      <c r="K54" s="252"/>
      <c r="L54" s="252"/>
      <c r="M54" s="252"/>
      <c r="N54" s="252"/>
      <c r="O54" s="252"/>
    </row>
    <row r="55" spans="2:15" x14ac:dyDescent="0.3">
      <c r="I55" s="205"/>
      <c r="J55" s="252"/>
      <c r="K55" s="252"/>
      <c r="L55" s="252"/>
      <c r="M55" s="252"/>
      <c r="N55" s="252"/>
      <c r="O55" s="252"/>
    </row>
    <row r="56" spans="2:15" x14ac:dyDescent="0.3">
      <c r="B56" s="206" t="s">
        <v>1444</v>
      </c>
      <c r="C56" s="207"/>
      <c r="D56" s="207"/>
      <c r="E56" s="207"/>
      <c r="F56" s="207"/>
      <c r="G56" s="208"/>
      <c r="I56" s="205"/>
      <c r="J56" s="252"/>
      <c r="K56" s="252"/>
      <c r="L56" s="252"/>
      <c r="M56" s="252"/>
      <c r="N56" s="252"/>
      <c r="O56" s="252"/>
    </row>
    <row r="57" spans="2:15" x14ac:dyDescent="0.3">
      <c r="B57" s="2" t="s">
        <v>107</v>
      </c>
      <c r="C57" s="2" t="s">
        <v>180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52"/>
      <c r="N57" s="252"/>
      <c r="O57" s="252"/>
    </row>
    <row r="58" spans="2:15" x14ac:dyDescent="0.3">
      <c r="B58" s="183">
        <v>755886</v>
      </c>
      <c r="C58" s="183">
        <v>2407</v>
      </c>
      <c r="D58" s="183">
        <v>6431</v>
      </c>
      <c r="E58" s="183">
        <v>1771950</v>
      </c>
      <c r="F58" s="183">
        <v>621733</v>
      </c>
      <c r="G58" s="183">
        <v>19167</v>
      </c>
      <c r="H58" s="88">
        <f>(G58+D58+C58)*$D$2+B58+E58+F58</f>
        <v>21513567.699999999</v>
      </c>
      <c r="I58" s="205"/>
      <c r="J58" s="252"/>
      <c r="K58" s="252"/>
      <c r="L58" s="252"/>
      <c r="M58" s="252"/>
      <c r="N58" s="252"/>
      <c r="O58" s="252"/>
    </row>
    <row r="59" spans="2:15" x14ac:dyDescent="0.3">
      <c r="B59" s="183" t="s">
        <v>113</v>
      </c>
      <c r="C59" s="183"/>
      <c r="D59" s="183"/>
      <c r="E59" s="183"/>
      <c r="F59" s="183"/>
      <c r="G59" s="183"/>
      <c r="H59" s="88">
        <f>(G59+D59)*$D$2+E59+F59</f>
        <v>0</v>
      </c>
      <c r="I59" s="205"/>
      <c r="J59" s="252"/>
      <c r="K59" s="252"/>
      <c r="L59" s="252"/>
      <c r="M59" s="252"/>
      <c r="N59" s="252"/>
      <c r="O59" s="252"/>
    </row>
    <row r="60" spans="2:15" x14ac:dyDescent="0.3">
      <c r="B60" s="183" t="s">
        <v>136</v>
      </c>
      <c r="C60" s="183"/>
      <c r="D60" s="183"/>
      <c r="E60" s="183">
        <v>30000000</v>
      </c>
      <c r="F60" s="183"/>
      <c r="G60" s="183"/>
      <c r="H60" s="88">
        <f>(G60+D60)*$D$2+E60+F60</f>
        <v>30000000</v>
      </c>
      <c r="I60" s="205"/>
      <c r="J60" s="252"/>
      <c r="K60" s="252"/>
      <c r="L60" s="252"/>
      <c r="M60" s="252"/>
      <c r="N60" s="252"/>
      <c r="O60" s="252"/>
    </row>
    <row r="61" spans="2:15" x14ac:dyDescent="0.3">
      <c r="B61" s="126" t="s">
        <v>160</v>
      </c>
      <c r="C61" s="126"/>
      <c r="D61" s="126"/>
      <c r="E61" s="126"/>
      <c r="F61" s="126"/>
      <c r="G61" s="126"/>
      <c r="H61" s="87">
        <f>SUM(H58:H60)</f>
        <v>51513567.700000003</v>
      </c>
      <c r="I61" s="205"/>
      <c r="J61" s="252"/>
      <c r="K61" s="252"/>
      <c r="L61" s="252"/>
      <c r="M61" s="252"/>
      <c r="N61" s="252"/>
      <c r="O61" s="252"/>
    </row>
    <row r="62" spans="2:15" x14ac:dyDescent="0.3">
      <c r="B62" s="126" t="s">
        <v>137</v>
      </c>
      <c r="C62" s="126"/>
      <c r="D62" s="126"/>
      <c r="E62" s="126"/>
      <c r="F62" s="126"/>
      <c r="G62" s="126"/>
      <c r="H62" s="87">
        <f>H61-H67</f>
        <v>-2017496.9900000021</v>
      </c>
      <c r="I62" s="205"/>
      <c r="J62" s="252"/>
      <c r="K62" s="252"/>
      <c r="L62" s="252"/>
      <c r="M62" s="252"/>
      <c r="N62" s="252"/>
      <c r="O62" s="252"/>
    </row>
    <row r="63" spans="2:15" x14ac:dyDescent="0.3">
      <c r="I63" s="205"/>
      <c r="J63" s="252"/>
      <c r="K63" s="252"/>
      <c r="L63" s="252"/>
      <c r="M63" s="252"/>
      <c r="N63" s="205"/>
      <c r="O63" s="205"/>
    </row>
    <row r="64" spans="2:15" x14ac:dyDescent="0.3">
      <c r="I64" s="205"/>
      <c r="J64" s="252"/>
      <c r="K64" s="252"/>
      <c r="L64" s="205"/>
      <c r="M64" s="252"/>
      <c r="N64" s="205"/>
      <c r="O64" s="205"/>
    </row>
    <row r="65" spans="1:15" x14ac:dyDescent="0.3">
      <c r="B65" s="206" t="s">
        <v>798</v>
      </c>
      <c r="C65" s="207"/>
      <c r="D65" s="207"/>
      <c r="E65" s="207"/>
      <c r="F65" s="207"/>
      <c r="G65" s="208"/>
      <c r="H65" s="205"/>
      <c r="I65" s="205"/>
      <c r="J65" s="205"/>
      <c r="K65" s="205"/>
      <c r="L65" s="205"/>
      <c r="M65" s="205"/>
      <c r="N65" s="205"/>
      <c r="O65" s="205"/>
    </row>
    <row r="66" spans="1:15" x14ac:dyDescent="0.3">
      <c r="B66" s="2" t="s">
        <v>107</v>
      </c>
      <c r="C66" s="2" t="s">
        <v>180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5"/>
      <c r="K66" s="205"/>
      <c r="L66" s="205"/>
      <c r="M66" s="205"/>
      <c r="N66" s="205"/>
      <c r="O66" s="205"/>
    </row>
    <row r="67" spans="1:15" x14ac:dyDescent="0.3">
      <c r="B67" s="183">
        <v>6038373</v>
      </c>
      <c r="C67" s="183">
        <v>10254</v>
      </c>
      <c r="D67" s="183">
        <v>39800</v>
      </c>
      <c r="E67" s="183">
        <v>3469173</v>
      </c>
      <c r="F67" s="183">
        <v>292314</v>
      </c>
      <c r="G67" s="183">
        <v>17935</v>
      </c>
      <c r="H67" s="88">
        <v>53531064.690000005</v>
      </c>
      <c r="J67" s="205"/>
      <c r="K67" s="205"/>
      <c r="L67" s="205"/>
      <c r="M67" s="205"/>
      <c r="N67" s="205"/>
      <c r="O67" s="205"/>
    </row>
    <row r="68" spans="1:15" x14ac:dyDescent="0.3">
      <c r="B68" s="183" t="s">
        <v>113</v>
      </c>
      <c r="C68" s="183"/>
      <c r="D68" s="183"/>
      <c r="E68" s="183"/>
      <c r="F68" s="183"/>
      <c r="G68" s="183"/>
      <c r="H68" s="88">
        <v>0</v>
      </c>
      <c r="J68" s="205"/>
      <c r="K68" s="205"/>
      <c r="L68" s="205"/>
      <c r="M68" s="205"/>
      <c r="N68" s="205"/>
      <c r="O68" s="205"/>
    </row>
    <row r="69" spans="1:15" x14ac:dyDescent="0.3">
      <c r="B69" s="183" t="s">
        <v>136</v>
      </c>
      <c r="C69" s="183"/>
      <c r="D69" s="183"/>
      <c r="E69" s="183"/>
      <c r="F69" s="183"/>
      <c r="G69" s="183"/>
      <c r="H69" s="88">
        <v>0</v>
      </c>
      <c r="J69" s="205"/>
      <c r="K69" s="205"/>
      <c r="L69" s="205"/>
      <c r="M69" s="205"/>
      <c r="N69" s="205"/>
      <c r="O69" s="205"/>
    </row>
    <row r="70" spans="1:15" x14ac:dyDescent="0.3">
      <c r="B70" s="126" t="s">
        <v>160</v>
      </c>
      <c r="C70" s="126"/>
      <c r="D70" s="126"/>
      <c r="E70" s="126"/>
      <c r="F70" s="126"/>
      <c r="G70" s="126"/>
      <c r="H70" s="87">
        <v>53531064.690000005</v>
      </c>
    </row>
    <row r="71" spans="1:15" x14ac:dyDescent="0.3">
      <c r="B71" s="126" t="s">
        <v>137</v>
      </c>
      <c r="C71" s="126"/>
      <c r="D71" s="126"/>
      <c r="E71" s="126"/>
      <c r="F71" s="126"/>
      <c r="G71" s="126"/>
      <c r="H71" s="87">
        <v>13227514.758000009</v>
      </c>
    </row>
    <row r="74" spans="1:15" x14ac:dyDescent="0.3">
      <c r="A74" s="157"/>
      <c r="B74" s="157"/>
      <c r="C74" s="157"/>
      <c r="D74" s="157"/>
      <c r="E74" s="157"/>
      <c r="F74" s="157"/>
    </row>
    <row r="75" spans="1:15" x14ac:dyDescent="0.3">
      <c r="A75" s="157"/>
      <c r="B75" s="157"/>
      <c r="C75" s="157"/>
      <c r="D75" s="157"/>
      <c r="E75" s="157"/>
      <c r="F75" s="157"/>
    </row>
    <row r="76" spans="1:15" x14ac:dyDescent="0.3">
      <c r="A76" s="157"/>
      <c r="B76" s="157"/>
      <c r="C76" s="157"/>
      <c r="D76" s="157"/>
      <c r="E76" s="157"/>
      <c r="F76" s="157"/>
    </row>
    <row r="77" spans="1:15" x14ac:dyDescent="0.3">
      <c r="A77" s="157"/>
      <c r="B77" s="157"/>
      <c r="C77" s="157"/>
      <c r="D77" s="157"/>
      <c r="E77" s="157"/>
      <c r="F77" s="157"/>
    </row>
    <row r="78" spans="1:15" x14ac:dyDescent="0.3">
      <c r="A78" s="157"/>
      <c r="B78" s="157"/>
      <c r="C78" s="157"/>
      <c r="D78" s="157"/>
      <c r="E78" s="157"/>
      <c r="F78" s="157"/>
    </row>
    <row r="79" spans="1:15" x14ac:dyDescent="0.3">
      <c r="A79" s="157"/>
      <c r="B79" s="157"/>
      <c r="C79" s="157"/>
      <c r="D79" s="157"/>
      <c r="E79" s="157"/>
      <c r="F79" s="157"/>
    </row>
    <row r="80" spans="1:15" x14ac:dyDescent="0.3">
      <c r="A80" s="157"/>
      <c r="B80" s="157"/>
      <c r="C80" s="157"/>
      <c r="D80" s="157"/>
      <c r="E80" s="157"/>
      <c r="F80" s="157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baseColWidth="10" defaultRowHeight="14.4" x14ac:dyDescent="0.3"/>
  <cols>
    <col min="1" max="1" width="51" customWidth="1"/>
  </cols>
  <sheetData>
    <row r="1" spans="1:1" ht="26.25" x14ac:dyDescent="0.4">
      <c r="A1" s="293" t="s">
        <v>264</v>
      </c>
    </row>
    <row r="2" spans="1:1" ht="25.8" x14ac:dyDescent="0.5">
      <c r="A2" s="294" t="s">
        <v>266</v>
      </c>
    </row>
    <row r="3" spans="1:1" ht="25.8" x14ac:dyDescent="0.5">
      <c r="A3" s="294" t="s">
        <v>51</v>
      </c>
    </row>
    <row r="4" spans="1:1" ht="25.8" x14ac:dyDescent="0.5">
      <c r="A4" s="294" t="s">
        <v>157</v>
      </c>
    </row>
    <row r="5" spans="1:1" ht="25.8" x14ac:dyDescent="0.5">
      <c r="A5" s="295" t="s">
        <v>265</v>
      </c>
    </row>
    <row r="6" spans="1:1" ht="26.25" x14ac:dyDescent="0.4">
      <c r="A6" s="295" t="s">
        <v>9</v>
      </c>
    </row>
    <row r="7" spans="1:1" ht="26.25" x14ac:dyDescent="0.4">
      <c r="A7" s="296" t="s">
        <v>267</v>
      </c>
    </row>
    <row r="8" spans="1:1" ht="25.8" x14ac:dyDescent="0.5">
      <c r="A8" s="294" t="s">
        <v>269</v>
      </c>
    </row>
    <row r="9" spans="1:1" ht="25.8" x14ac:dyDescent="0.5">
      <c r="A9" s="294" t="s">
        <v>268</v>
      </c>
    </row>
    <row r="10" spans="1:1" ht="26.25" x14ac:dyDescent="0.4">
      <c r="A10" s="296" t="s">
        <v>43</v>
      </c>
    </row>
    <row r="11" spans="1:1" ht="25.8" x14ac:dyDescent="0.5">
      <c r="A11" s="294" t="s">
        <v>12</v>
      </c>
    </row>
    <row r="12" spans="1:1" ht="25.8" x14ac:dyDescent="0.5">
      <c r="A12" s="294" t="s">
        <v>22</v>
      </c>
    </row>
    <row r="13" spans="1:1" ht="25.8" x14ac:dyDescent="0.5">
      <c r="A13" s="295" t="s">
        <v>270</v>
      </c>
    </row>
    <row r="14" spans="1:1" ht="25.8" x14ac:dyDescent="0.5">
      <c r="A14" s="294" t="s">
        <v>50</v>
      </c>
    </row>
    <row r="15" spans="1:1" ht="25.8" x14ac:dyDescent="0.5">
      <c r="A15" s="295" t="s">
        <v>200</v>
      </c>
    </row>
    <row r="16" spans="1:1" ht="25.8" x14ac:dyDescent="0.5">
      <c r="A16" s="294" t="s">
        <v>201</v>
      </c>
    </row>
    <row r="17" spans="1:1" ht="25.8" x14ac:dyDescent="0.5">
      <c r="A17" s="294" t="s">
        <v>271</v>
      </c>
    </row>
    <row r="18" spans="1:1" ht="25.8" x14ac:dyDescent="0.5">
      <c r="A18" s="294" t="s">
        <v>272</v>
      </c>
    </row>
    <row r="19" spans="1:1" ht="25.8" x14ac:dyDescent="0.5">
      <c r="A19" s="297" t="s">
        <v>361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D180"/>
  <sheetViews>
    <sheetView zoomScale="55" zoomScaleNormal="5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K92" sqref="K92"/>
    </sheetView>
  </sheetViews>
  <sheetFormatPr baseColWidth="10" defaultColWidth="11.33203125" defaultRowHeight="14.4" x14ac:dyDescent="0.3"/>
  <cols>
    <col min="1" max="1" width="11.33203125" style="35"/>
    <col min="2" max="2" width="11.6640625" style="187" customWidth="1"/>
    <col min="3" max="3" width="11.33203125" style="187"/>
    <col min="4" max="4" width="26.77734375" style="35" customWidth="1"/>
    <col min="5" max="5" width="15.33203125" style="35" customWidth="1"/>
    <col min="6" max="6" width="14.6640625" style="35" customWidth="1"/>
    <col min="7" max="8" width="14.109375" style="38" customWidth="1"/>
    <col min="9" max="9" width="11.6640625" style="35" customWidth="1"/>
    <col min="10" max="10" width="11" style="37" customWidth="1"/>
    <col min="11" max="11" width="11" customWidth="1"/>
    <col min="12" max="17" width="11" style="37" customWidth="1"/>
    <col min="18" max="19" width="11" style="35" customWidth="1"/>
    <col min="20" max="20" width="10.109375" style="41" customWidth="1"/>
    <col min="21" max="21" width="15.21875" style="35" customWidth="1"/>
    <col min="22" max="22" width="14.21875" style="187" customWidth="1"/>
    <col min="23" max="23" width="15.21875" style="187" customWidth="1"/>
    <col min="24" max="25" width="14" style="187" customWidth="1"/>
    <col min="26" max="26" width="14.88671875" style="35" customWidth="1"/>
    <col min="27" max="27" width="13.109375" style="35" bestFit="1" customWidth="1"/>
    <col min="28" max="28" width="19.21875" style="35" customWidth="1"/>
    <col min="29" max="29" width="11.33203125" style="35"/>
    <col min="30" max="30" width="21.6640625" style="35" customWidth="1"/>
    <col min="31" max="16384" width="11.33203125" style="35"/>
  </cols>
  <sheetData>
    <row r="1" spans="1:30" ht="15" customHeight="1" x14ac:dyDescent="0.2">
      <c r="J1" s="327" t="s">
        <v>132</v>
      </c>
      <c r="K1" s="327"/>
      <c r="L1" s="327" t="s">
        <v>133</v>
      </c>
      <c r="M1" s="327"/>
      <c r="N1" s="327" t="s">
        <v>134</v>
      </c>
      <c r="O1" s="327"/>
      <c r="P1" s="327" t="s">
        <v>209</v>
      </c>
      <c r="Q1" s="327"/>
    </row>
    <row r="2" spans="1:30" ht="30" customHeight="1" x14ac:dyDescent="0.3">
      <c r="A2" s="36" t="s">
        <v>125</v>
      </c>
      <c r="B2" s="188" t="s">
        <v>233</v>
      </c>
      <c r="C2" s="188" t="s">
        <v>233</v>
      </c>
      <c r="D2" s="42" t="s">
        <v>0</v>
      </c>
      <c r="E2" s="42" t="s">
        <v>76</v>
      </c>
      <c r="F2" s="42" t="s">
        <v>126</v>
      </c>
      <c r="G2" s="43" t="s">
        <v>1</v>
      </c>
      <c r="H2" s="43" t="s">
        <v>2</v>
      </c>
      <c r="I2" s="43" t="s">
        <v>3</v>
      </c>
      <c r="J2" s="52" t="s">
        <v>127</v>
      </c>
      <c r="K2" s="51" t="s">
        <v>81</v>
      </c>
      <c r="L2" s="52" t="s">
        <v>127</v>
      </c>
      <c r="M2" s="52" t="s">
        <v>81</v>
      </c>
      <c r="N2" s="52" t="s">
        <v>127</v>
      </c>
      <c r="O2" s="52" t="s">
        <v>81</v>
      </c>
      <c r="P2" s="52" t="s">
        <v>127</v>
      </c>
      <c r="Q2" s="52" t="s">
        <v>81</v>
      </c>
      <c r="R2" s="42" t="s">
        <v>128</v>
      </c>
      <c r="S2" s="42" t="s">
        <v>131</v>
      </c>
      <c r="T2" s="44" t="s">
        <v>77</v>
      </c>
      <c r="U2" s="42" t="s">
        <v>210</v>
      </c>
      <c r="V2" s="187" t="s">
        <v>76</v>
      </c>
      <c r="W2" s="187" t="s">
        <v>6</v>
      </c>
      <c r="X2" s="187" t="s">
        <v>6</v>
      </c>
      <c r="Z2" s="35" t="s">
        <v>138</v>
      </c>
      <c r="AA2" s="35" t="s">
        <v>139</v>
      </c>
      <c r="AB2" s="187" t="s">
        <v>222</v>
      </c>
    </row>
    <row r="3" spans="1:30" s="187" customFormat="1" ht="18" customHeight="1" x14ac:dyDescent="0.3">
      <c r="A3" s="128">
        <v>2329</v>
      </c>
      <c r="B3" s="128">
        <v>45628</v>
      </c>
      <c r="C3" s="128"/>
      <c r="D3" s="188" t="s">
        <v>799</v>
      </c>
      <c r="E3" s="188" t="s">
        <v>170</v>
      </c>
      <c r="F3" s="188">
        <v>1086345628</v>
      </c>
      <c r="G3" s="189">
        <v>42826</v>
      </c>
      <c r="H3" s="189">
        <v>42829</v>
      </c>
      <c r="I3" s="188">
        <v>3</v>
      </c>
      <c r="J3" s="190"/>
      <c r="K3" s="319">
        <v>390</v>
      </c>
      <c r="L3" s="190"/>
      <c r="M3" s="190">
        <v>195</v>
      </c>
      <c r="N3" s="190"/>
      <c r="O3" s="190"/>
      <c r="P3" s="190"/>
      <c r="Q3" s="190"/>
      <c r="R3" s="192">
        <f>K3+M3+O3+Q3</f>
        <v>585</v>
      </c>
      <c r="S3" s="192">
        <f>L3+N3+J3+P3</f>
        <v>0</v>
      </c>
      <c r="T3" s="190">
        <f>IF(I3=0,(R3+S3/EERR!$D$2/1.19),(R3+S3/EERR!$D$2/1.19)/I3)</f>
        <v>195</v>
      </c>
      <c r="U3" s="192">
        <f>S3+R3*EERR!$D$2</f>
        <v>383607.9</v>
      </c>
      <c r="V3" s="187">
        <f>VLOOKUP(F3,Booking!$B$2:$R$100,16,FALSE)</f>
        <v>3</v>
      </c>
      <c r="W3" s="196">
        <f>SUMIF(Transbank!$A$2:$A$449,B3,Transbank!$L$2:$L$449)+SUMIF(Transbank!$A$2:$A$449,C3,Transbank!$L$2:$L$449)+(J3+N3)+(K3+O3)*EERR!$D$2</f>
        <v>383607.9</v>
      </c>
      <c r="X3" s="196">
        <f>W3/EERR!$D$2</f>
        <v>585</v>
      </c>
      <c r="Y3" s="196">
        <f>+W3-U3</f>
        <v>0</v>
      </c>
      <c r="Z3" s="196">
        <f>(J3+L3+N3)/1.19</f>
        <v>0</v>
      </c>
      <c r="AA3" s="196">
        <f t="shared" ref="AA3" si="0">IF(AB3="b",(J3+L3+N3)*0.19,0)</f>
        <v>0</v>
      </c>
      <c r="AB3" s="187">
        <f>IFERROR(VLOOKUP(A3,#REF!,8,FALSE),0)</f>
        <v>0</v>
      </c>
      <c r="AC3" s="45">
        <f>R3-AB3</f>
        <v>585</v>
      </c>
    </row>
    <row r="4" spans="1:30" s="187" customFormat="1" x14ac:dyDescent="0.3">
      <c r="A4" s="128">
        <v>2333</v>
      </c>
      <c r="B4" s="128">
        <v>67321</v>
      </c>
      <c r="C4" s="128"/>
      <c r="D4" s="188" t="s">
        <v>800</v>
      </c>
      <c r="E4" s="188" t="s">
        <v>170</v>
      </c>
      <c r="F4" s="188">
        <v>1550667321</v>
      </c>
      <c r="G4" s="189">
        <v>42826</v>
      </c>
      <c r="H4" s="189">
        <v>42828</v>
      </c>
      <c r="I4" s="188">
        <v>2</v>
      </c>
      <c r="J4" s="190"/>
      <c r="K4" s="191"/>
      <c r="L4" s="190"/>
      <c r="M4" s="190">
        <v>390</v>
      </c>
      <c r="N4" s="190"/>
      <c r="O4" s="190"/>
      <c r="P4" s="190"/>
      <c r="Q4" s="190"/>
      <c r="R4" s="192">
        <f t="shared" ref="R4:R62" si="1">K4+M4+O4+Q4</f>
        <v>390</v>
      </c>
      <c r="S4" s="192">
        <f t="shared" ref="S4:S62" si="2">L4+N4+J4+P4</f>
        <v>0</v>
      </c>
      <c r="T4" s="190">
        <f>IF(I4=0,(R4+S4/EERR!$D$2/1.19),(R4+S4/EERR!$D$2/1.19)/I4)</f>
        <v>195</v>
      </c>
      <c r="U4" s="192">
        <f>S4+R4*EERR!$D$2</f>
        <v>255738.6</v>
      </c>
      <c r="V4" s="187">
        <f>VLOOKUP(F4,Booking!$B$2:$R$100,16,FALSE)</f>
        <v>2</v>
      </c>
      <c r="W4" s="196">
        <f>SUMIF(Transbank!$A$2:$A$449,B4,Transbank!$L$2:$L$449)+SUMIF(Transbank!$A$2:$A$449,C4,Transbank!$L$2:$L$449)+(J4+N4)+(K4+O4)*EERR!$D$2</f>
        <v>255738.6</v>
      </c>
      <c r="X4" s="196">
        <f>W4/EERR!$D$2</f>
        <v>390</v>
      </c>
      <c r="Y4" s="196">
        <f t="shared" ref="Y4:Y67" si="3">+W4-U4</f>
        <v>0</v>
      </c>
      <c r="Z4" s="196">
        <f t="shared" ref="Z4:Z68" si="4">(J4+L4+N4)/1.19</f>
        <v>0</v>
      </c>
      <c r="AA4" s="196">
        <f t="shared" ref="AA4:AA69" si="5">IF(AB4="b",(J4+L4+N4)*0.19,0)</f>
        <v>0</v>
      </c>
      <c r="AB4" s="187">
        <f>IFERROR(VLOOKUP(A4,#REF!,8,FALSE),0)</f>
        <v>0</v>
      </c>
      <c r="AC4" s="45">
        <f t="shared" ref="AC4:AC69" si="6">R4-AB4</f>
        <v>390</v>
      </c>
    </row>
    <row r="5" spans="1:30" s="187" customFormat="1" x14ac:dyDescent="0.3">
      <c r="A5" s="128">
        <v>2334</v>
      </c>
      <c r="B5" s="128">
        <v>50953</v>
      </c>
      <c r="C5" s="128"/>
      <c r="D5" s="188" t="s">
        <v>801</v>
      </c>
      <c r="E5" s="188" t="s">
        <v>170</v>
      </c>
      <c r="F5" s="188">
        <v>1801450953</v>
      </c>
      <c r="G5" s="189">
        <v>42827</v>
      </c>
      <c r="H5" s="189">
        <v>42833</v>
      </c>
      <c r="I5" s="188">
        <v>6</v>
      </c>
      <c r="J5" s="190"/>
      <c r="K5" s="191"/>
      <c r="L5" s="190"/>
      <c r="M5" s="190">
        <v>1176</v>
      </c>
      <c r="N5" s="190"/>
      <c r="O5" s="190"/>
      <c r="P5" s="190"/>
      <c r="Q5" s="190"/>
      <c r="R5" s="192">
        <f t="shared" si="1"/>
        <v>1176</v>
      </c>
      <c r="S5" s="192">
        <f t="shared" si="2"/>
        <v>0</v>
      </c>
      <c r="T5" s="190">
        <f>IF(I5=0,(R5+S5/EERR!$D$2/1.19),(R5+S5/EERR!$D$2/1.19)/I5)</f>
        <v>196</v>
      </c>
      <c r="U5" s="192">
        <f>S5+R5*EERR!$D$2</f>
        <v>771150.24</v>
      </c>
      <c r="V5" s="187">
        <f>VLOOKUP(F5,Booking!$B$2:$R$100,16,FALSE)</f>
        <v>6</v>
      </c>
      <c r="W5" s="196">
        <f>SUMIF(Transbank!$A$2:$A$449,B5,Transbank!$L$2:$L$449)+SUMIF(Transbank!$A$2:$A$449,C5,Transbank!$L$2:$L$449)+(J5+N5)+(K5+O5)*EERR!$D$2</f>
        <v>771150.24</v>
      </c>
      <c r="X5" s="196">
        <f>W5/EERR!$D$2</f>
        <v>1176</v>
      </c>
      <c r="Y5" s="196">
        <f t="shared" si="3"/>
        <v>0</v>
      </c>
      <c r="Z5" s="196">
        <f t="shared" si="4"/>
        <v>0</v>
      </c>
      <c r="AA5" s="196">
        <f t="shared" si="5"/>
        <v>0</v>
      </c>
      <c r="AB5" s="187">
        <f>IFERROR(VLOOKUP(A5,#REF!,8,FALSE),0)</f>
        <v>0</v>
      </c>
      <c r="AC5" s="45">
        <f t="shared" si="6"/>
        <v>1176</v>
      </c>
    </row>
    <row r="6" spans="1:30" s="187" customFormat="1" x14ac:dyDescent="0.3">
      <c r="A6" s="128">
        <v>2332</v>
      </c>
      <c r="B6" s="128">
        <v>23320</v>
      </c>
      <c r="C6" s="128"/>
      <c r="D6" s="188" t="s">
        <v>802</v>
      </c>
      <c r="E6" s="188" t="s">
        <v>170</v>
      </c>
      <c r="F6" s="188">
        <v>1649423320</v>
      </c>
      <c r="G6" s="189">
        <v>42827</v>
      </c>
      <c r="H6" s="189">
        <v>42828</v>
      </c>
      <c r="I6" s="188">
        <v>2</v>
      </c>
      <c r="J6" s="190"/>
      <c r="K6" s="191"/>
      <c r="L6" s="190"/>
      <c r="M6" s="190">
        <v>390</v>
      </c>
      <c r="N6" s="190"/>
      <c r="O6" s="190"/>
      <c r="P6" s="190"/>
      <c r="Q6" s="190"/>
      <c r="R6" s="192">
        <f t="shared" si="1"/>
        <v>390</v>
      </c>
      <c r="S6" s="192">
        <f t="shared" si="2"/>
        <v>0</v>
      </c>
      <c r="T6" s="190">
        <f>IF(I6=0,(R6+S6/EERR!$D$2/1.19),(R6+S6/EERR!$D$2/1.19)/I6)</f>
        <v>195</v>
      </c>
      <c r="U6" s="192">
        <f>S6+R6*EERR!$D$2</f>
        <v>255738.6</v>
      </c>
      <c r="V6" s="187">
        <f>VLOOKUP(F6,Booking!$B$2:$R$100,16,FALSE)</f>
        <v>1</v>
      </c>
      <c r="W6" s="196">
        <f>SUMIF(Transbank!$A$2:$A$449,B6,Transbank!$L$2:$L$449)+SUMIF(Transbank!$A$2:$A$449,C6,Transbank!$L$2:$L$449)+(J6+N6)+(K6+O6)*EERR!$D$2</f>
        <v>255738.6</v>
      </c>
      <c r="X6" s="196">
        <f>W6/EERR!$D$2</f>
        <v>390</v>
      </c>
      <c r="Y6" s="196">
        <f t="shared" si="3"/>
        <v>0</v>
      </c>
      <c r="Z6" s="196">
        <f t="shared" si="4"/>
        <v>0</v>
      </c>
      <c r="AA6" s="196">
        <f t="shared" si="5"/>
        <v>0</v>
      </c>
      <c r="AB6" s="187">
        <f>IFERROR(VLOOKUP(A6,#REF!,8,FALSE),0)</f>
        <v>0</v>
      </c>
      <c r="AC6" s="45">
        <f t="shared" si="6"/>
        <v>390</v>
      </c>
      <c r="AD6" s="38"/>
    </row>
    <row r="7" spans="1:30" s="187" customFormat="1" x14ac:dyDescent="0.3">
      <c r="A7" s="128">
        <v>47</v>
      </c>
      <c r="B7" s="128">
        <v>45018</v>
      </c>
      <c r="C7" s="128"/>
      <c r="D7" s="188" t="s">
        <v>803</v>
      </c>
      <c r="E7" s="188" t="s">
        <v>170</v>
      </c>
      <c r="F7" s="188">
        <v>1708745018</v>
      </c>
      <c r="G7" s="189">
        <v>42828</v>
      </c>
      <c r="H7" s="189">
        <v>42831</v>
      </c>
      <c r="I7" s="188">
        <v>3</v>
      </c>
      <c r="J7" s="190"/>
      <c r="K7" s="191"/>
      <c r="L7" s="190">
        <v>394476</v>
      </c>
      <c r="M7" s="190"/>
      <c r="N7" s="190"/>
      <c r="O7" s="190"/>
      <c r="P7" s="190"/>
      <c r="Q7" s="190"/>
      <c r="R7" s="192">
        <f t="shared" si="1"/>
        <v>0</v>
      </c>
      <c r="S7" s="192">
        <f t="shared" si="2"/>
        <v>394476</v>
      </c>
      <c r="T7" s="190">
        <f>IF(I7=0,(R7+S7/EERR!$D$2/1.19),(R7+S7/EERR!$D$2/1.19)/I7)</f>
        <v>168.50806568395498</v>
      </c>
      <c r="U7" s="192">
        <f>S7+R7*EERR!$D$2</f>
        <v>394476</v>
      </c>
      <c r="V7" s="187">
        <f>VLOOKUP(F7,Booking!$B$2:$R$100,16,FALSE)</f>
        <v>3</v>
      </c>
      <c r="W7" s="196">
        <f>SUMIF(Transbank!$A$2:$A$449,B7,Transbank!$L$2:$L$449)+SUMIF(Transbank!$A$2:$A$449,C7,Transbank!$L$2:$L$449)+(J7+N7)+(K7+O7)*EERR!$D$2</f>
        <v>394476</v>
      </c>
      <c r="X7" s="196">
        <f>W7/EERR!$D$2</f>
        <v>601.57379449171924</v>
      </c>
      <c r="Y7" s="196">
        <f>W7-U7</f>
        <v>0</v>
      </c>
      <c r="Z7" s="196">
        <f t="shared" si="4"/>
        <v>331492.43697478995</v>
      </c>
      <c r="AA7" s="196">
        <f t="shared" si="5"/>
        <v>0</v>
      </c>
      <c r="AB7" s="187">
        <f>IFERROR(VLOOKUP(A7,#REF!,8,FALSE),0)</f>
        <v>0</v>
      </c>
      <c r="AC7" s="45">
        <f t="shared" si="6"/>
        <v>0</v>
      </c>
    </row>
    <row r="8" spans="1:30" s="187" customFormat="1" x14ac:dyDescent="0.3">
      <c r="A8" s="128">
        <v>2336</v>
      </c>
      <c r="B8" s="128">
        <v>17760</v>
      </c>
      <c r="C8" s="128"/>
      <c r="D8" s="188" t="s">
        <v>804</v>
      </c>
      <c r="E8" s="188" t="s">
        <v>170</v>
      </c>
      <c r="F8" s="188">
        <v>1346417760</v>
      </c>
      <c r="G8" s="189">
        <v>42828</v>
      </c>
      <c r="H8" s="189">
        <v>42832</v>
      </c>
      <c r="I8" s="188">
        <v>4</v>
      </c>
      <c r="J8" s="190"/>
      <c r="K8" s="191"/>
      <c r="L8" s="190"/>
      <c r="M8" s="190">
        <v>735</v>
      </c>
      <c r="N8" s="190"/>
      <c r="O8" s="190"/>
      <c r="P8" s="190"/>
      <c r="Q8" s="190"/>
      <c r="R8" s="192">
        <f t="shared" si="1"/>
        <v>735</v>
      </c>
      <c r="S8" s="192">
        <f t="shared" si="2"/>
        <v>0</v>
      </c>
      <c r="T8" s="190">
        <f>IF(I8=0,(R8+S8/EERR!$D$2/1.19),(R8+S8/EERR!$D$2/1.19)/I8)</f>
        <v>183.75</v>
      </c>
      <c r="U8" s="192">
        <f>S8+R8*EERR!$D$2</f>
        <v>481968.9</v>
      </c>
      <c r="V8" s="187">
        <f>VLOOKUP(F8,Booking!$B$2:$R$100,16,FALSE)</f>
        <v>4</v>
      </c>
      <c r="W8" s="196">
        <f>SUMIF(Transbank!$A$2:$A$449,B8,Transbank!$L$2:$L$449)+SUMIF(Transbank!$A$2:$A$449,C8,Transbank!$L$2:$L$449)+(J8+N8)+(K8+O8)*EERR!$D$2</f>
        <v>481968.89999999997</v>
      </c>
      <c r="X8" s="196">
        <f>W8/EERR!$D$2</f>
        <v>734.99999999999989</v>
      </c>
      <c r="Y8" s="196">
        <f t="shared" si="3"/>
        <v>0</v>
      </c>
      <c r="Z8" s="196">
        <f t="shared" si="4"/>
        <v>0</v>
      </c>
      <c r="AA8" s="196">
        <f t="shared" si="5"/>
        <v>0</v>
      </c>
      <c r="AB8" s="187">
        <f>IFERROR(VLOOKUP(A8,#REF!,8,FALSE),0)</f>
        <v>0</v>
      </c>
      <c r="AC8" s="45">
        <f t="shared" si="6"/>
        <v>735</v>
      </c>
    </row>
    <row r="9" spans="1:30" s="187" customFormat="1" x14ac:dyDescent="0.3">
      <c r="A9" s="128">
        <v>2347</v>
      </c>
      <c r="B9" s="128">
        <v>68971</v>
      </c>
      <c r="C9" s="128"/>
      <c r="D9" s="188" t="s">
        <v>805</v>
      </c>
      <c r="E9" s="188" t="s">
        <v>170</v>
      </c>
      <c r="F9" s="188">
        <v>1086368971</v>
      </c>
      <c r="G9" s="189">
        <v>42828</v>
      </c>
      <c r="H9" s="189">
        <v>42835</v>
      </c>
      <c r="I9" s="188">
        <v>7</v>
      </c>
      <c r="J9" s="190"/>
      <c r="K9" s="319">
        <v>1170</v>
      </c>
      <c r="L9" s="190"/>
      <c r="M9" s="190">
        <v>195</v>
      </c>
      <c r="N9" s="190"/>
      <c r="O9" s="190"/>
      <c r="P9" s="190"/>
      <c r="Q9" s="190"/>
      <c r="R9" s="192">
        <f t="shared" si="1"/>
        <v>1365</v>
      </c>
      <c r="S9" s="192">
        <f t="shared" si="2"/>
        <v>0</v>
      </c>
      <c r="T9" s="190">
        <f>IF(I9=0,(R9+S9/EERR!$D$2/1.19),(R9+S9/EERR!$D$2/1.19)/I9)</f>
        <v>195</v>
      </c>
      <c r="U9" s="192">
        <f>S9+R9*EERR!$D$2</f>
        <v>895085.1</v>
      </c>
      <c r="V9" s="187">
        <f>VLOOKUP(F9,Booking!$B$2:$R$100,16,FALSE)</f>
        <v>7</v>
      </c>
      <c r="W9" s="196">
        <f>SUMIF(Transbank!$A$2:$A$449,B9,Transbank!$L$2:$L$449)+SUMIF(Transbank!$A$2:$A$449,C9,Transbank!$L$2:$L$449)+(J9+N9)+(K9+O9)*EERR!$D$2</f>
        <v>895085.10000000009</v>
      </c>
      <c r="X9" s="196">
        <f>W9/EERR!$D$2</f>
        <v>1365.0000000000002</v>
      </c>
      <c r="Y9" s="196">
        <f t="shared" si="3"/>
        <v>0</v>
      </c>
      <c r="Z9" s="196">
        <f t="shared" si="4"/>
        <v>0</v>
      </c>
      <c r="AA9" s="196">
        <f t="shared" si="5"/>
        <v>0</v>
      </c>
      <c r="AB9" s="187">
        <f>IFERROR(VLOOKUP(A9,#REF!,8,FALSE),0)</f>
        <v>0</v>
      </c>
      <c r="AC9" s="45">
        <f t="shared" si="6"/>
        <v>1365</v>
      </c>
    </row>
    <row r="10" spans="1:30" s="187" customFormat="1" x14ac:dyDescent="0.3">
      <c r="A10" s="128">
        <v>2335</v>
      </c>
      <c r="B10" s="128">
        <v>70330</v>
      </c>
      <c r="C10" s="128"/>
      <c r="D10" s="188" t="s">
        <v>806</v>
      </c>
      <c r="E10" s="188" t="s">
        <v>170</v>
      </c>
      <c r="F10" s="188">
        <v>527570330</v>
      </c>
      <c r="G10" s="189">
        <v>42828</v>
      </c>
      <c r="H10" s="189">
        <v>42835</v>
      </c>
      <c r="I10" s="188">
        <v>7</v>
      </c>
      <c r="J10" s="190"/>
      <c r="K10" s="191"/>
      <c r="L10" s="190"/>
      <c r="M10" s="190">
        <v>1330</v>
      </c>
      <c r="N10" s="190"/>
      <c r="O10" s="190"/>
      <c r="P10" s="190"/>
      <c r="Q10" s="190"/>
      <c r="R10" s="192">
        <f t="shared" si="1"/>
        <v>1330</v>
      </c>
      <c r="S10" s="192">
        <f t="shared" si="2"/>
        <v>0</v>
      </c>
      <c r="T10" s="190">
        <f>IF(I10=0,(R10+S10/EERR!$D$2/1.19),(R10+S10/EERR!$D$2/1.19)/I10)</f>
        <v>190</v>
      </c>
      <c r="U10" s="192">
        <f>S10+R10*EERR!$D$2</f>
        <v>872134.20000000007</v>
      </c>
      <c r="V10" s="187">
        <f>VLOOKUP(F10,Booking!$B$2:$R$100,16,FALSE)</f>
        <v>7</v>
      </c>
      <c r="W10" s="196">
        <f>SUMIF(Transbank!$A$2:$A$449,B10,Transbank!$L$2:$L$449)+SUMIF(Transbank!$A$2:$A$449,C10,Transbank!$L$2:$L$449)+(J10+N10)+(K10+O10)*EERR!$D$2</f>
        <v>872134.2</v>
      </c>
      <c r="X10" s="196">
        <f>W10/EERR!$D$2</f>
        <v>1330</v>
      </c>
      <c r="Y10" s="196">
        <f t="shared" si="3"/>
        <v>0</v>
      </c>
      <c r="Z10" s="196">
        <f t="shared" si="4"/>
        <v>0</v>
      </c>
      <c r="AA10" s="196">
        <f t="shared" si="5"/>
        <v>0</v>
      </c>
      <c r="AB10" s="187">
        <f>IFERROR(VLOOKUP(A10,#REF!,8,FALSE),0)</f>
        <v>0</v>
      </c>
      <c r="AC10" s="45">
        <f t="shared" si="6"/>
        <v>1330</v>
      </c>
    </row>
    <row r="11" spans="1:30" s="187" customFormat="1" x14ac:dyDescent="0.3">
      <c r="A11" s="128">
        <v>47</v>
      </c>
      <c r="B11" s="128">
        <v>45018</v>
      </c>
      <c r="C11" s="128"/>
      <c r="D11" s="188" t="s">
        <v>803</v>
      </c>
      <c r="E11" s="188" t="s">
        <v>170</v>
      </c>
      <c r="F11" s="188">
        <v>1708745018</v>
      </c>
      <c r="G11" s="189">
        <v>42828</v>
      </c>
      <c r="H11" s="189">
        <v>42831</v>
      </c>
      <c r="I11" s="188">
        <v>3</v>
      </c>
      <c r="J11" s="190"/>
      <c r="K11" s="191"/>
      <c r="L11" s="190">
        <v>394476</v>
      </c>
      <c r="M11" s="190"/>
      <c r="N11" s="190"/>
      <c r="O11" s="190"/>
      <c r="P11" s="190"/>
      <c r="Q11" s="190"/>
      <c r="R11" s="192">
        <f t="shared" si="1"/>
        <v>0</v>
      </c>
      <c r="S11" s="192">
        <f t="shared" si="2"/>
        <v>394476</v>
      </c>
      <c r="T11" s="190">
        <f>IF(I11=0,(R11+S11/EERR!$D$2/1.19),(R11+S11/EERR!$D$2/1.19)/I11)</f>
        <v>168.50806568395498</v>
      </c>
      <c r="U11" s="192">
        <f>S11+R11*EERR!$D$2</f>
        <v>394476</v>
      </c>
      <c r="V11" s="187">
        <f>VLOOKUP(F11,Booking!$B$2:$R$100,16,FALSE)</f>
        <v>3</v>
      </c>
      <c r="W11" s="196">
        <f>SUMIF(Transbank!$A$2:$A$449,B11,Transbank!$L$2:$L$449)+SUMIF(Transbank!$A$2:$A$449,C11,Transbank!$L$2:$L$449)+(J11+N11)+(K11+O11)*EERR!$D$2</f>
        <v>394476</v>
      </c>
      <c r="X11" s="196">
        <f>W11/EERR!$D$2</f>
        <v>601.57379449171924</v>
      </c>
      <c r="Y11" s="196">
        <f t="shared" si="3"/>
        <v>0</v>
      </c>
      <c r="Z11" s="196">
        <f t="shared" si="4"/>
        <v>331492.43697478995</v>
      </c>
      <c r="AA11" s="196">
        <f t="shared" si="5"/>
        <v>0</v>
      </c>
      <c r="AB11" s="187">
        <f>IFERROR(VLOOKUP(A11,#REF!,8,FALSE),0)</f>
        <v>0</v>
      </c>
      <c r="AC11" s="45">
        <f t="shared" si="6"/>
        <v>0</v>
      </c>
    </row>
    <row r="12" spans="1:30" s="187" customFormat="1" x14ac:dyDescent="0.3">
      <c r="A12" s="128">
        <v>2340</v>
      </c>
      <c r="B12" s="128">
        <v>6648</v>
      </c>
      <c r="C12" s="128"/>
      <c r="D12" s="188" t="s">
        <v>807</v>
      </c>
      <c r="E12" s="188" t="s">
        <v>170</v>
      </c>
      <c r="F12" s="188">
        <v>1337506648</v>
      </c>
      <c r="G12" s="189">
        <v>42829</v>
      </c>
      <c r="H12" s="189">
        <v>42831</v>
      </c>
      <c r="I12" s="188">
        <v>2</v>
      </c>
      <c r="J12" s="190"/>
      <c r="K12" s="191"/>
      <c r="L12" s="190"/>
      <c r="M12" s="190">
        <v>360</v>
      </c>
      <c r="N12" s="190"/>
      <c r="O12" s="190"/>
      <c r="P12" s="190"/>
      <c r="Q12" s="190"/>
      <c r="R12" s="192">
        <f t="shared" si="1"/>
        <v>360</v>
      </c>
      <c r="S12" s="192">
        <f t="shared" si="2"/>
        <v>0</v>
      </c>
      <c r="T12" s="190">
        <f>IF(I12=0,(R12+S12/EERR!$D$2/1.19),(R12+S12/EERR!$D$2/1.19)/I12)</f>
        <v>180</v>
      </c>
      <c r="U12" s="192">
        <f>S12+R12*EERR!$D$2</f>
        <v>236066.4</v>
      </c>
      <c r="V12" s="187">
        <f>VLOOKUP(F12,Booking!$B$2:$R$100,16,FALSE)</f>
        <v>2</v>
      </c>
      <c r="W12" s="196">
        <f>SUMIF(Transbank!$A$2:$A$449,B12,Transbank!$L$2:$L$449)+SUMIF(Transbank!$A$2:$A$449,C12,Transbank!$L$2:$L$449)+(J12+N12)+(K12+O12)*EERR!$D$2</f>
        <v>236066.4</v>
      </c>
      <c r="X12" s="196">
        <f>W12/EERR!$D$2</f>
        <v>360</v>
      </c>
      <c r="Y12" s="196">
        <f t="shared" si="3"/>
        <v>0</v>
      </c>
      <c r="Z12" s="196">
        <f t="shared" si="4"/>
        <v>0</v>
      </c>
      <c r="AA12" s="196">
        <f t="shared" si="5"/>
        <v>0</v>
      </c>
      <c r="AB12" s="187">
        <f>IFERROR(VLOOKUP(A12,#REF!,8,FALSE),0)</f>
        <v>0</v>
      </c>
      <c r="AC12" s="45">
        <f t="shared" si="6"/>
        <v>360</v>
      </c>
    </row>
    <row r="13" spans="1:30" s="187" customFormat="1" x14ac:dyDescent="0.3">
      <c r="A13" s="128">
        <v>2341</v>
      </c>
      <c r="B13" s="128">
        <v>95130</v>
      </c>
      <c r="C13" s="128"/>
      <c r="D13" s="188" t="s">
        <v>808</v>
      </c>
      <c r="E13" s="188" t="s">
        <v>170</v>
      </c>
      <c r="F13" s="188">
        <v>2087395130</v>
      </c>
      <c r="G13" s="189">
        <v>42831</v>
      </c>
      <c r="H13" s="189">
        <v>42832</v>
      </c>
      <c r="I13" s="188">
        <v>1</v>
      </c>
      <c r="J13" s="190"/>
      <c r="K13" s="191"/>
      <c r="L13" s="190"/>
      <c r="M13" s="190">
        <v>180</v>
      </c>
      <c r="N13" s="190"/>
      <c r="O13" s="190"/>
      <c r="P13" s="190"/>
      <c r="Q13" s="190"/>
      <c r="R13" s="192">
        <f t="shared" si="1"/>
        <v>180</v>
      </c>
      <c r="S13" s="192">
        <f t="shared" si="2"/>
        <v>0</v>
      </c>
      <c r="T13" s="190">
        <f>IF(I13=0,(R13+S13/EERR!$D$2/1.19),(R13+S13/EERR!$D$2/1.19)/I13)</f>
        <v>180</v>
      </c>
      <c r="U13" s="192">
        <f>S13+R13*EERR!$D$2</f>
        <v>118033.2</v>
      </c>
      <c r="V13" s="187">
        <f>VLOOKUP(F13,Booking!$B$2:$R$100,16,FALSE)</f>
        <v>1</v>
      </c>
      <c r="W13" s="196">
        <f>SUMIF(Transbank!$A$2:$A$449,B13,Transbank!$L$2:$L$449)+SUMIF(Transbank!$A$2:$A$449,C13,Transbank!$L$2:$L$449)+(J13+N13)+(K13+O13)*EERR!$D$2</f>
        <v>118033.2</v>
      </c>
      <c r="X13" s="196">
        <f>W13/EERR!$D$2</f>
        <v>180</v>
      </c>
      <c r="Y13" s="196">
        <f t="shared" si="3"/>
        <v>0</v>
      </c>
      <c r="Z13" s="196">
        <f t="shared" si="4"/>
        <v>0</v>
      </c>
      <c r="AA13" s="196">
        <f t="shared" si="5"/>
        <v>0</v>
      </c>
      <c r="AB13" s="187">
        <f>IFERROR(VLOOKUP(A13,#REF!,8,FALSE),0)</f>
        <v>0</v>
      </c>
      <c r="AC13" s="45">
        <f t="shared" si="6"/>
        <v>180</v>
      </c>
    </row>
    <row r="14" spans="1:30" s="187" customFormat="1" x14ac:dyDescent="0.3">
      <c r="A14" s="128"/>
      <c r="B14" s="128">
        <v>35778</v>
      </c>
      <c r="C14" s="128"/>
      <c r="D14" s="188" t="s">
        <v>809</v>
      </c>
      <c r="E14" s="188" t="s">
        <v>170</v>
      </c>
      <c r="F14" s="188">
        <v>1751835778</v>
      </c>
      <c r="G14" s="189">
        <v>42833</v>
      </c>
      <c r="H14" s="189">
        <v>42834</v>
      </c>
      <c r="I14" s="188">
        <v>1</v>
      </c>
      <c r="J14" s="190"/>
      <c r="K14" s="191"/>
      <c r="L14" s="190">
        <v>146597</v>
      </c>
      <c r="M14" s="190"/>
      <c r="N14" s="190"/>
      <c r="O14" s="190"/>
      <c r="P14" s="190"/>
      <c r="Q14" s="190"/>
      <c r="R14" s="192">
        <f t="shared" si="1"/>
        <v>0</v>
      </c>
      <c r="S14" s="192">
        <f t="shared" si="2"/>
        <v>146597</v>
      </c>
      <c r="T14" s="190">
        <f>IF(I14=0,(R14+S14/EERR!$D$2/1.19),(R14+S14/EERR!$D$2/1.19)/I14)</f>
        <v>187.86524583298413</v>
      </c>
      <c r="U14" s="192">
        <f>S14+R14*EERR!$D$2</f>
        <v>146597</v>
      </c>
      <c r="V14" s="187">
        <f>VLOOKUP(F14,Booking!$B$2:$R$100,16,FALSE)</f>
        <v>1</v>
      </c>
      <c r="W14" s="196">
        <f>SUMIF(Transbank!$A$2:$A$449,B14,Transbank!$L$2:$L$449)+SUMIF(Transbank!$A$2:$A$449,C14,Transbank!$L$2:$L$449)+(J14+N14)+(K14+O14)*EERR!$D$2</f>
        <v>146597</v>
      </c>
      <c r="X14" s="196">
        <f>W14/EERR!$D$2</f>
        <v>223.55964254125109</v>
      </c>
      <c r="Y14" s="196">
        <f t="shared" si="3"/>
        <v>0</v>
      </c>
      <c r="Z14" s="196">
        <f t="shared" si="4"/>
        <v>123190.75630252101</v>
      </c>
      <c r="AA14" s="196">
        <f t="shared" si="5"/>
        <v>0</v>
      </c>
      <c r="AB14" s="187">
        <f>IFERROR(VLOOKUP(A14,#REF!,8,FALSE),0)</f>
        <v>0</v>
      </c>
      <c r="AC14" s="45">
        <f t="shared" si="6"/>
        <v>0</v>
      </c>
    </row>
    <row r="15" spans="1:30" s="187" customFormat="1" x14ac:dyDescent="0.3">
      <c r="A15" s="128">
        <v>2343</v>
      </c>
      <c r="B15" s="128">
        <v>35965</v>
      </c>
      <c r="C15" s="128"/>
      <c r="D15" s="188" t="s">
        <v>810</v>
      </c>
      <c r="E15" s="188" t="s">
        <v>170</v>
      </c>
      <c r="F15" s="188">
        <v>1875835965</v>
      </c>
      <c r="G15" s="189">
        <v>42833</v>
      </c>
      <c r="H15" s="189">
        <v>42834</v>
      </c>
      <c r="I15" s="188">
        <v>1</v>
      </c>
      <c r="J15" s="190"/>
      <c r="K15" s="191"/>
      <c r="L15" s="190"/>
      <c r="M15" s="190">
        <v>175.5</v>
      </c>
      <c r="N15" s="190"/>
      <c r="O15" s="190"/>
      <c r="P15" s="190"/>
      <c r="Q15" s="190"/>
      <c r="R15" s="192">
        <f t="shared" si="1"/>
        <v>175.5</v>
      </c>
      <c r="S15" s="192">
        <f t="shared" si="2"/>
        <v>0</v>
      </c>
      <c r="T15" s="190">
        <f>IF(I15=0,(R15+S15/EERR!$D$2/1.19),(R15+S15/EERR!$D$2/1.19)/I15)</f>
        <v>175.5</v>
      </c>
      <c r="U15" s="192">
        <f>S15+R15*EERR!$D$2</f>
        <v>115082.37</v>
      </c>
      <c r="V15" s="187">
        <f>VLOOKUP(F15,Booking!$B$2:$R$100,16,FALSE)</f>
        <v>1</v>
      </c>
      <c r="W15" s="196">
        <f>SUMIF(Transbank!$A$2:$A$449,B15,Transbank!$L$2:$L$449)+SUMIF(Transbank!$A$2:$A$449,C15,Transbank!$L$2:$L$449)+(J15+N15)+(K15+O15)*EERR!$D$2</f>
        <v>115082.37</v>
      </c>
      <c r="X15" s="196">
        <f>W15/EERR!$D$2</f>
        <v>175.5</v>
      </c>
      <c r="Y15" s="196">
        <f t="shared" si="3"/>
        <v>0</v>
      </c>
      <c r="Z15" s="196">
        <f t="shared" si="4"/>
        <v>0</v>
      </c>
      <c r="AA15" s="196">
        <f t="shared" si="5"/>
        <v>0</v>
      </c>
      <c r="AB15" s="187">
        <f>IFERROR(VLOOKUP(A15,#REF!,8,FALSE),0)</f>
        <v>0</v>
      </c>
      <c r="AC15" s="45">
        <f t="shared" si="6"/>
        <v>175.5</v>
      </c>
    </row>
    <row r="16" spans="1:30" s="187" customFormat="1" x14ac:dyDescent="0.3">
      <c r="A16" s="128">
        <v>2350</v>
      </c>
      <c r="B16" s="128">
        <v>60663</v>
      </c>
      <c r="C16" s="128"/>
      <c r="D16" s="188" t="s">
        <v>811</v>
      </c>
      <c r="E16" s="188" t="s">
        <v>170</v>
      </c>
      <c r="F16" s="188">
        <v>1796260663</v>
      </c>
      <c r="G16" s="189">
        <v>42833</v>
      </c>
      <c r="H16" s="189">
        <v>42839</v>
      </c>
      <c r="I16" s="188">
        <v>6</v>
      </c>
      <c r="J16" s="190"/>
      <c r="K16" s="319">
        <v>1000</v>
      </c>
      <c r="L16" s="190"/>
      <c r="M16" s="190">
        <v>195</v>
      </c>
      <c r="N16" s="190"/>
      <c r="O16" s="190"/>
      <c r="P16" s="190"/>
      <c r="Q16" s="190"/>
      <c r="R16" s="192">
        <f t="shared" si="1"/>
        <v>1195</v>
      </c>
      <c r="S16" s="192">
        <f t="shared" si="2"/>
        <v>0</v>
      </c>
      <c r="T16" s="190">
        <f>IF(I16=0,(R16+S16/EERR!$D$2/1.19),(R16+S16/EERR!$D$2/1.19)/I16)</f>
        <v>199.16666666666666</v>
      </c>
      <c r="U16" s="192">
        <f>S16+R16*EERR!$D$2</f>
        <v>783609.3</v>
      </c>
      <c r="V16" s="187">
        <f>VLOOKUP(F16,Booking!$B$2:$R$100,16,FALSE)</f>
        <v>6</v>
      </c>
      <c r="W16" s="196">
        <f>SUMIF(Transbank!$A$2:$A$449,B16,Transbank!$L$2:$L$449)+SUMIF(Transbank!$A$2:$A$449,C16,Transbank!$L$2:$L$449)+(J16+N16)+(K16+O16)*EERR!$D$2</f>
        <v>783609.3</v>
      </c>
      <c r="X16" s="196">
        <f>W16/EERR!$D$2</f>
        <v>1195</v>
      </c>
      <c r="Y16" s="196">
        <f t="shared" si="3"/>
        <v>0</v>
      </c>
      <c r="Z16" s="196">
        <f t="shared" si="4"/>
        <v>0</v>
      </c>
      <c r="AA16" s="196">
        <f t="shared" si="5"/>
        <v>0</v>
      </c>
      <c r="AB16" s="187">
        <f>IFERROR(VLOOKUP(A16,#REF!,8,FALSE),0)</f>
        <v>0</v>
      </c>
      <c r="AC16" s="45">
        <f t="shared" si="6"/>
        <v>1195</v>
      </c>
    </row>
    <row r="17" spans="1:29" s="187" customFormat="1" x14ac:dyDescent="0.3">
      <c r="A17" s="128">
        <v>2344</v>
      </c>
      <c r="B17" s="128">
        <v>22059</v>
      </c>
      <c r="C17" s="128"/>
      <c r="D17" s="188" t="s">
        <v>812</v>
      </c>
      <c r="E17" s="188" t="s">
        <v>170</v>
      </c>
      <c r="F17" s="188">
        <v>1027022059</v>
      </c>
      <c r="G17" s="189">
        <v>42833</v>
      </c>
      <c r="H17" s="189">
        <v>42838</v>
      </c>
      <c r="I17" s="188">
        <v>5</v>
      </c>
      <c r="J17" s="190"/>
      <c r="K17" s="191"/>
      <c r="L17" s="190"/>
      <c r="M17" s="190">
        <v>975</v>
      </c>
      <c r="N17" s="190"/>
      <c r="O17" s="190"/>
      <c r="P17" s="190"/>
      <c r="Q17" s="190"/>
      <c r="R17" s="192">
        <f t="shared" si="1"/>
        <v>975</v>
      </c>
      <c r="S17" s="192">
        <f t="shared" si="2"/>
        <v>0</v>
      </c>
      <c r="T17" s="190">
        <f>IF(I17=0,(R17+S17/EERR!$D$2/1.19),(R17+S17/EERR!$D$2/1.19)/I17)</f>
        <v>195</v>
      </c>
      <c r="U17" s="192">
        <f>S17+R17*EERR!$D$2</f>
        <v>639346.5</v>
      </c>
      <c r="V17" s="187">
        <f>VLOOKUP(F17,Booking!$B$2:$R$100,16,FALSE)</f>
        <v>5</v>
      </c>
      <c r="W17" s="196">
        <f>SUMIF(Transbank!$A$2:$A$449,B17,Transbank!$L$2:$L$449)+SUMIF(Transbank!$A$2:$A$449,C17,Transbank!$L$2:$L$449)+(J17+N17)+(K17+O17)*EERR!$D$2</f>
        <v>639346.5</v>
      </c>
      <c r="X17" s="196">
        <f>W17/EERR!$D$2</f>
        <v>975</v>
      </c>
      <c r="Y17" s="196">
        <f t="shared" si="3"/>
        <v>0</v>
      </c>
      <c r="Z17" s="196">
        <f t="shared" si="4"/>
        <v>0</v>
      </c>
      <c r="AA17" s="196">
        <f t="shared" si="5"/>
        <v>0</v>
      </c>
      <c r="AB17" s="187">
        <f>IFERROR(VLOOKUP(A17,#REF!,8,FALSE),0)</f>
        <v>0</v>
      </c>
      <c r="AC17" s="45">
        <f t="shared" si="6"/>
        <v>975</v>
      </c>
    </row>
    <row r="18" spans="1:29" s="187" customFormat="1" x14ac:dyDescent="0.3">
      <c r="A18" s="128">
        <v>2343</v>
      </c>
      <c r="B18" s="128">
        <v>10730</v>
      </c>
      <c r="C18" s="128"/>
      <c r="D18" s="188" t="s">
        <v>810</v>
      </c>
      <c r="E18" s="188" t="s">
        <v>170</v>
      </c>
      <c r="F18" s="188">
        <v>1253710730</v>
      </c>
      <c r="G18" s="189">
        <v>42834</v>
      </c>
      <c r="H18" s="189">
        <v>42835</v>
      </c>
      <c r="I18" s="188">
        <v>1</v>
      </c>
      <c r="J18" s="190"/>
      <c r="K18" s="191"/>
      <c r="L18" s="190"/>
      <c r="M18" s="190">
        <v>175.5</v>
      </c>
      <c r="N18" s="190"/>
      <c r="O18" s="190"/>
      <c r="P18" s="190"/>
      <c r="Q18" s="190"/>
      <c r="R18" s="192">
        <f t="shared" si="1"/>
        <v>175.5</v>
      </c>
      <c r="S18" s="192">
        <f t="shared" si="2"/>
        <v>0</v>
      </c>
      <c r="T18" s="190">
        <f>IF(I18=0,(R18+S18/EERR!$D$2/1.19),(R18+S18/EERR!$D$2/1.19)/I18)</f>
        <v>175.5</v>
      </c>
      <c r="U18" s="192">
        <f>S18+R18*EERR!$D$2</f>
        <v>115082.37</v>
      </c>
      <c r="V18" s="187">
        <f>VLOOKUP(F18,Booking!$B$2:$R$100,16,FALSE)</f>
        <v>1</v>
      </c>
      <c r="W18" s="196">
        <f>SUMIF(Transbank!$A$2:$A$449,B18,Transbank!$L$2:$L$449)+SUMIF(Transbank!$A$2:$A$449,C18,Transbank!$L$2:$L$449)+(J18+N18)+(K18+O18)*EERR!$D$2</f>
        <v>115410.24000000001</v>
      </c>
      <c r="X18" s="196">
        <f>W18/EERR!$D$2</f>
        <v>176</v>
      </c>
      <c r="Y18" s="196">
        <f t="shared" si="3"/>
        <v>327.8700000000099</v>
      </c>
      <c r="Z18" s="196">
        <f t="shared" si="4"/>
        <v>0</v>
      </c>
      <c r="AA18" s="196">
        <f t="shared" si="5"/>
        <v>0</v>
      </c>
      <c r="AB18" s="187">
        <f>IFERROR(VLOOKUP(A18,#REF!,8,FALSE),0)</f>
        <v>0</v>
      </c>
      <c r="AC18" s="45">
        <f t="shared" si="6"/>
        <v>175.5</v>
      </c>
    </row>
    <row r="19" spans="1:29" s="187" customFormat="1" x14ac:dyDescent="0.3">
      <c r="A19" s="128">
        <v>2349</v>
      </c>
      <c r="B19" s="128">
        <v>66938</v>
      </c>
      <c r="C19" s="128"/>
      <c r="D19" s="188" t="s">
        <v>813</v>
      </c>
      <c r="E19" s="188" t="s">
        <v>170</v>
      </c>
      <c r="F19" s="188">
        <v>1696766938</v>
      </c>
      <c r="G19" s="189">
        <v>42834</v>
      </c>
      <c r="H19" s="189">
        <v>42836</v>
      </c>
      <c r="I19" s="188">
        <v>2</v>
      </c>
      <c r="J19" s="190"/>
      <c r="K19" s="191"/>
      <c r="L19" s="190"/>
      <c r="M19" s="190">
        <v>390</v>
      </c>
      <c r="N19" s="190"/>
      <c r="O19" s="190"/>
      <c r="P19" s="190"/>
      <c r="Q19" s="190"/>
      <c r="R19" s="192">
        <f t="shared" si="1"/>
        <v>390</v>
      </c>
      <c r="S19" s="192">
        <f t="shared" si="2"/>
        <v>0</v>
      </c>
      <c r="T19" s="190">
        <f>IF(I19=0,(R19+S19/EERR!$D$2/1.19),(R19+S19/EERR!$D$2/1.19)/I19)</f>
        <v>195</v>
      </c>
      <c r="U19" s="192">
        <f>S19+R19*EERR!$D$2</f>
        <v>255738.6</v>
      </c>
      <c r="V19" s="187">
        <f>VLOOKUP(F19,Booking!$B$2:$R$100,16,FALSE)</f>
        <v>2</v>
      </c>
      <c r="W19" s="196">
        <f>SUMIF(Transbank!$A$2:$A$449,B19,Transbank!$L$2:$L$449)+SUMIF(Transbank!$A$2:$A$449,C19,Transbank!$L$2:$L$449)+(J19+N19)+(K19+O19)*EERR!$D$2</f>
        <v>255738.6</v>
      </c>
      <c r="X19" s="196">
        <f>W19/EERR!$D$2</f>
        <v>390</v>
      </c>
      <c r="Y19" s="196">
        <f t="shared" si="3"/>
        <v>0</v>
      </c>
      <c r="Z19" s="196">
        <f t="shared" si="4"/>
        <v>0</v>
      </c>
      <c r="AA19" s="196">
        <f t="shared" si="5"/>
        <v>0</v>
      </c>
      <c r="AB19" s="187">
        <f>IFERROR(VLOOKUP(A19,#REF!,8,FALSE),0)</f>
        <v>0</v>
      </c>
      <c r="AC19" s="45">
        <f t="shared" si="6"/>
        <v>390</v>
      </c>
    </row>
    <row r="20" spans="1:29" s="187" customFormat="1" x14ac:dyDescent="0.3">
      <c r="A20" s="128">
        <v>2348</v>
      </c>
      <c r="B20" s="128">
        <v>56680</v>
      </c>
      <c r="C20" s="128"/>
      <c r="D20" s="188" t="s">
        <v>814</v>
      </c>
      <c r="E20" s="188" t="s">
        <v>170</v>
      </c>
      <c r="F20" s="188">
        <v>1397356680</v>
      </c>
      <c r="G20" s="189">
        <v>42834</v>
      </c>
      <c r="H20" s="189">
        <v>42837</v>
      </c>
      <c r="I20" s="188">
        <v>3</v>
      </c>
      <c r="J20" s="190"/>
      <c r="K20" s="319">
        <v>250</v>
      </c>
      <c r="L20" s="190"/>
      <c r="M20" s="190">
        <v>335</v>
      </c>
      <c r="N20" s="190"/>
      <c r="O20" s="190"/>
      <c r="P20" s="190"/>
      <c r="Q20" s="190"/>
      <c r="R20" s="192">
        <f t="shared" si="1"/>
        <v>585</v>
      </c>
      <c r="S20" s="192">
        <f t="shared" si="2"/>
        <v>0</v>
      </c>
      <c r="T20" s="190">
        <f>IF(I20=0,(R20+S20/EERR!$D$2/1.19),(R20+S20/EERR!$D$2/1.19)/I20)</f>
        <v>195</v>
      </c>
      <c r="U20" s="192">
        <f>S20+R20*EERR!$D$2</f>
        <v>383607.9</v>
      </c>
      <c r="V20" s="187">
        <f>VLOOKUP(F20,Booking!$B$2:$R$100,16,FALSE)</f>
        <v>3</v>
      </c>
      <c r="W20" s="196">
        <f>SUMIF(Transbank!$A$2:$A$449,B20,Transbank!$L$2:$L$449)+SUMIF(Transbank!$A$2:$A$449,C20,Transbank!$L$2:$L$449)+(J20+N20)+(K20+O20)*EERR!$D$2</f>
        <v>383607.9</v>
      </c>
      <c r="X20" s="196">
        <f>W20/EERR!$D$2</f>
        <v>585</v>
      </c>
      <c r="Y20" s="196">
        <f t="shared" si="3"/>
        <v>0</v>
      </c>
      <c r="Z20" s="196">
        <f t="shared" si="4"/>
        <v>0</v>
      </c>
      <c r="AA20" s="196">
        <f t="shared" si="5"/>
        <v>0</v>
      </c>
      <c r="AB20" s="187">
        <f>IFERROR(VLOOKUP(A20,#REF!,8,FALSE),0)</f>
        <v>0</v>
      </c>
      <c r="AC20" s="45">
        <f t="shared" si="6"/>
        <v>585</v>
      </c>
    </row>
    <row r="21" spans="1:29" s="187" customFormat="1" x14ac:dyDescent="0.3">
      <c r="A21" s="128">
        <v>2346</v>
      </c>
      <c r="B21" s="128">
        <v>91281</v>
      </c>
      <c r="C21" s="128"/>
      <c r="D21" s="188" t="s">
        <v>815</v>
      </c>
      <c r="E21" s="188" t="s">
        <v>170</v>
      </c>
      <c r="F21" s="188">
        <v>1071191281</v>
      </c>
      <c r="G21" s="189">
        <v>42834</v>
      </c>
      <c r="H21" s="189">
        <v>42838</v>
      </c>
      <c r="I21" s="188">
        <v>4</v>
      </c>
      <c r="J21" s="190"/>
      <c r="K21" s="191"/>
      <c r="L21" s="190"/>
      <c r="M21" s="190">
        <v>780</v>
      </c>
      <c r="N21" s="190"/>
      <c r="O21" s="190"/>
      <c r="P21" s="190"/>
      <c r="Q21" s="190"/>
      <c r="R21" s="192">
        <f t="shared" si="1"/>
        <v>780</v>
      </c>
      <c r="S21" s="192">
        <f t="shared" si="2"/>
        <v>0</v>
      </c>
      <c r="T21" s="190">
        <f>IF(I21=0,(R21+S21/EERR!$D$2/1.19),(R21+S21/EERR!$D$2/1.19)/I21)</f>
        <v>195</v>
      </c>
      <c r="U21" s="192">
        <f>S21+R21*EERR!$D$2</f>
        <v>511477.2</v>
      </c>
      <c r="V21" s="187">
        <f>VLOOKUP(F21,Booking!$B$2:$R$100,16,FALSE)</f>
        <v>4</v>
      </c>
      <c r="W21" s="196">
        <f>SUMIF(Transbank!$A$2:$A$449,B21,Transbank!$L$2:$L$449)+SUMIF(Transbank!$A$2:$A$449,C21,Transbank!$L$2:$L$449)+(J21+N21)+(K21+O21)*EERR!$D$2</f>
        <v>511477.2</v>
      </c>
      <c r="X21" s="196">
        <f>W21/EERR!$D$2</f>
        <v>780</v>
      </c>
      <c r="Y21" s="196">
        <f t="shared" si="3"/>
        <v>0</v>
      </c>
      <c r="Z21" s="196">
        <f t="shared" si="4"/>
        <v>0</v>
      </c>
      <c r="AA21" s="196">
        <f t="shared" si="5"/>
        <v>0</v>
      </c>
      <c r="AB21" s="187">
        <f>IFERROR(VLOOKUP(A21,#REF!,8,FALSE),0)</f>
        <v>0</v>
      </c>
      <c r="AC21" s="45">
        <f t="shared" si="6"/>
        <v>780</v>
      </c>
    </row>
    <row r="22" spans="1:29" s="187" customFormat="1" x14ac:dyDescent="0.3">
      <c r="A22" s="128">
        <v>2353</v>
      </c>
      <c r="B22" s="128">
        <v>38789</v>
      </c>
      <c r="C22" s="128"/>
      <c r="D22" s="188" t="s">
        <v>816</v>
      </c>
      <c r="E22" s="188" t="s">
        <v>170</v>
      </c>
      <c r="F22" s="188">
        <v>1998038789</v>
      </c>
      <c r="G22" s="189">
        <v>42835</v>
      </c>
      <c r="H22" s="189">
        <v>42839</v>
      </c>
      <c r="I22" s="188">
        <v>4</v>
      </c>
      <c r="J22" s="190"/>
      <c r="K22" s="191"/>
      <c r="L22" s="190"/>
      <c r="M22" s="190">
        <v>805</v>
      </c>
      <c r="N22" s="190"/>
      <c r="O22" s="190"/>
      <c r="P22" s="190"/>
      <c r="Q22" s="190"/>
      <c r="R22" s="192">
        <f t="shared" si="1"/>
        <v>805</v>
      </c>
      <c r="S22" s="192">
        <f t="shared" si="2"/>
        <v>0</v>
      </c>
      <c r="T22" s="190">
        <f>IF(I22=0,(R22+S22/EERR!$D$2/1.19),(R22+S22/EERR!$D$2/1.19)/I22)</f>
        <v>201.25</v>
      </c>
      <c r="U22" s="192">
        <f>S22+R22*EERR!$D$2</f>
        <v>527870.69999999995</v>
      </c>
      <c r="V22" s="187">
        <f>VLOOKUP(F22,Booking!$B$2:$R$100,16,FALSE)</f>
        <v>4</v>
      </c>
      <c r="W22" s="196">
        <f>SUMIF(Transbank!$A$2:$A$449,B22,Transbank!$L$2:$L$449)+SUMIF(Transbank!$A$2:$A$449,C22,Transbank!$L$2:$L$449)+(J22+N22)+(K22+O22)*EERR!$D$2</f>
        <v>527870.70000000007</v>
      </c>
      <c r="X22" s="196">
        <f>W22/EERR!$D$2</f>
        <v>805.00000000000011</v>
      </c>
      <c r="Y22" s="196">
        <f t="shared" si="3"/>
        <v>0</v>
      </c>
      <c r="Z22" s="196">
        <f t="shared" si="4"/>
        <v>0</v>
      </c>
      <c r="AA22" s="196">
        <f t="shared" si="5"/>
        <v>0</v>
      </c>
      <c r="AB22" s="187">
        <f>IFERROR(VLOOKUP(A22,#REF!,8,FALSE),0)</f>
        <v>0</v>
      </c>
      <c r="AC22" s="45">
        <f t="shared" si="6"/>
        <v>805</v>
      </c>
    </row>
    <row r="23" spans="1:29" s="187" customFormat="1" x14ac:dyDescent="0.3">
      <c r="A23" s="128">
        <v>2352</v>
      </c>
      <c r="B23" s="128">
        <v>61045</v>
      </c>
      <c r="C23" s="128"/>
      <c r="D23" s="188" t="s">
        <v>817</v>
      </c>
      <c r="E23" s="188" t="s">
        <v>170</v>
      </c>
      <c r="F23" s="188">
        <v>2025461045</v>
      </c>
      <c r="G23" s="189">
        <v>42835</v>
      </c>
      <c r="H23" s="189">
        <v>42837</v>
      </c>
      <c r="I23" s="188">
        <v>2</v>
      </c>
      <c r="J23" s="190"/>
      <c r="K23" s="319">
        <v>195</v>
      </c>
      <c r="L23" s="190"/>
      <c r="M23" s="190">
        <v>195</v>
      </c>
      <c r="N23" s="190"/>
      <c r="O23" s="190"/>
      <c r="P23" s="190"/>
      <c r="Q23" s="190"/>
      <c r="R23" s="192">
        <f t="shared" si="1"/>
        <v>390</v>
      </c>
      <c r="S23" s="192">
        <f t="shared" si="2"/>
        <v>0</v>
      </c>
      <c r="T23" s="190">
        <f>IF(I23=0,(R23+S23/EERR!$D$2/1.19),(R23+S23/EERR!$D$2/1.19)/I23)</f>
        <v>195</v>
      </c>
      <c r="U23" s="192">
        <f>S23+R23*EERR!$D$2</f>
        <v>255738.6</v>
      </c>
      <c r="V23" s="187">
        <f>VLOOKUP(F23,Booking!$B$2:$R$100,16,FALSE)</f>
        <v>2</v>
      </c>
      <c r="W23" s="196">
        <f>SUMIF(Transbank!$A$2:$A$449,B23,Transbank!$L$2:$L$449)+SUMIF(Transbank!$A$2:$A$449,C23,Transbank!$L$2:$L$449)+(J23+N23)+(K23+O23)*EERR!$D$2</f>
        <v>255738.6</v>
      </c>
      <c r="X23" s="196">
        <f>W23/EERR!$D$2</f>
        <v>390</v>
      </c>
      <c r="Y23" s="196">
        <f t="shared" si="3"/>
        <v>0</v>
      </c>
      <c r="Z23" s="196">
        <f t="shared" si="4"/>
        <v>0</v>
      </c>
      <c r="AA23" s="196">
        <f t="shared" si="5"/>
        <v>0</v>
      </c>
      <c r="AB23" s="187">
        <f>IFERROR(VLOOKUP(A23,#REF!,8,FALSE),0)</f>
        <v>0</v>
      </c>
      <c r="AC23" s="45">
        <f t="shared" si="6"/>
        <v>390</v>
      </c>
    </row>
    <row r="24" spans="1:29" s="187" customFormat="1" x14ac:dyDescent="0.3">
      <c r="A24" s="128">
        <v>2351</v>
      </c>
      <c r="B24" s="128">
        <v>78827</v>
      </c>
      <c r="C24" s="128"/>
      <c r="D24" s="188" t="s">
        <v>818</v>
      </c>
      <c r="E24" s="188" t="s">
        <v>170</v>
      </c>
      <c r="F24" s="188">
        <v>1183478827</v>
      </c>
      <c r="G24" s="189">
        <v>42835</v>
      </c>
      <c r="H24" s="189">
        <v>42836</v>
      </c>
      <c r="I24" s="188">
        <v>1</v>
      </c>
      <c r="J24" s="190"/>
      <c r="K24" s="191"/>
      <c r="L24" s="190"/>
      <c r="M24" s="190">
        <v>195</v>
      </c>
      <c r="N24" s="190"/>
      <c r="O24" s="190"/>
      <c r="P24" s="190"/>
      <c r="Q24" s="190"/>
      <c r="R24" s="192">
        <f t="shared" si="1"/>
        <v>195</v>
      </c>
      <c r="S24" s="192">
        <f t="shared" si="2"/>
        <v>0</v>
      </c>
      <c r="T24" s="190">
        <f>IF(I24=0,(R24+S24/EERR!$D$2/1.19),(R24+S24/EERR!$D$2/1.19)/I24)</f>
        <v>195</v>
      </c>
      <c r="U24" s="192">
        <f>S24+R24*EERR!$D$2</f>
        <v>127869.3</v>
      </c>
      <c r="V24" s="187">
        <f>VLOOKUP(F24,Booking!$B$2:$R$100,16,FALSE)</f>
        <v>1</v>
      </c>
      <c r="W24" s="196">
        <f>SUMIF(Transbank!$A$2:$A$449,B24,Transbank!$L$2:$L$449)+SUMIF(Transbank!$A$2:$A$449,C24,Transbank!$L$2:$L$449)+(J24+N24)+(K24+O24)*EERR!$D$2</f>
        <v>127869.3</v>
      </c>
      <c r="X24" s="196">
        <f>W24/EERR!$D$2</f>
        <v>195</v>
      </c>
      <c r="Y24" s="196">
        <f t="shared" si="3"/>
        <v>0</v>
      </c>
      <c r="Z24" s="196">
        <f t="shared" si="4"/>
        <v>0</v>
      </c>
      <c r="AA24" s="196">
        <f t="shared" si="5"/>
        <v>0</v>
      </c>
      <c r="AB24" s="187">
        <f>IFERROR(VLOOKUP(A24,#REF!,8,FALSE),0)</f>
        <v>0</v>
      </c>
      <c r="AC24" s="45">
        <f t="shared" si="6"/>
        <v>195</v>
      </c>
    </row>
    <row r="25" spans="1:29" s="187" customFormat="1" x14ac:dyDescent="0.3">
      <c r="A25" s="128">
        <v>2343</v>
      </c>
      <c r="B25" s="128">
        <v>98059</v>
      </c>
      <c r="C25" s="128"/>
      <c r="D25" s="188" t="s">
        <v>810</v>
      </c>
      <c r="E25" s="188" t="s">
        <v>170</v>
      </c>
      <c r="F25" s="188">
        <v>1101498059</v>
      </c>
      <c r="G25" s="189">
        <v>42836</v>
      </c>
      <c r="H25" s="189">
        <v>42837</v>
      </c>
      <c r="I25" s="188">
        <v>1</v>
      </c>
      <c r="J25" s="190"/>
      <c r="K25" s="191"/>
      <c r="L25" s="190"/>
      <c r="M25" s="190">
        <v>175.5</v>
      </c>
      <c r="N25" s="190"/>
      <c r="O25" s="190"/>
      <c r="P25" s="190"/>
      <c r="Q25" s="190"/>
      <c r="R25" s="192">
        <f t="shared" si="1"/>
        <v>175.5</v>
      </c>
      <c r="S25" s="192">
        <f t="shared" si="2"/>
        <v>0</v>
      </c>
      <c r="T25" s="190">
        <f>IF(I25=0,(R25+S25/EERR!$D$2/1.19),(R25+S25/EERR!$D$2/1.19)/I25)</f>
        <v>175.5</v>
      </c>
      <c r="U25" s="192">
        <f>S25+R25*EERR!$D$2</f>
        <v>115082.37</v>
      </c>
      <c r="V25" s="187">
        <f>VLOOKUP(F25,Booking!$B$2:$R$100,16,FALSE)</f>
        <v>1</v>
      </c>
      <c r="W25" s="196">
        <f>SUMIF(Transbank!$A$2:$A$449,B25,Transbank!$L$2:$L$449)+SUMIF(Transbank!$A$2:$A$449,C25,Transbank!$L$2:$L$449)+(J25+N25)+(K25+O25)*EERR!$D$2</f>
        <v>115410.24000000001</v>
      </c>
      <c r="X25" s="196">
        <f>W25/EERR!$D$2</f>
        <v>176</v>
      </c>
      <c r="Y25" s="196">
        <f t="shared" si="3"/>
        <v>327.8700000000099</v>
      </c>
      <c r="Z25" s="196">
        <f t="shared" si="4"/>
        <v>0</v>
      </c>
      <c r="AA25" s="196">
        <f t="shared" si="5"/>
        <v>0</v>
      </c>
      <c r="AB25" s="187">
        <f>IFERROR(VLOOKUP(A25,#REF!,8,FALSE),0)</f>
        <v>0</v>
      </c>
      <c r="AC25" s="45">
        <f t="shared" si="6"/>
        <v>175.5</v>
      </c>
    </row>
    <row r="26" spans="1:29" s="187" customFormat="1" x14ac:dyDescent="0.3">
      <c r="A26" s="128">
        <v>2343</v>
      </c>
      <c r="B26" s="128">
        <v>48091</v>
      </c>
      <c r="C26" s="128"/>
      <c r="D26" s="188" t="s">
        <v>810</v>
      </c>
      <c r="E26" s="188" t="s">
        <v>170</v>
      </c>
      <c r="F26" s="188">
        <v>1132048091</v>
      </c>
      <c r="G26" s="189">
        <v>42837</v>
      </c>
      <c r="H26" s="189">
        <v>42838</v>
      </c>
      <c r="I26" s="188">
        <v>1</v>
      </c>
      <c r="J26" s="190"/>
      <c r="K26" s="191"/>
      <c r="L26" s="190"/>
      <c r="M26" s="190">
        <v>175.5</v>
      </c>
      <c r="N26" s="190"/>
      <c r="O26" s="190"/>
      <c r="P26" s="190"/>
      <c r="Q26" s="190"/>
      <c r="R26" s="192">
        <f t="shared" si="1"/>
        <v>175.5</v>
      </c>
      <c r="S26" s="192">
        <f t="shared" si="2"/>
        <v>0</v>
      </c>
      <c r="T26" s="190">
        <f>IF(I26=0,(R26+S26/EERR!$D$2/1.19),(R26+S26/EERR!$D$2/1.19)/I26)</f>
        <v>175.5</v>
      </c>
      <c r="U26" s="192">
        <f>S26+R26*EERR!$D$2</f>
        <v>115082.37</v>
      </c>
      <c r="V26" s="187">
        <f>VLOOKUP(F26,Booking!$B$2:$R$100,16,FALSE)</f>
        <v>1</v>
      </c>
      <c r="W26" s="196">
        <f>SUMIF(Transbank!$A$2:$A$449,B26,Transbank!$L$2:$L$449)+SUMIF(Transbank!$A$2:$A$449,C26,Transbank!$L$2:$L$449)+(J26+N26)+(K26+O26)*EERR!$D$2</f>
        <v>115410.24000000001</v>
      </c>
      <c r="X26" s="196">
        <f>W26/EERR!$D$2</f>
        <v>176</v>
      </c>
      <c r="Y26" s="196">
        <f t="shared" si="3"/>
        <v>327.8700000000099</v>
      </c>
      <c r="Z26" s="196">
        <f t="shared" si="4"/>
        <v>0</v>
      </c>
      <c r="AA26" s="196">
        <f t="shared" si="5"/>
        <v>0</v>
      </c>
      <c r="AB26" s="187">
        <f>IFERROR(VLOOKUP(A26,#REF!,8,FALSE),0)</f>
        <v>0</v>
      </c>
      <c r="AC26" s="45">
        <f t="shared" si="6"/>
        <v>175.5</v>
      </c>
    </row>
    <row r="27" spans="1:29" s="187" customFormat="1" x14ac:dyDescent="0.3">
      <c r="A27" s="128">
        <v>2356</v>
      </c>
      <c r="B27" s="128">
        <v>88919</v>
      </c>
      <c r="C27" s="128"/>
      <c r="D27" s="188" t="s">
        <v>819</v>
      </c>
      <c r="E27" s="188" t="s">
        <v>170</v>
      </c>
      <c r="F27" s="188">
        <v>1936588919</v>
      </c>
      <c r="G27" s="189">
        <v>42837</v>
      </c>
      <c r="H27" s="189">
        <v>42840</v>
      </c>
      <c r="I27" s="188">
        <v>3</v>
      </c>
      <c r="J27" s="190"/>
      <c r="K27" s="191"/>
      <c r="L27" s="190"/>
      <c r="M27" s="190">
        <v>635</v>
      </c>
      <c r="N27" s="190"/>
      <c r="O27" s="190"/>
      <c r="P27" s="190"/>
      <c r="Q27" s="190"/>
      <c r="R27" s="192">
        <f t="shared" si="1"/>
        <v>635</v>
      </c>
      <c r="S27" s="192">
        <f t="shared" si="2"/>
        <v>0</v>
      </c>
      <c r="T27" s="190">
        <f>IF(I27=0,(R27+S27/EERR!$D$2/1.19),(R27+S27/EERR!$D$2/1.19)/I27)</f>
        <v>211.66666666666666</v>
      </c>
      <c r="U27" s="192">
        <f>S27+R27*EERR!$D$2</f>
        <v>416394.9</v>
      </c>
      <c r="V27" s="187">
        <f>VLOOKUP(F27,Booking!$B$2:$R$100,16,FALSE)</f>
        <v>3</v>
      </c>
      <c r="W27" s="196">
        <f>SUMIF(Transbank!$A$2:$A$449,B27,Transbank!$L$2:$L$449)+SUMIF(Transbank!$A$2:$A$449,C27,Transbank!$L$2:$L$449)+(J27+N27)+(K27+O27)*EERR!$D$2</f>
        <v>416394.89999999997</v>
      </c>
      <c r="X27" s="196">
        <f>W27/EERR!$D$2</f>
        <v>634.99999999999989</v>
      </c>
      <c r="Y27" s="196">
        <f t="shared" si="3"/>
        <v>0</v>
      </c>
      <c r="Z27" s="196">
        <f t="shared" si="4"/>
        <v>0</v>
      </c>
      <c r="AA27" s="196">
        <f t="shared" si="5"/>
        <v>0</v>
      </c>
      <c r="AB27" s="187">
        <f>IFERROR(VLOOKUP(A27,#REF!,8,FALSE),0)</f>
        <v>0</v>
      </c>
      <c r="AC27" s="45">
        <f t="shared" si="6"/>
        <v>635</v>
      </c>
    </row>
    <row r="28" spans="1:29" s="187" customFormat="1" x14ac:dyDescent="0.3">
      <c r="A28" s="128">
        <v>2355</v>
      </c>
      <c r="B28" s="128">
        <v>8656</v>
      </c>
      <c r="C28" s="128"/>
      <c r="D28" s="188" t="s">
        <v>820</v>
      </c>
      <c r="E28" s="188" t="s">
        <v>170</v>
      </c>
      <c r="F28" s="188">
        <v>1955808656</v>
      </c>
      <c r="G28" s="189">
        <v>42837</v>
      </c>
      <c r="H28" s="189">
        <v>42840</v>
      </c>
      <c r="I28" s="188">
        <v>3</v>
      </c>
      <c r="J28" s="190"/>
      <c r="K28" s="191"/>
      <c r="L28" s="190"/>
      <c r="M28" s="190">
        <v>635</v>
      </c>
      <c r="N28" s="190"/>
      <c r="O28" s="190"/>
      <c r="P28" s="190"/>
      <c r="Q28" s="190"/>
      <c r="R28" s="192">
        <f t="shared" si="1"/>
        <v>635</v>
      </c>
      <c r="S28" s="192">
        <f t="shared" si="2"/>
        <v>0</v>
      </c>
      <c r="T28" s="190">
        <f>IF(I28=0,(R28+S28/EERR!$D$2/1.19),(R28+S28/EERR!$D$2/1.19)/I28)</f>
        <v>211.66666666666666</v>
      </c>
      <c r="U28" s="192">
        <f>S28+R28*EERR!$D$2</f>
        <v>416394.9</v>
      </c>
      <c r="V28" s="187">
        <f>VLOOKUP(F28,Booking!$B$2:$R$100,16,FALSE)</f>
        <v>3</v>
      </c>
      <c r="W28" s="196">
        <f>SUMIF(Transbank!$A$2:$A$449,B28,Transbank!$L$2:$L$449)+SUMIF(Transbank!$A$2:$A$449,C28,Transbank!$L$2:$L$449)+(J28+N28)+(K28+O28)*EERR!$D$2</f>
        <v>432788.39999999997</v>
      </c>
      <c r="X28" s="196">
        <f>W28/EERR!$D$2</f>
        <v>659.99999999999989</v>
      </c>
      <c r="Y28" s="196">
        <f t="shared" si="3"/>
        <v>16393.499999999942</v>
      </c>
      <c r="Z28" s="196">
        <f t="shared" si="4"/>
        <v>0</v>
      </c>
      <c r="AA28" s="196">
        <f t="shared" si="5"/>
        <v>0</v>
      </c>
      <c r="AB28" s="187">
        <f>IFERROR(VLOOKUP(A28,#REF!,8,FALSE),0)</f>
        <v>0</v>
      </c>
      <c r="AC28" s="45">
        <f t="shared" si="6"/>
        <v>635</v>
      </c>
    </row>
    <row r="29" spans="1:29" s="187" customFormat="1" x14ac:dyDescent="0.3">
      <c r="A29" s="128"/>
      <c r="B29" s="128">
        <v>1271</v>
      </c>
      <c r="C29" s="128"/>
      <c r="D29" s="188" t="s">
        <v>821</v>
      </c>
      <c r="E29" s="188" t="s">
        <v>170</v>
      </c>
      <c r="F29" s="188">
        <v>1612601271</v>
      </c>
      <c r="G29" s="189">
        <v>42838</v>
      </c>
      <c r="H29" s="189">
        <v>42842</v>
      </c>
      <c r="I29" s="188">
        <v>4</v>
      </c>
      <c r="J29" s="190"/>
      <c r="K29" s="191"/>
      <c r="L29" s="190">
        <v>667245</v>
      </c>
      <c r="M29" s="190"/>
      <c r="N29" s="190"/>
      <c r="O29" s="190"/>
      <c r="P29" s="190"/>
      <c r="Q29" s="190"/>
      <c r="R29" s="192">
        <f t="shared" si="1"/>
        <v>0</v>
      </c>
      <c r="S29" s="192">
        <f t="shared" si="2"/>
        <v>667245</v>
      </c>
      <c r="T29" s="190">
        <f>IF(I29=0,(R29+S29/EERR!$D$2/1.19),(R29+S29/EERR!$D$2/1.19)/I29)</f>
        <v>213.76997134291543</v>
      </c>
      <c r="U29" s="192">
        <f>S29+R29*EERR!$D$2</f>
        <v>667245</v>
      </c>
      <c r="V29" s="187">
        <f>VLOOKUP(F29,Booking!$B$2:$R$100,16,FALSE)</f>
        <v>4</v>
      </c>
      <c r="W29" s="196">
        <f>SUMIF(Transbank!$A$2:$A$449,B29,Transbank!$L$2:$L$449)+SUMIF(Transbank!$A$2:$A$449,C29,Transbank!$L$2:$L$449)+(J29+N29)+(K29+O29)*EERR!$D$2</f>
        <v>672245</v>
      </c>
      <c r="X29" s="196">
        <f>W29/EERR!$D$2</f>
        <v>1025.1700369048708</v>
      </c>
      <c r="Y29" s="196">
        <f t="shared" si="3"/>
        <v>5000</v>
      </c>
      <c r="Z29" s="196">
        <f t="shared" si="4"/>
        <v>560710.08403361344</v>
      </c>
      <c r="AA29" s="196">
        <f t="shared" si="5"/>
        <v>0</v>
      </c>
      <c r="AB29" s="187">
        <f>IFERROR(VLOOKUP(A29,#REF!,8,FALSE),0)</f>
        <v>0</v>
      </c>
      <c r="AC29" s="45">
        <f t="shared" si="6"/>
        <v>0</v>
      </c>
    </row>
    <row r="30" spans="1:29" s="187" customFormat="1" x14ac:dyDescent="0.3">
      <c r="A30" s="128"/>
      <c r="B30" s="128">
        <v>88740</v>
      </c>
      <c r="C30" s="128"/>
      <c r="D30" s="188" t="s">
        <v>822</v>
      </c>
      <c r="E30" s="188" t="s">
        <v>170</v>
      </c>
      <c r="F30" s="188">
        <v>2087988740</v>
      </c>
      <c r="G30" s="189">
        <v>42838</v>
      </c>
      <c r="H30" s="189">
        <v>42841</v>
      </c>
      <c r="I30" s="188">
        <v>3</v>
      </c>
      <c r="J30" s="190"/>
      <c r="K30" s="191"/>
      <c r="L30" s="190">
        <v>520719</v>
      </c>
      <c r="M30" s="190"/>
      <c r="N30" s="190"/>
      <c r="O30" s="190"/>
      <c r="P30" s="190"/>
      <c r="Q30" s="190"/>
      <c r="R30" s="192">
        <f t="shared" si="1"/>
        <v>0</v>
      </c>
      <c r="S30" s="192">
        <f t="shared" si="2"/>
        <v>520719</v>
      </c>
      <c r="T30" s="190">
        <f>IF(I30=0,(R30+S30/EERR!$D$2/1.19),(R30+S30/EERR!$D$2/1.19)/I30)</f>
        <v>222.43520887172693</v>
      </c>
      <c r="U30" s="192">
        <f>S30+R30*EERR!$D$2</f>
        <v>520719</v>
      </c>
      <c r="V30" s="187">
        <f>VLOOKUP(F30,Booking!$B$2:$R$100,16,FALSE)</f>
        <v>3</v>
      </c>
      <c r="W30" s="196">
        <f>SUMIF(Transbank!$A$2:$A$449,B30,Transbank!$L$2:$L$449)+SUMIF(Transbank!$A$2:$A$449,C30,Transbank!$L$2:$L$449)+(J30+N30)+(K30+O30)*EERR!$D$2</f>
        <v>520719</v>
      </c>
      <c r="X30" s="196">
        <f>W30/EERR!$D$2</f>
        <v>794.09369567206511</v>
      </c>
      <c r="Y30" s="196">
        <f t="shared" si="3"/>
        <v>0</v>
      </c>
      <c r="Z30" s="196">
        <f t="shared" si="4"/>
        <v>437578.99159663869</v>
      </c>
      <c r="AA30" s="196">
        <f t="shared" si="5"/>
        <v>0</v>
      </c>
      <c r="AB30" s="187">
        <f>IFERROR(VLOOKUP(A30,#REF!,8,FALSE),0)</f>
        <v>0</v>
      </c>
      <c r="AC30" s="45">
        <f t="shared" si="6"/>
        <v>0</v>
      </c>
    </row>
    <row r="31" spans="1:29" s="187" customFormat="1" x14ac:dyDescent="0.3">
      <c r="A31" s="128"/>
      <c r="B31" s="128">
        <v>98311</v>
      </c>
      <c r="C31" s="128"/>
      <c r="D31" s="188" t="s">
        <v>823</v>
      </c>
      <c r="E31" s="188" t="s">
        <v>170</v>
      </c>
      <c r="F31" s="188">
        <v>1866598311</v>
      </c>
      <c r="G31" s="189">
        <v>42839</v>
      </c>
      <c r="H31" s="189">
        <v>42841</v>
      </c>
      <c r="I31" s="188">
        <v>2</v>
      </c>
      <c r="J31" s="190"/>
      <c r="K31" s="191"/>
      <c r="L31" s="190">
        <v>344267</v>
      </c>
      <c r="M31" s="190"/>
      <c r="N31" s="190"/>
      <c r="O31" s="190"/>
      <c r="P31" s="190"/>
      <c r="Q31" s="190"/>
      <c r="R31" s="192">
        <f t="shared" si="1"/>
        <v>0</v>
      </c>
      <c r="S31" s="192">
        <f t="shared" si="2"/>
        <v>344267</v>
      </c>
      <c r="T31" s="190">
        <f>IF(I31=0,(R31+S31/EERR!$D$2/1.19),(R31+S31/EERR!$D$2/1.19)/I31)</f>
        <v>220.59047793332726</v>
      </c>
      <c r="U31" s="192">
        <f>S31+R31*EERR!$D$2</f>
        <v>344267</v>
      </c>
      <c r="V31" s="187">
        <f>VLOOKUP(F31,Booking!$B$2:$R$100,16,FALSE)</f>
        <v>2</v>
      </c>
      <c r="W31" s="196">
        <f>SUMIF(Transbank!$A$2:$A$449,B31,Transbank!$L$2:$L$449)+SUMIF(Transbank!$A$2:$A$449,C31,Transbank!$L$2:$L$449)+(J31+N31)+(K31+O31)*EERR!$D$2</f>
        <v>344267</v>
      </c>
      <c r="X31" s="196">
        <f>W31/EERR!$D$2</f>
        <v>525.00533748131886</v>
      </c>
      <c r="Y31" s="196">
        <f t="shared" si="3"/>
        <v>0</v>
      </c>
      <c r="Z31" s="196">
        <f t="shared" si="4"/>
        <v>289300</v>
      </c>
      <c r="AA31" s="196">
        <f t="shared" si="5"/>
        <v>0</v>
      </c>
      <c r="AB31" s="187">
        <f>IFERROR(VLOOKUP(A31,#REF!,8,FALSE),0)</f>
        <v>0</v>
      </c>
      <c r="AC31" s="45">
        <f t="shared" si="6"/>
        <v>0</v>
      </c>
    </row>
    <row r="32" spans="1:29" s="187" customFormat="1" x14ac:dyDescent="0.3">
      <c r="A32" s="128"/>
      <c r="B32" s="128">
        <v>99400</v>
      </c>
      <c r="C32" s="128"/>
      <c r="D32" s="188" t="s">
        <v>824</v>
      </c>
      <c r="E32" s="188" t="s">
        <v>170</v>
      </c>
      <c r="F32" s="188">
        <v>1317899400</v>
      </c>
      <c r="G32" s="189">
        <v>42839</v>
      </c>
      <c r="H32" s="189">
        <v>42841</v>
      </c>
      <c r="I32" s="188">
        <v>2</v>
      </c>
      <c r="J32" s="190"/>
      <c r="K32" s="191"/>
      <c r="L32" s="190">
        <v>310158</v>
      </c>
      <c r="M32" s="190"/>
      <c r="N32" s="190"/>
      <c r="O32" s="190"/>
      <c r="P32" s="190"/>
      <c r="Q32" s="190"/>
      <c r="R32" s="192">
        <f t="shared" si="1"/>
        <v>0</v>
      </c>
      <c r="S32" s="192">
        <f t="shared" si="2"/>
        <v>310158</v>
      </c>
      <c r="T32" s="190">
        <f>IF(I32=0,(R32+S32/EERR!$D$2/1.19),(R32+S32/EERR!$D$2/1.19)/I32)</f>
        <v>198.73499770481897</v>
      </c>
      <c r="U32" s="192">
        <f>S32+R32*EERR!$D$2</f>
        <v>310158</v>
      </c>
      <c r="V32" s="187">
        <f>VLOOKUP(F32,Booking!$B$2:$R$100,16,FALSE)</f>
        <v>2</v>
      </c>
      <c r="W32" s="196">
        <f>SUMIF(Transbank!$A$2:$A$449,B32,Transbank!$L$2:$L$449)+SUMIF(Transbank!$A$2:$A$449,C32,Transbank!$L$2:$L$449)+(J32+N32)+(K32+O32)*EERR!$D$2</f>
        <v>310158</v>
      </c>
      <c r="X32" s="196">
        <f>W32/EERR!$D$2</f>
        <v>472.98929453746911</v>
      </c>
      <c r="Y32" s="196">
        <f t="shared" si="3"/>
        <v>0</v>
      </c>
      <c r="Z32" s="196">
        <f t="shared" si="4"/>
        <v>260636.97478991598</v>
      </c>
      <c r="AA32" s="196">
        <f t="shared" si="5"/>
        <v>0</v>
      </c>
      <c r="AB32" s="187">
        <f>IFERROR(VLOOKUP(A32,#REF!,8,FALSE),0)</f>
        <v>0</v>
      </c>
      <c r="AC32" s="45">
        <f t="shared" si="6"/>
        <v>0</v>
      </c>
    </row>
    <row r="33" spans="1:29" s="187" customFormat="1" x14ac:dyDescent="0.3">
      <c r="A33" s="128">
        <v>2354</v>
      </c>
      <c r="B33" s="128">
        <v>38208</v>
      </c>
      <c r="C33" s="128"/>
      <c r="D33" s="188" t="s">
        <v>816</v>
      </c>
      <c r="E33" s="188" t="s">
        <v>170</v>
      </c>
      <c r="F33" s="188">
        <v>1364838208</v>
      </c>
      <c r="G33" s="189">
        <v>42839</v>
      </c>
      <c r="H33" s="189">
        <v>42840</v>
      </c>
      <c r="I33" s="188">
        <v>1</v>
      </c>
      <c r="J33" s="190"/>
      <c r="K33" s="191"/>
      <c r="L33" s="190"/>
      <c r="M33" s="190">
        <v>220</v>
      </c>
      <c r="N33" s="190"/>
      <c r="O33" s="190"/>
      <c r="P33" s="190"/>
      <c r="Q33" s="190"/>
      <c r="R33" s="192">
        <f t="shared" si="1"/>
        <v>220</v>
      </c>
      <c r="S33" s="192">
        <f t="shared" si="2"/>
        <v>0</v>
      </c>
      <c r="T33" s="190">
        <f>IF(I33=0,(R33+S33/EERR!$D$2/1.19),(R33+S33/EERR!$D$2/1.19)/I33)</f>
        <v>220</v>
      </c>
      <c r="U33" s="192">
        <f>S33+R33*EERR!$D$2</f>
        <v>144262.79999999999</v>
      </c>
      <c r="V33" s="187">
        <f>VLOOKUP(F33,Booking!$B$2:$R$100,16,FALSE)</f>
        <v>1</v>
      </c>
      <c r="W33" s="196">
        <f>SUMIF(Transbank!$A$2:$A$449,B33,Transbank!$L$2:$L$449)+SUMIF(Transbank!$A$2:$A$449,C33,Transbank!$L$2:$L$449)+(J33+N33)+(K33+O33)*EERR!$D$2</f>
        <v>144262.79999999999</v>
      </c>
      <c r="X33" s="196">
        <f>W33/EERR!$D$2</f>
        <v>219.99999999999997</v>
      </c>
      <c r="Y33" s="196">
        <f t="shared" si="3"/>
        <v>0</v>
      </c>
      <c r="Z33" s="196">
        <f t="shared" si="4"/>
        <v>0</v>
      </c>
      <c r="AA33" s="196">
        <f t="shared" si="5"/>
        <v>0</v>
      </c>
      <c r="AB33" s="187">
        <f>IFERROR(VLOOKUP(A33,#REF!,8,FALSE),0)</f>
        <v>0</v>
      </c>
      <c r="AC33" s="45">
        <f t="shared" si="6"/>
        <v>220</v>
      </c>
    </row>
    <row r="34" spans="1:29" s="187" customFormat="1" x14ac:dyDescent="0.3">
      <c r="A34" s="128">
        <v>2358</v>
      </c>
      <c r="B34" s="128">
        <v>29125</v>
      </c>
      <c r="C34" s="128"/>
      <c r="D34" s="188" t="s">
        <v>825</v>
      </c>
      <c r="E34" s="188" t="s">
        <v>170</v>
      </c>
      <c r="F34" s="188">
        <v>1632429125</v>
      </c>
      <c r="G34" s="189">
        <v>42840</v>
      </c>
      <c r="H34" s="189">
        <v>42845</v>
      </c>
      <c r="I34" s="188">
        <v>5</v>
      </c>
      <c r="J34" s="190"/>
      <c r="K34" s="191"/>
      <c r="L34" s="190"/>
      <c r="M34" s="190">
        <v>1000</v>
      </c>
      <c r="N34" s="190"/>
      <c r="O34" s="190"/>
      <c r="P34" s="190"/>
      <c r="Q34" s="190"/>
      <c r="R34" s="192">
        <f t="shared" si="1"/>
        <v>1000</v>
      </c>
      <c r="S34" s="192">
        <f t="shared" si="2"/>
        <v>0</v>
      </c>
      <c r="T34" s="190">
        <f>IF(I34=0,(R34+S34/EERR!$D$2/1.19),(R34+S34/EERR!$D$2/1.19)/I34)</f>
        <v>200</v>
      </c>
      <c r="U34" s="192">
        <f>S34+R34*EERR!$D$2</f>
        <v>655740</v>
      </c>
      <c r="V34" s="187">
        <f>VLOOKUP(F34,Booking!$B$2:$R$100,16,FALSE)</f>
        <v>5</v>
      </c>
      <c r="W34" s="196">
        <f>SUMIF(Transbank!$A$2:$A$449,B34,Transbank!$L$2:$L$449)+SUMIF(Transbank!$A$2:$A$449,C34,Transbank!$L$2:$L$449)+(J34+N34)+(K34+O34)*EERR!$D$2</f>
        <v>655740</v>
      </c>
      <c r="X34" s="196">
        <f>W34/EERR!$D$2</f>
        <v>1000</v>
      </c>
      <c r="Y34" s="196">
        <f t="shared" si="3"/>
        <v>0</v>
      </c>
      <c r="Z34" s="196">
        <f t="shared" si="4"/>
        <v>0</v>
      </c>
      <c r="AA34" s="196">
        <f t="shared" si="5"/>
        <v>0</v>
      </c>
      <c r="AB34" s="187">
        <f>IFERROR(VLOOKUP(A34,#REF!,8,FALSE),0)</f>
        <v>0</v>
      </c>
      <c r="AC34" s="45">
        <f t="shared" si="6"/>
        <v>1000</v>
      </c>
    </row>
    <row r="35" spans="1:29" s="187" customFormat="1" x14ac:dyDescent="0.3">
      <c r="A35" s="128">
        <v>2370</v>
      </c>
      <c r="B35" s="128">
        <v>189</v>
      </c>
      <c r="C35" s="128"/>
      <c r="D35" s="188" t="s">
        <v>826</v>
      </c>
      <c r="E35" s="188" t="s">
        <v>170</v>
      </c>
      <c r="F35" s="188">
        <v>1859700189</v>
      </c>
      <c r="G35" s="189">
        <v>42840</v>
      </c>
      <c r="H35" s="189">
        <v>42845</v>
      </c>
      <c r="I35" s="188">
        <v>5</v>
      </c>
      <c r="J35" s="190"/>
      <c r="K35" s="191"/>
      <c r="L35" s="190"/>
      <c r="M35" s="190">
        <v>1000</v>
      </c>
      <c r="N35" s="190"/>
      <c r="O35" s="190"/>
      <c r="P35" s="190"/>
      <c r="Q35" s="190"/>
      <c r="R35" s="192">
        <f t="shared" si="1"/>
        <v>1000</v>
      </c>
      <c r="S35" s="192">
        <f t="shared" si="2"/>
        <v>0</v>
      </c>
      <c r="T35" s="190">
        <f>IF(I35=0,(R35+S35/EERR!$D$2/1.19),(R35+S35/EERR!$D$2/1.19)/I35)</f>
        <v>200</v>
      </c>
      <c r="U35" s="192">
        <f>S35+R35*EERR!$D$2</f>
        <v>655740</v>
      </c>
      <c r="V35" s="187">
        <f>VLOOKUP(F35,Booking!$B$2:$R$100,16,FALSE)</f>
        <v>5</v>
      </c>
      <c r="W35" s="196">
        <f>SUMIF(Transbank!$A$2:$A$449,B35,Transbank!$L$2:$L$449)+SUMIF(Transbank!$A$2:$A$449,C35,Transbank!$L$2:$L$449)+(J35+N35)+(K35+O35)*EERR!$D$2</f>
        <v>655740</v>
      </c>
      <c r="X35" s="196">
        <f>W35/EERR!$D$2</f>
        <v>1000</v>
      </c>
      <c r="Y35" s="196">
        <f t="shared" si="3"/>
        <v>0</v>
      </c>
      <c r="Z35" s="196">
        <f t="shared" si="4"/>
        <v>0</v>
      </c>
      <c r="AA35" s="196">
        <f t="shared" si="5"/>
        <v>0</v>
      </c>
      <c r="AB35" s="187">
        <f>IFERROR(VLOOKUP(A35,#REF!,8,FALSE),0)</f>
        <v>0</v>
      </c>
      <c r="AC35" s="45">
        <f t="shared" si="6"/>
        <v>1000</v>
      </c>
    </row>
    <row r="36" spans="1:29" s="187" customFormat="1" x14ac:dyDescent="0.3">
      <c r="A36" s="128">
        <v>2359</v>
      </c>
      <c r="B36" s="128">
        <v>96833</v>
      </c>
      <c r="C36" s="128"/>
      <c r="D36" s="188" t="s">
        <v>827</v>
      </c>
      <c r="E36" s="188" t="s">
        <v>170</v>
      </c>
      <c r="F36" s="188">
        <v>1696596833</v>
      </c>
      <c r="G36" s="189">
        <v>42840</v>
      </c>
      <c r="H36" s="189">
        <v>42843</v>
      </c>
      <c r="I36" s="188">
        <v>3</v>
      </c>
      <c r="J36" s="190"/>
      <c r="K36" s="319">
        <v>390</v>
      </c>
      <c r="L36" s="190"/>
      <c r="M36" s="190">
        <v>220</v>
      </c>
      <c r="N36" s="190"/>
      <c r="O36" s="190"/>
      <c r="P36" s="190"/>
      <c r="Q36" s="190"/>
      <c r="R36" s="192">
        <f t="shared" si="1"/>
        <v>610</v>
      </c>
      <c r="S36" s="192">
        <f t="shared" si="2"/>
        <v>0</v>
      </c>
      <c r="T36" s="190">
        <f>IF(I36=0,(R36+S36/EERR!$D$2/1.19),(R36+S36/EERR!$D$2/1.19)/I36)</f>
        <v>203.33333333333334</v>
      </c>
      <c r="U36" s="192">
        <f>S36+R36*EERR!$D$2</f>
        <v>400001.4</v>
      </c>
      <c r="V36" s="187">
        <f>VLOOKUP(F36,Booking!$B$2:$R$100,16,FALSE)</f>
        <v>3</v>
      </c>
      <c r="W36" s="196">
        <f>SUMIF(Transbank!$A$2:$A$449,B36,Transbank!$L$2:$L$449)+SUMIF(Transbank!$A$2:$A$449,C36,Transbank!$L$2:$L$449)+(J36+N36)+(K36+O36)*EERR!$D$2</f>
        <v>400001.4</v>
      </c>
      <c r="X36" s="196">
        <f>W36/EERR!$D$2</f>
        <v>610</v>
      </c>
      <c r="Y36" s="196">
        <f t="shared" si="3"/>
        <v>0</v>
      </c>
      <c r="Z36" s="196">
        <f t="shared" si="4"/>
        <v>0</v>
      </c>
      <c r="AA36" s="196">
        <f t="shared" si="5"/>
        <v>0</v>
      </c>
      <c r="AB36" s="187">
        <f>IFERROR(VLOOKUP(A36,#REF!,8,FALSE),0)</f>
        <v>0</v>
      </c>
      <c r="AC36" s="45">
        <f t="shared" si="6"/>
        <v>610</v>
      </c>
    </row>
    <row r="37" spans="1:29" s="187" customFormat="1" x14ac:dyDescent="0.3">
      <c r="A37" s="128">
        <v>2360</v>
      </c>
      <c r="B37" s="128">
        <v>3877</v>
      </c>
      <c r="C37" s="128"/>
      <c r="D37" s="188" t="s">
        <v>828</v>
      </c>
      <c r="E37" s="188" t="s">
        <v>170</v>
      </c>
      <c r="F37" s="188">
        <v>1801203877</v>
      </c>
      <c r="G37" s="189">
        <v>42840</v>
      </c>
      <c r="H37" s="189">
        <v>42842</v>
      </c>
      <c r="I37" s="188">
        <v>2</v>
      </c>
      <c r="J37" s="190"/>
      <c r="K37" s="191"/>
      <c r="L37" s="190"/>
      <c r="M37" s="190">
        <v>415</v>
      </c>
      <c r="N37" s="190"/>
      <c r="O37" s="190"/>
      <c r="P37" s="190"/>
      <c r="Q37" s="190"/>
      <c r="R37" s="192">
        <f t="shared" ref="R37:R60" si="7">K37+M37+O37+Q37</f>
        <v>415</v>
      </c>
      <c r="S37" s="192">
        <f t="shared" ref="S37:S60" si="8">L37+N37+J37+P37</f>
        <v>0</v>
      </c>
      <c r="T37" s="190">
        <f>IF(I37=0,(R37+S37/EERR!$D$2/1.19),(R37+S37/EERR!$D$2/1.19)/I37)</f>
        <v>207.5</v>
      </c>
      <c r="U37" s="192">
        <f>S37+R37*EERR!$D$2</f>
        <v>272132.09999999998</v>
      </c>
      <c r="V37" s="187">
        <f>VLOOKUP(F37,Booking!$B$2:$R$100,16,FALSE)</f>
        <v>2</v>
      </c>
      <c r="W37" s="196">
        <f>SUMIF(Transbank!$A$2:$A$449,B37,Transbank!$L$2:$L$449)+SUMIF(Transbank!$A$2:$A$449,C37,Transbank!$L$2:$L$449)+(J37+N37)+(K37+O37)*EERR!$D$2</f>
        <v>272132.09999999998</v>
      </c>
      <c r="X37" s="196">
        <f>W37/EERR!$D$2</f>
        <v>414.99999999999994</v>
      </c>
      <c r="Y37" s="196">
        <f t="shared" si="3"/>
        <v>0</v>
      </c>
      <c r="Z37" s="196">
        <f t="shared" ref="Z37:Z60" si="9">(J37+L37+N37)/1.19</f>
        <v>0</v>
      </c>
      <c r="AA37" s="196">
        <f t="shared" ref="AA37:AA60" si="10">IF(AB37="b",(J37+L37+N37)*0.19,0)</f>
        <v>0</v>
      </c>
      <c r="AB37" s="187">
        <f>IFERROR(VLOOKUP(A37,#REF!,8,FALSE),0)</f>
        <v>0</v>
      </c>
      <c r="AC37" s="45">
        <f t="shared" ref="AC37:AC60" si="11">R37-AB37</f>
        <v>415</v>
      </c>
    </row>
    <row r="38" spans="1:29" s="187" customFormat="1" x14ac:dyDescent="0.3">
      <c r="A38" s="128">
        <v>2362</v>
      </c>
      <c r="B38" s="128">
        <v>21506</v>
      </c>
      <c r="C38" s="128"/>
      <c r="D38" s="188" t="s">
        <v>829</v>
      </c>
      <c r="E38" s="188" t="s">
        <v>170</v>
      </c>
      <c r="F38" s="188">
        <v>1209421506</v>
      </c>
      <c r="G38" s="189">
        <v>42841</v>
      </c>
      <c r="H38" s="189">
        <v>42844</v>
      </c>
      <c r="I38" s="188">
        <v>3</v>
      </c>
      <c r="J38" s="190"/>
      <c r="K38" s="191"/>
      <c r="L38" s="190"/>
      <c r="M38" s="190">
        <v>585</v>
      </c>
      <c r="N38" s="190"/>
      <c r="O38" s="190"/>
      <c r="P38" s="190"/>
      <c r="Q38" s="190"/>
      <c r="R38" s="192">
        <f t="shared" si="7"/>
        <v>585</v>
      </c>
      <c r="S38" s="192">
        <f t="shared" si="8"/>
        <v>0</v>
      </c>
      <c r="T38" s="190">
        <f>IF(I38=0,(R38+S38/EERR!$D$2/1.19),(R38+S38/EERR!$D$2/1.19)/I38)</f>
        <v>195</v>
      </c>
      <c r="U38" s="192">
        <f>S38+R38*EERR!$D$2</f>
        <v>383607.9</v>
      </c>
      <c r="V38" s="187">
        <f>VLOOKUP(F38,Booking!$B$2:$R$100,16,FALSE)</f>
        <v>3</v>
      </c>
      <c r="W38" s="196">
        <f>SUMIF(Transbank!$A$2:$A$449,B38,Transbank!$L$2:$L$449)+SUMIF(Transbank!$A$2:$A$449,C38,Transbank!$L$2:$L$449)+(J38+N38)+(K38+O38)*EERR!$D$2</f>
        <v>383607.9</v>
      </c>
      <c r="X38" s="196">
        <f>W38/EERR!$D$2</f>
        <v>585</v>
      </c>
      <c r="Y38" s="196">
        <f t="shared" si="3"/>
        <v>0</v>
      </c>
      <c r="Z38" s="196">
        <f t="shared" si="9"/>
        <v>0</v>
      </c>
      <c r="AA38" s="196">
        <f t="shared" si="10"/>
        <v>0</v>
      </c>
      <c r="AB38" s="187">
        <f>IFERROR(VLOOKUP(A38,#REF!,8,FALSE),0)</f>
        <v>0</v>
      </c>
      <c r="AC38" s="45">
        <f t="shared" si="11"/>
        <v>585</v>
      </c>
    </row>
    <row r="39" spans="1:29" s="187" customFormat="1" x14ac:dyDescent="0.3">
      <c r="A39" s="128">
        <v>2368</v>
      </c>
      <c r="B39" s="128">
        <v>83098</v>
      </c>
      <c r="C39" s="128"/>
      <c r="D39" s="188" t="s">
        <v>830</v>
      </c>
      <c r="E39" s="188" t="s">
        <v>170</v>
      </c>
      <c r="F39" s="188">
        <v>1861583098</v>
      </c>
      <c r="G39" s="189">
        <v>42841</v>
      </c>
      <c r="H39" s="189">
        <v>42844</v>
      </c>
      <c r="I39" s="188">
        <v>3</v>
      </c>
      <c r="J39" s="190"/>
      <c r="K39" s="191"/>
      <c r="L39" s="190"/>
      <c r="M39" s="190">
        <v>585</v>
      </c>
      <c r="N39" s="190"/>
      <c r="O39" s="190"/>
      <c r="P39" s="190"/>
      <c r="Q39" s="190"/>
      <c r="R39" s="192">
        <f t="shared" si="7"/>
        <v>585</v>
      </c>
      <c r="S39" s="192">
        <f t="shared" si="8"/>
        <v>0</v>
      </c>
      <c r="T39" s="190">
        <f>IF(I39=0,(R39+S39/EERR!$D$2/1.19),(R39+S39/EERR!$D$2/1.19)/I39)</f>
        <v>195</v>
      </c>
      <c r="U39" s="192">
        <f>S39+R39*EERR!$D$2</f>
        <v>383607.9</v>
      </c>
      <c r="V39" s="187">
        <f>VLOOKUP(F39,Booking!$B$2:$R$100,16,FALSE)</f>
        <v>3</v>
      </c>
      <c r="W39" s="196">
        <f>SUMIF(Transbank!$A$2:$A$449,B39,Transbank!$L$2:$L$449)+SUMIF(Transbank!$A$2:$A$449,C39,Transbank!$L$2:$L$449)+(J39+N39)+(K39+O39)*EERR!$D$2</f>
        <v>383607.9</v>
      </c>
      <c r="X39" s="196">
        <f>W39/EERR!$D$2</f>
        <v>585</v>
      </c>
      <c r="Y39" s="196">
        <f t="shared" si="3"/>
        <v>0</v>
      </c>
      <c r="Z39" s="196">
        <f t="shared" si="9"/>
        <v>0</v>
      </c>
      <c r="AA39" s="196">
        <f t="shared" si="10"/>
        <v>0</v>
      </c>
      <c r="AB39" s="187">
        <f>IFERROR(VLOOKUP(A39,#REF!,8,FALSE),0)</f>
        <v>0</v>
      </c>
      <c r="AC39" s="45">
        <f t="shared" si="11"/>
        <v>585</v>
      </c>
    </row>
    <row r="40" spans="1:29" s="187" customFormat="1" x14ac:dyDescent="0.3">
      <c r="A40" s="128"/>
      <c r="B40" s="128"/>
      <c r="C40" s="128"/>
      <c r="D40" s="188" t="s">
        <v>831</v>
      </c>
      <c r="E40" s="188" t="s">
        <v>170</v>
      </c>
      <c r="F40" s="188">
        <v>1834621520</v>
      </c>
      <c r="G40" s="189">
        <v>42841</v>
      </c>
      <c r="H40" s="189">
        <v>42842</v>
      </c>
      <c r="I40" s="188">
        <v>1</v>
      </c>
      <c r="J40" s="190"/>
      <c r="K40" s="319">
        <v>195</v>
      </c>
      <c r="L40" s="190"/>
      <c r="M40" s="190"/>
      <c r="N40" s="190"/>
      <c r="O40" s="190"/>
      <c r="P40" s="190"/>
      <c r="Q40" s="190"/>
      <c r="R40" s="192">
        <f t="shared" si="7"/>
        <v>195</v>
      </c>
      <c r="S40" s="192">
        <f t="shared" si="8"/>
        <v>0</v>
      </c>
      <c r="T40" s="190">
        <f>IF(I40=0,(R40+S40/EERR!$D$2/1.19),(R40+S40/EERR!$D$2/1.19)/I40)</f>
        <v>195</v>
      </c>
      <c r="U40" s="192">
        <f>S40+R40*EERR!$D$2</f>
        <v>127869.3</v>
      </c>
      <c r="V40" s="187">
        <f>VLOOKUP(F40,Booking!$B$2:$R$100,16,FALSE)</f>
        <v>1</v>
      </c>
      <c r="W40" s="196">
        <f>SUMIF(Transbank!$A$2:$A$449,B40,Transbank!$L$2:$L$449)+SUMIF(Transbank!$A$2:$A$449,C40,Transbank!$L$2:$L$449)+(J40+N40)+(K40+O40)*EERR!$D$2</f>
        <v>127869.3</v>
      </c>
      <c r="X40" s="196">
        <f>W40/EERR!$D$2</f>
        <v>195</v>
      </c>
      <c r="Y40" s="196">
        <f t="shared" si="3"/>
        <v>0</v>
      </c>
      <c r="Z40" s="196">
        <f t="shared" si="9"/>
        <v>0</v>
      </c>
      <c r="AA40" s="196">
        <f t="shared" si="10"/>
        <v>0</v>
      </c>
      <c r="AB40" s="187">
        <f>IFERROR(VLOOKUP(A40,#REF!,8,FALSE),0)</f>
        <v>0</v>
      </c>
      <c r="AC40" s="45">
        <f t="shared" si="11"/>
        <v>195</v>
      </c>
    </row>
    <row r="41" spans="1:29" s="187" customFormat="1" x14ac:dyDescent="0.3">
      <c r="A41" s="128">
        <v>2375</v>
      </c>
      <c r="B41" s="128">
        <v>57607</v>
      </c>
      <c r="C41" s="128"/>
      <c r="D41" s="188" t="s">
        <v>832</v>
      </c>
      <c r="E41" s="188" t="s">
        <v>170</v>
      </c>
      <c r="F41" s="188">
        <v>1727757607</v>
      </c>
      <c r="G41" s="189">
        <v>42842</v>
      </c>
      <c r="H41" s="189">
        <v>42846</v>
      </c>
      <c r="I41" s="188">
        <v>4</v>
      </c>
      <c r="J41" s="190"/>
      <c r="K41" s="191"/>
      <c r="L41" s="190">
        <v>153849</v>
      </c>
      <c r="M41" s="190">
        <v>585</v>
      </c>
      <c r="N41" s="190"/>
      <c r="O41" s="190"/>
      <c r="P41" s="190"/>
      <c r="Q41" s="190"/>
      <c r="R41" s="192">
        <f t="shared" si="7"/>
        <v>585</v>
      </c>
      <c r="S41" s="192">
        <f t="shared" si="8"/>
        <v>153849</v>
      </c>
      <c r="T41" s="190">
        <f>IF(I41=0,(R41+S41/EERR!$D$2/1.19),(R41+S41/EERR!$D$2/1.19)/I41)</f>
        <v>195.53968567937744</v>
      </c>
      <c r="U41" s="192">
        <f>S41+R41*EERR!$D$2</f>
        <v>537456.9</v>
      </c>
      <c r="V41" s="187">
        <f>VLOOKUP(F41,Booking!$B$2:$R$100,16,FALSE)</f>
        <v>4</v>
      </c>
      <c r="W41" s="196">
        <f>SUMIF(Transbank!$A$2:$A$449,B41,Transbank!$L$2:$L$449)+SUMIF(Transbank!$A$2:$A$449,C41,Transbank!$L$2:$L$449)+(J41+N41)+(K41+O41)*EERR!$D$2</f>
        <v>537456.9</v>
      </c>
      <c r="X41" s="196">
        <f>W41/EERR!$D$2</f>
        <v>819.61890383383661</v>
      </c>
      <c r="Y41" s="196">
        <f t="shared" si="3"/>
        <v>0</v>
      </c>
      <c r="Z41" s="196">
        <f t="shared" si="9"/>
        <v>129284.87394957984</v>
      </c>
      <c r="AA41" s="196">
        <f t="shared" si="10"/>
        <v>0</v>
      </c>
      <c r="AB41" s="187">
        <f>IFERROR(VLOOKUP(A41,#REF!,8,FALSE),0)</f>
        <v>0</v>
      </c>
      <c r="AC41" s="45">
        <f t="shared" si="11"/>
        <v>585</v>
      </c>
    </row>
    <row r="42" spans="1:29" s="187" customFormat="1" x14ac:dyDescent="0.3">
      <c r="A42" s="128">
        <v>2365</v>
      </c>
      <c r="B42" s="128">
        <v>67851</v>
      </c>
      <c r="C42" s="128"/>
      <c r="D42" s="188" t="s">
        <v>833</v>
      </c>
      <c r="E42" s="188" t="s">
        <v>170</v>
      </c>
      <c r="F42" s="188">
        <v>1776267851</v>
      </c>
      <c r="G42" s="189">
        <v>42842</v>
      </c>
      <c r="H42" s="189">
        <v>42845</v>
      </c>
      <c r="I42" s="188">
        <v>3</v>
      </c>
      <c r="J42" s="190"/>
      <c r="K42" s="191"/>
      <c r="L42" s="190"/>
      <c r="M42" s="190">
        <v>585</v>
      </c>
      <c r="N42" s="190"/>
      <c r="O42" s="190"/>
      <c r="P42" s="190"/>
      <c r="Q42" s="190"/>
      <c r="R42" s="192">
        <f t="shared" si="7"/>
        <v>585</v>
      </c>
      <c r="S42" s="192">
        <f t="shared" si="8"/>
        <v>0</v>
      </c>
      <c r="T42" s="190">
        <f>IF(I42=0,(R42+S42/EERR!$D$2/1.19),(R42+S42/EERR!$D$2/1.19)/I42)</f>
        <v>195</v>
      </c>
      <c r="U42" s="192">
        <f>S42+R42*EERR!$D$2</f>
        <v>383607.9</v>
      </c>
      <c r="V42" s="187">
        <f>VLOOKUP(F42,Booking!$B$2:$R$100,16,FALSE)</f>
        <v>3</v>
      </c>
      <c r="W42" s="196">
        <f>SUMIF(Transbank!$A$2:$A$449,B42,Transbank!$L$2:$L$449)+SUMIF(Transbank!$A$2:$A$449,C42,Transbank!$L$2:$L$449)+(J42+N42)+(K42+O42)*EERR!$D$2</f>
        <v>383607.9</v>
      </c>
      <c r="X42" s="196">
        <f>W42/EERR!$D$2</f>
        <v>585</v>
      </c>
      <c r="Y42" s="196">
        <f t="shared" si="3"/>
        <v>0</v>
      </c>
      <c r="Z42" s="196">
        <f t="shared" si="9"/>
        <v>0</v>
      </c>
      <c r="AA42" s="196">
        <f t="shared" si="10"/>
        <v>0</v>
      </c>
      <c r="AB42" s="187">
        <f>IFERROR(VLOOKUP(A42,#REF!,8,FALSE),0)</f>
        <v>0</v>
      </c>
      <c r="AC42" s="45">
        <f t="shared" si="11"/>
        <v>585</v>
      </c>
    </row>
    <row r="43" spans="1:29" s="187" customFormat="1" x14ac:dyDescent="0.3">
      <c r="A43" s="128">
        <v>2364</v>
      </c>
      <c r="B43" s="128">
        <v>2007</v>
      </c>
      <c r="C43" s="128"/>
      <c r="D43" s="188" t="s">
        <v>828</v>
      </c>
      <c r="E43" s="188" t="s">
        <v>170</v>
      </c>
      <c r="F43" s="188">
        <v>1203002007</v>
      </c>
      <c r="G43" s="189">
        <v>42842</v>
      </c>
      <c r="H43" s="189">
        <v>42843</v>
      </c>
      <c r="I43" s="188">
        <v>1</v>
      </c>
      <c r="J43" s="190"/>
      <c r="K43" s="191"/>
      <c r="L43" s="190"/>
      <c r="M43" s="190">
        <v>175.5</v>
      </c>
      <c r="N43" s="190"/>
      <c r="O43" s="190"/>
      <c r="P43" s="190"/>
      <c r="Q43" s="190"/>
      <c r="R43" s="192">
        <f t="shared" si="7"/>
        <v>175.5</v>
      </c>
      <c r="S43" s="192">
        <f t="shared" si="8"/>
        <v>0</v>
      </c>
      <c r="T43" s="190">
        <f>IF(I43=0,(R43+S43/EERR!$D$2/1.19),(R43+S43/EERR!$D$2/1.19)/I43)</f>
        <v>175.5</v>
      </c>
      <c r="U43" s="192">
        <f>S43+R43*EERR!$D$2</f>
        <v>115082.37</v>
      </c>
      <c r="V43" s="187">
        <f>VLOOKUP(F43,Booking!$B$2:$R$100,16,FALSE)</f>
        <v>1</v>
      </c>
      <c r="W43" s="196">
        <f>SUMIF(Transbank!$A$2:$A$449,B43,Transbank!$L$2:$L$449)+SUMIF(Transbank!$A$2:$A$449,C43,Transbank!$L$2:$L$449)+(J43+N43)+(K43+O43)*EERR!$D$2</f>
        <v>115082.37</v>
      </c>
      <c r="X43" s="196">
        <f>W43/EERR!$D$2</f>
        <v>175.5</v>
      </c>
      <c r="Y43" s="196">
        <f t="shared" si="3"/>
        <v>0</v>
      </c>
      <c r="Z43" s="196">
        <f t="shared" si="9"/>
        <v>0</v>
      </c>
      <c r="AA43" s="196">
        <f t="shared" si="10"/>
        <v>0</v>
      </c>
      <c r="AB43" s="187">
        <f>IFERROR(VLOOKUP(A43,#REF!,8,FALSE),0)</f>
        <v>0</v>
      </c>
      <c r="AC43" s="45">
        <f t="shared" si="11"/>
        <v>175.5</v>
      </c>
    </row>
    <row r="44" spans="1:29" s="187" customFormat="1" x14ac:dyDescent="0.3">
      <c r="A44" s="128">
        <v>2383</v>
      </c>
      <c r="B44" s="128">
        <v>61194</v>
      </c>
      <c r="C44" s="128"/>
      <c r="D44" s="188" t="s">
        <v>834</v>
      </c>
      <c r="E44" s="188" t="s">
        <v>170</v>
      </c>
      <c r="F44" s="188">
        <v>1260861194</v>
      </c>
      <c r="G44" s="189">
        <v>42843</v>
      </c>
      <c r="H44" s="189">
        <v>42849</v>
      </c>
      <c r="I44" s="188">
        <v>6</v>
      </c>
      <c r="J44" s="190"/>
      <c r="K44" s="191"/>
      <c r="L44" s="190"/>
      <c r="M44" s="190">
        <v>1170</v>
      </c>
      <c r="N44" s="190"/>
      <c r="O44" s="190"/>
      <c r="P44" s="190"/>
      <c r="Q44" s="190"/>
      <c r="R44" s="192">
        <f t="shared" si="7"/>
        <v>1170</v>
      </c>
      <c r="S44" s="192">
        <f t="shared" si="8"/>
        <v>0</v>
      </c>
      <c r="T44" s="190">
        <f>IF(I44=0,(R44+S44/EERR!$D$2/1.19),(R44+S44/EERR!$D$2/1.19)/I44)</f>
        <v>195</v>
      </c>
      <c r="U44" s="192">
        <f>S44+R44*EERR!$D$2</f>
        <v>767215.8</v>
      </c>
      <c r="V44" s="187">
        <f>VLOOKUP(F44,Booking!$B$2:$R$100,16,FALSE)</f>
        <v>6</v>
      </c>
      <c r="W44" s="196">
        <f>SUMIF(Transbank!$A$2:$A$449,B44,Transbank!$L$2:$L$449)+SUMIF(Transbank!$A$2:$A$449,C44,Transbank!$L$2:$L$449)+(J44+N44)+(K44+O44)*EERR!$D$2</f>
        <v>767215.8</v>
      </c>
      <c r="X44" s="196">
        <f>W44/EERR!$D$2</f>
        <v>1170</v>
      </c>
      <c r="Y44" s="196">
        <f t="shared" si="3"/>
        <v>0</v>
      </c>
      <c r="Z44" s="196">
        <f t="shared" si="9"/>
        <v>0</v>
      </c>
      <c r="AA44" s="196">
        <f t="shared" si="10"/>
        <v>0</v>
      </c>
      <c r="AB44" s="187">
        <f>IFERROR(VLOOKUP(A44,#REF!,8,FALSE),0)</f>
        <v>0</v>
      </c>
      <c r="AC44" s="45">
        <f t="shared" si="11"/>
        <v>1170</v>
      </c>
    </row>
    <row r="45" spans="1:29" s="187" customFormat="1" x14ac:dyDescent="0.3">
      <c r="A45" s="128">
        <v>2367</v>
      </c>
      <c r="B45" s="128">
        <v>66892</v>
      </c>
      <c r="C45" s="128"/>
      <c r="D45" s="188" t="s">
        <v>835</v>
      </c>
      <c r="E45" s="188" t="s">
        <v>170</v>
      </c>
      <c r="F45" s="188">
        <v>1164366892</v>
      </c>
      <c r="G45" s="189">
        <v>42843</v>
      </c>
      <c r="H45" s="189">
        <v>42845</v>
      </c>
      <c r="I45" s="188">
        <v>4</v>
      </c>
      <c r="J45" s="190"/>
      <c r="K45" s="191"/>
      <c r="L45" s="190"/>
      <c r="M45" s="190">
        <v>780</v>
      </c>
      <c r="N45" s="190"/>
      <c r="O45" s="190"/>
      <c r="P45" s="190"/>
      <c r="Q45" s="190"/>
      <c r="R45" s="192">
        <f t="shared" si="7"/>
        <v>780</v>
      </c>
      <c r="S45" s="192">
        <f t="shared" si="8"/>
        <v>0</v>
      </c>
      <c r="T45" s="190">
        <f>IF(I45=0,(R45+S45/EERR!$D$2/1.19),(R45+S45/EERR!$D$2/1.19)/I45)</f>
        <v>195</v>
      </c>
      <c r="U45" s="192">
        <f>S45+R45*EERR!$D$2</f>
        <v>511477.2</v>
      </c>
      <c r="V45" s="187">
        <f>VLOOKUP(F45,Booking!$B$2:$R$100,16,FALSE)</f>
        <v>2</v>
      </c>
      <c r="W45" s="196">
        <f>SUMIF(Transbank!$A$2:$A$449,B45,Transbank!$L$2:$L$449)+SUMIF(Transbank!$A$2:$A$449,C45,Transbank!$L$2:$L$449)+(J45+N45)+(K45+O45)*EERR!$D$2</f>
        <v>511477.2</v>
      </c>
      <c r="X45" s="196">
        <f>W45/EERR!$D$2</f>
        <v>780</v>
      </c>
      <c r="Y45" s="196">
        <f t="shared" si="3"/>
        <v>0</v>
      </c>
      <c r="Z45" s="196">
        <f t="shared" si="9"/>
        <v>0</v>
      </c>
      <c r="AA45" s="196">
        <f t="shared" si="10"/>
        <v>0</v>
      </c>
      <c r="AB45" s="187">
        <f>IFERROR(VLOOKUP(A45,#REF!,8,FALSE),0)</f>
        <v>0</v>
      </c>
      <c r="AC45" s="45">
        <f t="shared" si="11"/>
        <v>780</v>
      </c>
    </row>
    <row r="46" spans="1:29" s="187" customFormat="1" x14ac:dyDescent="0.3">
      <c r="A46" s="128">
        <v>2371</v>
      </c>
      <c r="B46" s="128">
        <v>69367</v>
      </c>
      <c r="C46" s="128"/>
      <c r="D46" s="309" t="s">
        <v>836</v>
      </c>
      <c r="E46" s="188" t="s">
        <v>170</v>
      </c>
      <c r="F46" s="188">
        <v>549969367</v>
      </c>
      <c r="G46" s="189">
        <v>42845</v>
      </c>
      <c r="H46" s="189">
        <v>42849</v>
      </c>
      <c r="I46" s="188">
        <v>4</v>
      </c>
      <c r="J46" s="190"/>
      <c r="K46" s="191"/>
      <c r="L46" s="190"/>
      <c r="M46" s="190">
        <v>760</v>
      </c>
      <c r="N46" s="190"/>
      <c r="O46" s="190"/>
      <c r="P46" s="190"/>
      <c r="Q46" s="190"/>
      <c r="R46" s="192">
        <f t="shared" si="7"/>
        <v>760</v>
      </c>
      <c r="S46" s="192">
        <f t="shared" si="8"/>
        <v>0</v>
      </c>
      <c r="T46" s="190">
        <f>IF(I46=0,(R46+S46/EERR!$D$2/1.19),(R46+S46/EERR!$D$2/1.19)/I46)</f>
        <v>190</v>
      </c>
      <c r="U46" s="192">
        <f>S46+R46*EERR!$D$2</f>
        <v>498362.4</v>
      </c>
      <c r="V46" s="187">
        <f>VLOOKUP(F46,Booking!$B$2:$R$100,16,FALSE)</f>
        <v>4</v>
      </c>
      <c r="W46" s="196">
        <f>SUMIF(Transbank!$A$2:$A$449,B46,Transbank!$L$2:$L$449)+SUMIF(Transbank!$A$2:$A$449,C46,Transbank!$L$2:$L$449)+(J46+N46)+(K46+O46)*EERR!$D$2</f>
        <v>498362.4</v>
      </c>
      <c r="X46" s="196">
        <f>W46/EERR!$D$2</f>
        <v>760</v>
      </c>
      <c r="Y46" s="196">
        <f t="shared" si="3"/>
        <v>0</v>
      </c>
      <c r="Z46" s="196">
        <f t="shared" si="9"/>
        <v>0</v>
      </c>
      <c r="AA46" s="196">
        <f t="shared" si="10"/>
        <v>0</v>
      </c>
      <c r="AB46" s="187">
        <f>IFERROR(VLOOKUP(A46,#REF!,8,FALSE),0)</f>
        <v>0</v>
      </c>
      <c r="AC46" s="45">
        <f t="shared" si="11"/>
        <v>760</v>
      </c>
    </row>
    <row r="47" spans="1:29" s="187" customFormat="1" x14ac:dyDescent="0.3">
      <c r="A47" s="128">
        <v>48</v>
      </c>
      <c r="B47" s="128">
        <v>27904</v>
      </c>
      <c r="C47" s="128"/>
      <c r="D47" s="188" t="s">
        <v>837</v>
      </c>
      <c r="E47" s="188" t="s">
        <v>170</v>
      </c>
      <c r="F47" s="188">
        <v>1584227904</v>
      </c>
      <c r="G47" s="189">
        <v>42845</v>
      </c>
      <c r="H47" s="189">
        <v>42847</v>
      </c>
      <c r="I47" s="188">
        <v>4</v>
      </c>
      <c r="J47" s="190"/>
      <c r="K47" s="191"/>
      <c r="L47" s="190">
        <v>694292</v>
      </c>
      <c r="M47" s="190"/>
      <c r="N47" s="190"/>
      <c r="O47" s="190"/>
      <c r="P47" s="190"/>
      <c r="Q47" s="190"/>
      <c r="R47" s="192">
        <f t="shared" si="7"/>
        <v>0</v>
      </c>
      <c r="S47" s="192">
        <f t="shared" si="8"/>
        <v>694292</v>
      </c>
      <c r="T47" s="190">
        <f>IF(I47=0,(R47+S47/EERR!$D$2/1.19),(R47+S47/EERR!$D$2/1.19)/I47)</f>
        <v>222.43520887172693</v>
      </c>
      <c r="U47" s="192">
        <f>S47+R47*EERR!$D$2</f>
        <v>694292</v>
      </c>
      <c r="V47" s="187">
        <f>VLOOKUP(F47,Booking!$B$2:$R$100,16,FALSE)</f>
        <v>2</v>
      </c>
      <c r="W47" s="196">
        <f>SUMIF(Transbank!$A$2:$A$449,B47,Transbank!$L$2:$L$449)+SUMIF(Transbank!$A$2:$A$449,C47,Transbank!$L$2:$L$449)+(J47+N47)+(K47+O47)*EERR!$D$2</f>
        <v>694292</v>
      </c>
      <c r="X47" s="196">
        <f>W47/EERR!$D$2</f>
        <v>1058.7915942294201</v>
      </c>
      <c r="Y47" s="196">
        <f t="shared" si="3"/>
        <v>0</v>
      </c>
      <c r="Z47" s="196">
        <f t="shared" si="9"/>
        <v>583438.65546218492</v>
      </c>
      <c r="AA47" s="196">
        <f t="shared" si="10"/>
        <v>0</v>
      </c>
      <c r="AB47" s="187">
        <f>IFERROR(VLOOKUP(A47,#REF!,8,FALSE),0)</f>
        <v>0</v>
      </c>
      <c r="AC47" s="45">
        <f t="shared" si="11"/>
        <v>0</v>
      </c>
    </row>
    <row r="48" spans="1:29" s="187" customFormat="1" x14ac:dyDescent="0.3">
      <c r="A48" s="128"/>
      <c r="B48" s="128">
        <v>31359</v>
      </c>
      <c r="C48" s="128"/>
      <c r="D48" s="188" t="s">
        <v>838</v>
      </c>
      <c r="E48" s="188" t="s">
        <v>170</v>
      </c>
      <c r="F48" s="188">
        <v>1180931359</v>
      </c>
      <c r="G48" s="189">
        <v>42845</v>
      </c>
      <c r="H48" s="189">
        <v>42848</v>
      </c>
      <c r="I48" s="188">
        <v>3</v>
      </c>
      <c r="J48" s="190"/>
      <c r="K48" s="191"/>
      <c r="L48" s="190">
        <v>520719</v>
      </c>
      <c r="M48" s="190"/>
      <c r="N48" s="190"/>
      <c r="O48" s="190"/>
      <c r="P48" s="190"/>
      <c r="Q48" s="190"/>
      <c r="R48" s="192">
        <f t="shared" si="7"/>
        <v>0</v>
      </c>
      <c r="S48" s="192">
        <f t="shared" si="8"/>
        <v>520719</v>
      </c>
      <c r="T48" s="190">
        <f>IF(I48=0,(R48+S48/EERR!$D$2/1.19),(R48+S48/EERR!$D$2/1.19)/I48)</f>
        <v>222.43520887172693</v>
      </c>
      <c r="U48" s="192">
        <f>S48+R48*EERR!$D$2</f>
        <v>520719</v>
      </c>
      <c r="V48" s="187">
        <f>VLOOKUP(F48,Booking!$B$2:$R$100,16,FALSE)</f>
        <v>3</v>
      </c>
      <c r="W48" s="196">
        <f>SUMIF(Transbank!$A$2:$A$449,B48,Transbank!$L$2:$L$449)+SUMIF(Transbank!$A$2:$A$449,C48,Transbank!$L$2:$L$449)+(J48+N48)+(K48+O48)*EERR!$D$2</f>
        <v>520719</v>
      </c>
      <c r="X48" s="196">
        <f>W48/EERR!$D$2</f>
        <v>794.09369567206511</v>
      </c>
      <c r="Y48" s="196">
        <f t="shared" si="3"/>
        <v>0</v>
      </c>
      <c r="Z48" s="196">
        <f t="shared" si="9"/>
        <v>437578.99159663869</v>
      </c>
      <c r="AA48" s="196">
        <f t="shared" si="10"/>
        <v>0</v>
      </c>
      <c r="AB48" s="187">
        <f>IFERROR(VLOOKUP(A48,#REF!,8,FALSE),0)</f>
        <v>0</v>
      </c>
      <c r="AC48" s="45">
        <f t="shared" si="11"/>
        <v>0</v>
      </c>
    </row>
    <row r="49" spans="1:29" s="187" customFormat="1" x14ac:dyDescent="0.3">
      <c r="A49" s="128">
        <v>2379</v>
      </c>
      <c r="B49" s="128"/>
      <c r="C49" s="128"/>
      <c r="D49" s="188" t="s">
        <v>839</v>
      </c>
      <c r="E49" s="188" t="s">
        <v>170</v>
      </c>
      <c r="F49" s="188">
        <v>1038320245</v>
      </c>
      <c r="G49" s="189">
        <v>42846</v>
      </c>
      <c r="H49" s="189">
        <v>42851</v>
      </c>
      <c r="I49" s="188">
        <v>5</v>
      </c>
      <c r="J49" s="190"/>
      <c r="K49" s="319">
        <v>975</v>
      </c>
      <c r="L49" s="190"/>
      <c r="M49" s="190"/>
      <c r="N49" s="190"/>
      <c r="O49" s="190"/>
      <c r="P49" s="190"/>
      <c r="Q49" s="190"/>
      <c r="R49" s="192">
        <f t="shared" si="7"/>
        <v>975</v>
      </c>
      <c r="S49" s="192">
        <f t="shared" si="8"/>
        <v>0</v>
      </c>
      <c r="T49" s="190">
        <f>IF(I49=0,(R49+S49/EERR!$D$2/1.19),(R49+S49/EERR!$D$2/1.19)/I49)</f>
        <v>195</v>
      </c>
      <c r="U49" s="192">
        <f>S49+R49*EERR!$D$2</f>
        <v>639346.5</v>
      </c>
      <c r="V49" s="187">
        <f>VLOOKUP(F49,Booking!$B$2:$R$100,16,FALSE)</f>
        <v>5</v>
      </c>
      <c r="W49" s="196">
        <f>SUMIF(Transbank!$A$2:$A$449,B49,Transbank!$L$2:$L$449)+SUMIF(Transbank!$A$2:$A$449,C49,Transbank!$L$2:$L$449)+(J49+N49)+(K49+O49)*EERR!$D$2</f>
        <v>639346.5</v>
      </c>
      <c r="X49" s="196">
        <f>W49/EERR!$D$2</f>
        <v>975</v>
      </c>
      <c r="Y49" s="196">
        <f t="shared" si="3"/>
        <v>0</v>
      </c>
      <c r="Z49" s="196">
        <f t="shared" si="9"/>
        <v>0</v>
      </c>
      <c r="AA49" s="196">
        <f t="shared" si="10"/>
        <v>0</v>
      </c>
      <c r="AB49" s="187">
        <f>IFERROR(VLOOKUP(A49,#REF!,8,FALSE),0)</f>
        <v>0</v>
      </c>
      <c r="AC49" s="45">
        <f t="shared" si="11"/>
        <v>975</v>
      </c>
    </row>
    <row r="50" spans="1:29" s="187" customFormat="1" x14ac:dyDescent="0.3">
      <c r="A50" s="128">
        <v>2376</v>
      </c>
      <c r="B50" s="128">
        <v>90368</v>
      </c>
      <c r="C50" s="320"/>
      <c r="D50" s="321" t="s">
        <v>840</v>
      </c>
      <c r="E50" s="321" t="s">
        <v>170</v>
      </c>
      <c r="F50" s="321">
        <v>2001990368</v>
      </c>
      <c r="G50" s="322">
        <v>42846</v>
      </c>
      <c r="H50" s="322">
        <v>42852</v>
      </c>
      <c r="I50" s="321">
        <v>6</v>
      </c>
      <c r="J50" s="323"/>
      <c r="K50" s="324"/>
      <c r="L50" s="190"/>
      <c r="M50" s="190">
        <v>1176</v>
      </c>
      <c r="N50" s="190"/>
      <c r="O50" s="190"/>
      <c r="P50" s="190"/>
      <c r="Q50" s="190"/>
      <c r="R50" s="192">
        <f t="shared" si="7"/>
        <v>1176</v>
      </c>
      <c r="S50" s="192">
        <f t="shared" si="8"/>
        <v>0</v>
      </c>
      <c r="T50" s="190">
        <f>IF(I50=0,(R50+S50/EERR!$D$2/1.19),(R50+S50/EERR!$D$2/1.19)/I50)</f>
        <v>196</v>
      </c>
      <c r="U50" s="192">
        <f>S50+R50*EERR!$D$2</f>
        <v>771150.24</v>
      </c>
      <c r="V50" s="187">
        <f>VLOOKUP(F50,Booking!$B$2:$R$100,16,FALSE)</f>
        <v>6</v>
      </c>
      <c r="W50" s="196">
        <f>SUMIF(Transbank!$A$2:$A$449,B50,Transbank!$L$2:$L$449)+SUMIF(Transbank!$A$2:$A$449,C50,Transbank!$L$2:$L$449)+(J50+N50)+(K50+O50)*EERR!$D$2</f>
        <v>771150.24</v>
      </c>
      <c r="X50" s="196">
        <f>W50/EERR!$D$2</f>
        <v>1176</v>
      </c>
      <c r="Y50" s="196">
        <f t="shared" si="3"/>
        <v>0</v>
      </c>
      <c r="Z50" s="196">
        <f t="shared" si="9"/>
        <v>0</v>
      </c>
      <c r="AA50" s="196">
        <f t="shared" si="10"/>
        <v>0</v>
      </c>
      <c r="AB50" s="187">
        <f>IFERROR(VLOOKUP(A50,#REF!,8,FALSE),0)</f>
        <v>0</v>
      </c>
      <c r="AC50" s="45">
        <f t="shared" si="11"/>
        <v>1176</v>
      </c>
    </row>
    <row r="51" spans="1:29" s="187" customFormat="1" x14ac:dyDescent="0.3">
      <c r="A51" s="128">
        <v>2380</v>
      </c>
      <c r="B51" s="128">
        <v>24060</v>
      </c>
      <c r="C51" s="128"/>
      <c r="D51" s="188" t="s">
        <v>841</v>
      </c>
      <c r="E51" s="188" t="s">
        <v>170</v>
      </c>
      <c r="F51" s="188">
        <v>1753424060</v>
      </c>
      <c r="G51" s="189">
        <v>42847</v>
      </c>
      <c r="H51" s="189">
        <v>42854</v>
      </c>
      <c r="I51" s="188">
        <v>7</v>
      </c>
      <c r="J51" s="190"/>
      <c r="K51" s="191"/>
      <c r="L51" s="190"/>
      <c r="M51" s="190">
        <v>1390</v>
      </c>
      <c r="N51" s="190"/>
      <c r="O51" s="190"/>
      <c r="P51" s="190"/>
      <c r="Q51" s="190"/>
      <c r="R51" s="192">
        <f t="shared" si="7"/>
        <v>1390</v>
      </c>
      <c r="S51" s="192">
        <f t="shared" si="8"/>
        <v>0</v>
      </c>
      <c r="T51" s="190">
        <f>IF(I51=0,(R51+S51/EERR!$D$2/1.19),(R51+S51/EERR!$D$2/1.19)/I51)</f>
        <v>198.57142857142858</v>
      </c>
      <c r="U51" s="192">
        <f>S51+R51*EERR!$D$2</f>
        <v>911478.6</v>
      </c>
      <c r="V51" s="187">
        <f>VLOOKUP(F51,Booking!$B$2:$R$100,16,FALSE)</f>
        <v>7</v>
      </c>
      <c r="W51" s="196">
        <f>SUMIF(Transbank!$A$2:$A$449,B51,Transbank!$L$2:$L$449)+SUMIF(Transbank!$A$2:$A$449,C51,Transbank!$L$2:$L$449)+(J51+N51)+(K51+O51)*EERR!$D$2</f>
        <v>911478.60000000009</v>
      </c>
      <c r="X51" s="196">
        <f>W51/EERR!$D$2</f>
        <v>1390.0000000000002</v>
      </c>
      <c r="Y51" s="196">
        <f t="shared" si="3"/>
        <v>0</v>
      </c>
      <c r="Z51" s="196">
        <f t="shared" si="9"/>
        <v>0</v>
      </c>
      <c r="AA51" s="196">
        <f t="shared" si="10"/>
        <v>0</v>
      </c>
      <c r="AB51" s="187">
        <f>IFERROR(VLOOKUP(A51,#REF!,8,FALSE),0)</f>
        <v>0</v>
      </c>
      <c r="AC51" s="45">
        <f t="shared" si="11"/>
        <v>1390</v>
      </c>
    </row>
    <row r="52" spans="1:29" s="187" customFormat="1" x14ac:dyDescent="0.3">
      <c r="A52" s="128">
        <v>2378</v>
      </c>
      <c r="B52" s="128">
        <v>40722</v>
      </c>
      <c r="C52" s="128"/>
      <c r="D52" s="188" t="s">
        <v>842</v>
      </c>
      <c r="E52" s="188" t="s">
        <v>170</v>
      </c>
      <c r="F52" s="188">
        <v>1086340722</v>
      </c>
      <c r="G52" s="189">
        <v>42847</v>
      </c>
      <c r="H52" s="189">
        <v>42850</v>
      </c>
      <c r="I52" s="188">
        <v>3</v>
      </c>
      <c r="J52" s="190"/>
      <c r="K52" s="191"/>
      <c r="L52" s="190"/>
      <c r="M52" s="190">
        <v>585</v>
      </c>
      <c r="N52" s="190"/>
      <c r="O52" s="190"/>
      <c r="P52" s="190"/>
      <c r="Q52" s="190"/>
      <c r="R52" s="192">
        <f t="shared" si="7"/>
        <v>585</v>
      </c>
      <c r="S52" s="192">
        <f t="shared" si="8"/>
        <v>0</v>
      </c>
      <c r="T52" s="190">
        <f>IF(I52=0,(R52+S52/EERR!$D$2/1.19),(R52+S52/EERR!$D$2/1.19)/I52)</f>
        <v>195</v>
      </c>
      <c r="U52" s="192">
        <f>S52+R52*EERR!$D$2</f>
        <v>383607.9</v>
      </c>
      <c r="V52" s="187">
        <f>VLOOKUP(F52,Booking!$B$2:$R$100,16,FALSE)</f>
        <v>3</v>
      </c>
      <c r="W52" s="196">
        <f>SUMIF(Transbank!$A$2:$A$449,B52,Transbank!$L$2:$L$449)+SUMIF(Transbank!$A$2:$A$449,C52,Transbank!$L$2:$L$449)+(J52+N52)+(K52+O52)*EERR!$D$2</f>
        <v>385607.9</v>
      </c>
      <c r="X52" s="196">
        <f>W52/EERR!$D$2</f>
        <v>588.04998932503736</v>
      </c>
      <c r="Y52" s="196">
        <f t="shared" si="3"/>
        <v>2000</v>
      </c>
      <c r="Z52" s="196">
        <f t="shared" si="9"/>
        <v>0</v>
      </c>
      <c r="AA52" s="196">
        <f t="shared" si="10"/>
        <v>0</v>
      </c>
      <c r="AB52" s="187">
        <f>IFERROR(VLOOKUP(A52,#REF!,8,FALSE),0)</f>
        <v>0</v>
      </c>
      <c r="AC52" s="45">
        <f t="shared" si="11"/>
        <v>585</v>
      </c>
    </row>
    <row r="53" spans="1:29" s="187" customFormat="1" x14ac:dyDescent="0.3">
      <c r="A53" s="128"/>
      <c r="B53" s="128">
        <v>58278</v>
      </c>
      <c r="C53" s="128"/>
      <c r="D53" s="188" t="s">
        <v>843</v>
      </c>
      <c r="E53" s="188" t="s">
        <v>170</v>
      </c>
      <c r="F53" s="188">
        <v>1326358278</v>
      </c>
      <c r="G53" s="189">
        <v>42847</v>
      </c>
      <c r="H53" s="189">
        <v>42849</v>
      </c>
      <c r="I53" s="188">
        <v>2</v>
      </c>
      <c r="J53" s="190"/>
      <c r="K53" s="191"/>
      <c r="L53" s="190">
        <v>302129</v>
      </c>
      <c r="M53" s="190"/>
      <c r="N53" s="190"/>
      <c r="O53" s="190"/>
      <c r="P53" s="190"/>
      <c r="Q53" s="190"/>
      <c r="R53" s="192">
        <f t="shared" si="7"/>
        <v>0</v>
      </c>
      <c r="S53" s="192">
        <f t="shared" si="8"/>
        <v>302129</v>
      </c>
      <c r="T53" s="190">
        <f>IF(I53=0,(R53+S53/EERR!$D$2/1.19),(R53+S53/EERR!$D$2/1.19)/I53)</f>
        <v>193.59038335802802</v>
      </c>
      <c r="U53" s="192">
        <f>S53+R53*EERR!$D$2</f>
        <v>302129</v>
      </c>
      <c r="V53" s="187">
        <f>VLOOKUP(F53,Booking!$B$2:$R$100,16,FALSE)</f>
        <v>2</v>
      </c>
      <c r="W53" s="196">
        <f>SUMIF(Transbank!$A$2:$A$449,B53,Transbank!$L$2:$L$449)+SUMIF(Transbank!$A$2:$A$449,C53,Transbank!$L$2:$L$449)+(J53+N53)+(K53+O53)*EERR!$D$2</f>
        <v>302129</v>
      </c>
      <c r="X53" s="196">
        <f>W53/EERR!$D$2</f>
        <v>460.74511239210665</v>
      </c>
      <c r="Y53" s="196">
        <f t="shared" si="3"/>
        <v>0</v>
      </c>
      <c r="Z53" s="196">
        <f t="shared" si="9"/>
        <v>253889.91596638656</v>
      </c>
      <c r="AA53" s="196">
        <f t="shared" si="10"/>
        <v>0</v>
      </c>
      <c r="AB53" s="187">
        <f>IFERROR(VLOOKUP(A53,#REF!,8,FALSE),0)</f>
        <v>0</v>
      </c>
      <c r="AC53" s="45">
        <f t="shared" si="11"/>
        <v>0</v>
      </c>
    </row>
    <row r="54" spans="1:29" s="187" customFormat="1" x14ac:dyDescent="0.3">
      <c r="A54" s="128">
        <v>2386</v>
      </c>
      <c r="B54" s="128"/>
      <c r="C54" s="128"/>
      <c r="D54" s="188" t="s">
        <v>844</v>
      </c>
      <c r="E54" s="188" t="s">
        <v>170</v>
      </c>
      <c r="F54" s="188">
        <v>1148198778</v>
      </c>
      <c r="G54" s="189">
        <v>42848</v>
      </c>
      <c r="H54" s="189">
        <v>42852</v>
      </c>
      <c r="I54" s="188">
        <v>4</v>
      </c>
      <c r="J54" s="190"/>
      <c r="K54" s="319">
        <v>780</v>
      </c>
      <c r="L54" s="190"/>
      <c r="M54" s="190"/>
      <c r="N54" s="190"/>
      <c r="O54" s="190"/>
      <c r="P54" s="190"/>
      <c r="Q54" s="190"/>
      <c r="R54" s="192">
        <f t="shared" si="7"/>
        <v>780</v>
      </c>
      <c r="S54" s="192">
        <f t="shared" si="8"/>
        <v>0</v>
      </c>
      <c r="T54" s="190">
        <f>IF(I54=0,(R54+S54/EERR!$D$2/1.19),(R54+S54/EERR!$D$2/1.19)/I54)</f>
        <v>195</v>
      </c>
      <c r="U54" s="192">
        <f>S54+R54*EERR!$D$2</f>
        <v>511477.2</v>
      </c>
      <c r="V54" s="187">
        <f>VLOOKUP(F54,Booking!$B$2:$R$100,16,FALSE)</f>
        <v>4</v>
      </c>
      <c r="W54" s="196">
        <f>SUMIF(Transbank!$A$2:$A$449,B54,Transbank!$L$2:$L$449)+SUMIF(Transbank!$A$2:$A$449,C54,Transbank!$L$2:$L$449)+(J54+N54)+(K54+O54)*EERR!$D$2</f>
        <v>511477.2</v>
      </c>
      <c r="X54" s="196">
        <f>W54/EERR!$D$2</f>
        <v>780</v>
      </c>
      <c r="Y54" s="196">
        <f t="shared" si="3"/>
        <v>0</v>
      </c>
      <c r="Z54" s="196">
        <f t="shared" si="9"/>
        <v>0</v>
      </c>
      <c r="AA54" s="196">
        <f t="shared" si="10"/>
        <v>0</v>
      </c>
      <c r="AB54" s="187">
        <f>IFERROR(VLOOKUP(A54,#REF!,8,FALSE),0)</f>
        <v>0</v>
      </c>
      <c r="AC54" s="45">
        <f t="shared" si="11"/>
        <v>780</v>
      </c>
    </row>
    <row r="55" spans="1:29" s="187" customFormat="1" x14ac:dyDescent="0.3">
      <c r="A55" s="128">
        <v>2384</v>
      </c>
      <c r="B55" s="128">
        <v>53879</v>
      </c>
      <c r="C55" s="128"/>
      <c r="D55" s="188" t="s">
        <v>845</v>
      </c>
      <c r="E55" s="188" t="s">
        <v>170</v>
      </c>
      <c r="F55" s="188">
        <v>1917453879</v>
      </c>
      <c r="G55" s="189">
        <v>42849</v>
      </c>
      <c r="H55" s="189">
        <v>42853</v>
      </c>
      <c r="I55" s="188">
        <v>4</v>
      </c>
      <c r="J55" s="190"/>
      <c r="K55" s="191"/>
      <c r="L55" s="190"/>
      <c r="M55" s="190">
        <v>702</v>
      </c>
      <c r="N55" s="190"/>
      <c r="O55" s="190"/>
      <c r="P55" s="190"/>
      <c r="Q55" s="190"/>
      <c r="R55" s="192">
        <f t="shared" si="7"/>
        <v>702</v>
      </c>
      <c r="S55" s="192">
        <f t="shared" si="8"/>
        <v>0</v>
      </c>
      <c r="T55" s="190">
        <f>IF(I55=0,(R55+S55/EERR!$D$2/1.19),(R55+S55/EERR!$D$2/1.19)/I55)</f>
        <v>175.5</v>
      </c>
      <c r="U55" s="192">
        <f>S55+R55*EERR!$D$2</f>
        <v>460329.48</v>
      </c>
      <c r="V55" s="187">
        <f>VLOOKUP(F55,Booking!$B$2:$R$100,16,FALSE)</f>
        <v>4</v>
      </c>
      <c r="W55" s="196">
        <f>SUMIF(Transbank!$A$2:$A$449,B55,Transbank!$L$2:$L$449)+SUMIF(Transbank!$A$2:$A$449,C55,Transbank!$L$2:$L$449)+(J55+N55)+(K55+O55)*EERR!$D$2</f>
        <v>460985.22</v>
      </c>
      <c r="X55" s="196">
        <f>W55/EERR!$D$2</f>
        <v>703</v>
      </c>
      <c r="Y55" s="196">
        <f t="shared" si="3"/>
        <v>655.73999999999069</v>
      </c>
      <c r="Z55" s="196">
        <f t="shared" si="9"/>
        <v>0</v>
      </c>
      <c r="AA55" s="196">
        <f t="shared" si="10"/>
        <v>0</v>
      </c>
      <c r="AB55" s="187">
        <f>IFERROR(VLOOKUP(A55,#REF!,8,FALSE),0)</f>
        <v>0</v>
      </c>
      <c r="AC55" s="45">
        <f t="shared" si="11"/>
        <v>702</v>
      </c>
    </row>
    <row r="56" spans="1:29" s="187" customFormat="1" x14ac:dyDescent="0.3">
      <c r="A56" s="128">
        <v>2394</v>
      </c>
      <c r="B56" s="128">
        <v>29300</v>
      </c>
      <c r="C56" s="128"/>
      <c r="D56" s="188" t="s">
        <v>846</v>
      </c>
      <c r="E56" s="188" t="s">
        <v>170</v>
      </c>
      <c r="F56" s="188">
        <v>1001929300</v>
      </c>
      <c r="G56" s="189">
        <v>42849</v>
      </c>
      <c r="H56" s="189">
        <v>42854</v>
      </c>
      <c r="I56" s="188">
        <v>5</v>
      </c>
      <c r="J56" s="190"/>
      <c r="K56" s="191"/>
      <c r="L56" s="190"/>
      <c r="M56" s="190">
        <v>1000</v>
      </c>
      <c r="N56" s="190"/>
      <c r="O56" s="190"/>
      <c r="P56" s="190"/>
      <c r="Q56" s="190"/>
      <c r="R56" s="192">
        <f t="shared" si="7"/>
        <v>1000</v>
      </c>
      <c r="S56" s="192">
        <f t="shared" si="8"/>
        <v>0</v>
      </c>
      <c r="T56" s="190">
        <f>IF(I56=0,(R56+S56/EERR!$D$2/1.19),(R56+S56/EERR!$D$2/1.19)/I56)</f>
        <v>200</v>
      </c>
      <c r="U56" s="192">
        <f>S56+R56*EERR!$D$2</f>
        <v>655740</v>
      </c>
      <c r="V56" s="187">
        <f>VLOOKUP(F56,Booking!$B$2:$R$100,16,FALSE)</f>
        <v>5</v>
      </c>
      <c r="W56" s="196">
        <f>SUMIF(Transbank!$A$2:$A$449,B56,Transbank!$L$2:$L$449)+SUMIF(Transbank!$A$2:$A$449,C56,Transbank!$L$2:$L$449)+(J56+N56)+(K56+O56)*EERR!$D$2</f>
        <v>655740</v>
      </c>
      <c r="X56" s="196">
        <f>W56/EERR!$D$2</f>
        <v>1000</v>
      </c>
      <c r="Y56" s="196">
        <f t="shared" si="3"/>
        <v>0</v>
      </c>
      <c r="Z56" s="196">
        <f t="shared" si="9"/>
        <v>0</v>
      </c>
      <c r="AA56" s="196">
        <f t="shared" si="10"/>
        <v>0</v>
      </c>
      <c r="AB56" s="187">
        <f>IFERROR(VLOOKUP(A56,#REF!,8,FALSE),0)</f>
        <v>0</v>
      </c>
      <c r="AC56" s="45">
        <f t="shared" si="11"/>
        <v>1000</v>
      </c>
    </row>
    <row r="57" spans="1:29" s="187" customFormat="1" x14ac:dyDescent="0.3">
      <c r="A57" s="128">
        <v>2385</v>
      </c>
      <c r="B57" s="128">
        <v>81278</v>
      </c>
      <c r="C57" s="128"/>
      <c r="D57" s="188" t="s">
        <v>847</v>
      </c>
      <c r="E57" s="188" t="s">
        <v>170</v>
      </c>
      <c r="F57" s="188">
        <v>1704381278</v>
      </c>
      <c r="G57" s="189">
        <v>42850</v>
      </c>
      <c r="H57" s="189">
        <v>42853</v>
      </c>
      <c r="I57" s="188">
        <v>6</v>
      </c>
      <c r="J57" s="190"/>
      <c r="K57" s="191"/>
      <c r="L57" s="190"/>
      <c r="M57" s="190">
        <v>1170</v>
      </c>
      <c r="N57" s="190"/>
      <c r="O57" s="190"/>
      <c r="P57" s="190"/>
      <c r="Q57" s="190"/>
      <c r="R57" s="192">
        <f t="shared" si="7"/>
        <v>1170</v>
      </c>
      <c r="S57" s="192">
        <f t="shared" si="8"/>
        <v>0</v>
      </c>
      <c r="T57" s="190">
        <f>IF(I57=0,(R57+S57/EERR!$D$2/1.19),(R57+S57/EERR!$D$2/1.19)/I57)</f>
        <v>195</v>
      </c>
      <c r="U57" s="192">
        <f>S57+R57*EERR!$D$2</f>
        <v>767215.8</v>
      </c>
      <c r="V57" s="187">
        <f>VLOOKUP(F57,Booking!$B$2:$R$100,16,FALSE)</f>
        <v>6</v>
      </c>
      <c r="W57" s="196">
        <f>SUMIF(Transbank!$A$2:$A$449,B57,Transbank!$L$2:$L$449)+SUMIF(Transbank!$A$2:$A$449,C57,Transbank!$L$2:$L$449)+(J57+N57)+(K57+O57)*EERR!$D$2</f>
        <v>767215.8</v>
      </c>
      <c r="X57" s="196">
        <f>W57/EERR!$D$2</f>
        <v>1170</v>
      </c>
      <c r="Y57" s="196">
        <f t="shared" si="3"/>
        <v>0</v>
      </c>
      <c r="Z57" s="196">
        <f t="shared" si="9"/>
        <v>0</v>
      </c>
      <c r="AA57" s="196">
        <f t="shared" si="10"/>
        <v>0</v>
      </c>
      <c r="AB57" s="187">
        <f>IFERROR(VLOOKUP(A57,#REF!,8,FALSE),0)</f>
        <v>0</v>
      </c>
      <c r="AC57" s="45">
        <f t="shared" si="11"/>
        <v>1170</v>
      </c>
    </row>
    <row r="58" spans="1:29" s="187" customFormat="1" x14ac:dyDescent="0.3">
      <c r="A58" s="128">
        <v>2389</v>
      </c>
      <c r="B58" s="128">
        <v>16136</v>
      </c>
      <c r="C58" s="128"/>
      <c r="D58" s="188" t="s">
        <v>848</v>
      </c>
      <c r="E58" s="188" t="s">
        <v>170</v>
      </c>
      <c r="F58" s="188">
        <v>1762316136</v>
      </c>
      <c r="G58" s="189">
        <v>42851</v>
      </c>
      <c r="H58" s="189">
        <v>42858</v>
      </c>
      <c r="I58" s="188">
        <v>7</v>
      </c>
      <c r="J58" s="190"/>
      <c r="K58" s="319">
        <v>1245</v>
      </c>
      <c r="L58" s="190"/>
      <c r="M58" s="190">
        <v>195</v>
      </c>
      <c r="N58" s="190"/>
      <c r="O58" s="190"/>
      <c r="P58" s="190"/>
      <c r="Q58" s="190"/>
      <c r="R58" s="192">
        <f t="shared" si="7"/>
        <v>1440</v>
      </c>
      <c r="S58" s="192">
        <f t="shared" si="8"/>
        <v>0</v>
      </c>
      <c r="T58" s="190">
        <f>IF(I58=0,(R58+S58/EERR!$D$2/1.19),(R58+S58/EERR!$D$2/1.19)/I58)</f>
        <v>205.71428571428572</v>
      </c>
      <c r="U58" s="192">
        <f>S58+R58*EERR!$D$2</f>
        <v>944265.6</v>
      </c>
      <c r="V58" s="187">
        <f>VLOOKUP(F58,Booking!$B$2:$R$100,16,FALSE)</f>
        <v>7</v>
      </c>
      <c r="W58" s="196">
        <f>SUMIF(Transbank!$A$2:$A$449,B58,Transbank!$L$2:$L$449)+SUMIF(Transbank!$A$2:$A$449,C58,Transbank!$L$2:$L$449)+(J58+N58)+(K58+O58)*EERR!$D$2</f>
        <v>944265.60000000009</v>
      </c>
      <c r="X58" s="196">
        <f>W58/EERR!$D$2</f>
        <v>1440.0000000000002</v>
      </c>
      <c r="Y58" s="196">
        <f t="shared" si="3"/>
        <v>0</v>
      </c>
      <c r="Z58" s="196">
        <f t="shared" si="9"/>
        <v>0</v>
      </c>
      <c r="AA58" s="196">
        <f t="shared" si="10"/>
        <v>0</v>
      </c>
      <c r="AB58" s="187">
        <f>IFERROR(VLOOKUP(A58,#REF!,8,FALSE),0)</f>
        <v>0</v>
      </c>
      <c r="AC58" s="45">
        <f t="shared" si="11"/>
        <v>1440</v>
      </c>
    </row>
    <row r="59" spans="1:29" s="187" customFormat="1" x14ac:dyDescent="0.3">
      <c r="A59" s="128">
        <v>2391</v>
      </c>
      <c r="B59" s="128">
        <v>6287</v>
      </c>
      <c r="C59" s="128"/>
      <c r="D59" s="188" t="s">
        <v>849</v>
      </c>
      <c r="E59" s="188" t="s">
        <v>170</v>
      </c>
      <c r="F59" s="188">
        <v>1742706287</v>
      </c>
      <c r="G59" s="189">
        <v>42852</v>
      </c>
      <c r="H59" s="189">
        <v>42855</v>
      </c>
      <c r="I59" s="188">
        <v>3</v>
      </c>
      <c r="J59" s="190"/>
      <c r="K59" s="191"/>
      <c r="L59" s="190"/>
      <c r="M59" s="190">
        <v>588</v>
      </c>
      <c r="N59" s="190"/>
      <c r="O59" s="190"/>
      <c r="P59" s="190"/>
      <c r="Q59" s="190"/>
      <c r="R59" s="192">
        <f t="shared" si="7"/>
        <v>588</v>
      </c>
      <c r="S59" s="192">
        <f t="shared" si="8"/>
        <v>0</v>
      </c>
      <c r="T59" s="190">
        <f>IF(I59=0,(R59+S59/EERR!$D$2/1.19),(R59+S59/EERR!$D$2/1.19)/I59)</f>
        <v>196</v>
      </c>
      <c r="U59" s="192">
        <f>S59+R59*EERR!$D$2</f>
        <v>385575.12</v>
      </c>
      <c r="V59" s="187">
        <f>VLOOKUP(F59,Booking!$B$2:$R$100,16,FALSE)</f>
        <v>3</v>
      </c>
      <c r="W59" s="196">
        <f>SUMIF(Transbank!$A$2:$A$449,B59,Transbank!$L$2:$L$449)+SUMIF(Transbank!$A$2:$A$449,C59,Transbank!$L$2:$L$449)+(J59+N59)+(K59+O59)*EERR!$D$2</f>
        <v>385575.12</v>
      </c>
      <c r="X59" s="196">
        <f>W59/EERR!$D$2</f>
        <v>588</v>
      </c>
      <c r="Y59" s="196">
        <f t="shared" si="3"/>
        <v>0</v>
      </c>
      <c r="Z59" s="196">
        <f t="shared" si="9"/>
        <v>0</v>
      </c>
      <c r="AA59" s="196">
        <f t="shared" si="10"/>
        <v>0</v>
      </c>
      <c r="AB59" s="187">
        <f>IFERROR(VLOOKUP(A59,#REF!,8,FALSE),0)</f>
        <v>0</v>
      </c>
      <c r="AC59" s="45">
        <f t="shared" si="11"/>
        <v>588</v>
      </c>
    </row>
    <row r="60" spans="1:29" s="187" customFormat="1" x14ac:dyDescent="0.3">
      <c r="A60" s="128">
        <v>2390</v>
      </c>
      <c r="B60" s="128">
        <v>91802</v>
      </c>
      <c r="C60" s="128"/>
      <c r="D60" s="188" t="s">
        <v>850</v>
      </c>
      <c r="E60" s="188" t="s">
        <v>170</v>
      </c>
      <c r="F60" s="188">
        <v>1696591802</v>
      </c>
      <c r="G60" s="189">
        <v>42852</v>
      </c>
      <c r="H60" s="189">
        <v>42855</v>
      </c>
      <c r="I60" s="188">
        <v>3</v>
      </c>
      <c r="J60" s="190"/>
      <c r="K60" s="319">
        <v>289</v>
      </c>
      <c r="L60" s="190"/>
      <c r="M60" s="190">
        <v>346</v>
      </c>
      <c r="N60" s="190"/>
      <c r="O60" s="190"/>
      <c r="P60" s="190"/>
      <c r="Q60" s="190"/>
      <c r="R60" s="192">
        <f t="shared" si="7"/>
        <v>635</v>
      </c>
      <c r="S60" s="192">
        <f t="shared" si="8"/>
        <v>0</v>
      </c>
      <c r="T60" s="190">
        <f>IF(I60=0,(R60+S60/EERR!$D$2/1.19),(R60+S60/EERR!$D$2/1.19)/I60)</f>
        <v>211.66666666666666</v>
      </c>
      <c r="U60" s="192">
        <f>S60+R60*EERR!$D$2</f>
        <v>416394.9</v>
      </c>
      <c r="V60" s="187">
        <f>VLOOKUP(F60,Booking!$B$2:$R$100,16,FALSE)</f>
        <v>3</v>
      </c>
      <c r="W60" s="196">
        <f>SUMIF(Transbank!$A$2:$A$449,B60,Transbank!$L$2:$L$449)+SUMIF(Transbank!$A$2:$A$449,C60,Transbank!$L$2:$L$449)+(J60+N60)+(K60+O60)*EERR!$D$2</f>
        <v>416394.9</v>
      </c>
      <c r="X60" s="196">
        <f>W60/EERR!$D$2</f>
        <v>635</v>
      </c>
      <c r="Y60" s="196">
        <f t="shared" si="3"/>
        <v>0</v>
      </c>
      <c r="Z60" s="196">
        <f t="shared" si="9"/>
        <v>0</v>
      </c>
      <c r="AA60" s="196">
        <f t="shared" si="10"/>
        <v>0</v>
      </c>
      <c r="AB60" s="187">
        <f>IFERROR(VLOOKUP(A60,#REF!,8,FALSE),0)</f>
        <v>0</v>
      </c>
      <c r="AC60" s="45">
        <f t="shared" si="11"/>
        <v>635</v>
      </c>
    </row>
    <row r="61" spans="1:29" s="187" customFormat="1" x14ac:dyDescent="0.3">
      <c r="A61" s="128">
        <v>2388</v>
      </c>
      <c r="B61" s="128">
        <v>89279</v>
      </c>
      <c r="C61" s="128"/>
      <c r="D61" s="188" t="s">
        <v>851</v>
      </c>
      <c r="E61" s="188" t="s">
        <v>170</v>
      </c>
      <c r="F61" s="188">
        <v>1769289279</v>
      </c>
      <c r="G61" s="189">
        <v>42852</v>
      </c>
      <c r="H61" s="189">
        <v>42853</v>
      </c>
      <c r="I61" s="188">
        <v>1</v>
      </c>
      <c r="J61" s="190"/>
      <c r="K61" s="191"/>
      <c r="L61" s="190"/>
      <c r="M61" s="190">
        <v>195</v>
      </c>
      <c r="N61" s="190"/>
      <c r="O61" s="190"/>
      <c r="P61" s="190"/>
      <c r="Q61" s="190"/>
      <c r="R61" s="192">
        <f t="shared" si="1"/>
        <v>195</v>
      </c>
      <c r="S61" s="192">
        <f t="shared" si="2"/>
        <v>0</v>
      </c>
      <c r="T61" s="190">
        <f>IF(I61=0,(R61+S61/EERR!$D$2/1.19),(R61+S61/EERR!$D$2/1.19)/I61)</f>
        <v>195</v>
      </c>
      <c r="U61" s="192">
        <f>S61+R61*EERR!$D$2</f>
        <v>127869.3</v>
      </c>
      <c r="V61" s="187">
        <f>VLOOKUP(F61,Booking!$B$2:$R$100,16,FALSE)</f>
        <v>1</v>
      </c>
      <c r="W61" s="196">
        <f>SUMIF(Transbank!$A$2:$A$449,B61,Transbank!$L$2:$L$449)+SUMIF(Transbank!$A$2:$A$449,C61,Transbank!$L$2:$L$449)+(J61+N61)+(K61+O61)*EERR!$D$2</f>
        <v>127869.3</v>
      </c>
      <c r="X61" s="196">
        <f>W61/EERR!$D$2</f>
        <v>195</v>
      </c>
      <c r="Y61" s="196">
        <f t="shared" si="3"/>
        <v>0</v>
      </c>
      <c r="Z61" s="196">
        <f t="shared" si="4"/>
        <v>0</v>
      </c>
      <c r="AA61" s="196">
        <f t="shared" si="5"/>
        <v>0</v>
      </c>
      <c r="AB61" s="187">
        <f>IFERROR(VLOOKUP(A61,#REF!,8,FALSE),0)</f>
        <v>0</v>
      </c>
      <c r="AC61" s="45">
        <f t="shared" si="6"/>
        <v>195</v>
      </c>
    </row>
    <row r="62" spans="1:29" s="187" customFormat="1" x14ac:dyDescent="0.3">
      <c r="A62" s="128">
        <v>2387</v>
      </c>
      <c r="B62" s="128">
        <v>9730</v>
      </c>
      <c r="C62" s="128"/>
      <c r="D62" s="188" t="s">
        <v>852</v>
      </c>
      <c r="E62" s="188" t="s">
        <v>170</v>
      </c>
      <c r="F62" s="188">
        <v>1725809730</v>
      </c>
      <c r="G62" s="189">
        <v>42852</v>
      </c>
      <c r="H62" s="189">
        <v>42853</v>
      </c>
      <c r="I62" s="188">
        <v>1</v>
      </c>
      <c r="J62" s="190"/>
      <c r="K62" s="191"/>
      <c r="L62" s="190"/>
      <c r="M62" s="190">
        <v>195</v>
      </c>
      <c r="N62" s="190"/>
      <c r="O62" s="190"/>
      <c r="P62" s="190"/>
      <c r="Q62" s="190"/>
      <c r="R62" s="192">
        <f t="shared" si="1"/>
        <v>195</v>
      </c>
      <c r="S62" s="192">
        <f t="shared" si="2"/>
        <v>0</v>
      </c>
      <c r="T62" s="190">
        <f>IF(I62=0,(R62+S62/EERR!$D$2/1.19),(R62+S62/EERR!$D$2/1.19)/I62)</f>
        <v>195</v>
      </c>
      <c r="U62" s="192">
        <f>S62+R62*EERR!$D$2</f>
        <v>127869.3</v>
      </c>
      <c r="V62" s="187">
        <f>VLOOKUP(F62,Booking!$B$2:$R$100,16,FALSE)</f>
        <v>1</v>
      </c>
      <c r="W62" s="196">
        <f>SUMIF(Transbank!$A$2:$A$449,B62,Transbank!$L$2:$L$449)+SUMIF(Transbank!$A$2:$A$449,C62,Transbank!$L$2:$L$449)+(J62+N62)+(K62+O62)*EERR!$D$2</f>
        <v>127869.3</v>
      </c>
      <c r="X62" s="196">
        <f>W62/EERR!$D$2</f>
        <v>195</v>
      </c>
      <c r="Y62" s="196">
        <f t="shared" si="3"/>
        <v>0</v>
      </c>
      <c r="Z62" s="196">
        <f t="shared" si="4"/>
        <v>0</v>
      </c>
      <c r="AA62" s="196">
        <f t="shared" si="5"/>
        <v>0</v>
      </c>
      <c r="AB62" s="187">
        <f>IFERROR(VLOOKUP(A62,#REF!,8,FALSE),0)</f>
        <v>0</v>
      </c>
      <c r="AC62" s="45">
        <f t="shared" si="6"/>
        <v>195</v>
      </c>
    </row>
    <row r="63" spans="1:29" s="187" customFormat="1" x14ac:dyDescent="0.3">
      <c r="A63" s="128"/>
      <c r="B63" s="128">
        <v>79312</v>
      </c>
      <c r="C63" s="128"/>
      <c r="D63" s="188" t="s">
        <v>853</v>
      </c>
      <c r="E63" s="188" t="s">
        <v>170</v>
      </c>
      <c r="F63" s="188">
        <v>1503779312</v>
      </c>
      <c r="G63" s="189">
        <v>42853</v>
      </c>
      <c r="H63" s="189">
        <v>42854</v>
      </c>
      <c r="I63" s="188">
        <v>1</v>
      </c>
      <c r="J63" s="190"/>
      <c r="K63" s="191"/>
      <c r="L63" s="114">
        <v>169358</v>
      </c>
      <c r="M63" s="190"/>
      <c r="N63" s="190"/>
      <c r="O63" s="190"/>
      <c r="P63" s="190"/>
      <c r="Q63" s="190"/>
      <c r="R63" s="192">
        <f t="shared" ref="R63:R69" si="12">K63+M63+O63+Q63</f>
        <v>0</v>
      </c>
      <c r="S63" s="192">
        <f t="shared" ref="S63:S69" si="13">L63+N63+J63+P63</f>
        <v>169358</v>
      </c>
      <c r="T63" s="190">
        <f>IF(I63=0,(R63+S63/EERR!$D$2/1.19),(R63+S63/EERR!$D$2/1.19)/I63)</f>
        <v>217.03365214692337</v>
      </c>
      <c r="U63" s="192">
        <f>S63+R63*EERR!$D$2</f>
        <v>169358</v>
      </c>
      <c r="V63" s="187">
        <f>VLOOKUP(F63,Booking!$B$2:$R$100,16,FALSE)</f>
        <v>1</v>
      </c>
      <c r="W63" s="196">
        <f>SUMIF(Transbank!$A$2:$A$449,B63,Transbank!$L$2:$L$449)+SUMIF(Transbank!$A$2:$A$449,C63,Transbank!$L$2:$L$449)+(J63+N63)+(K63+O63)*EERR!$D$2</f>
        <v>169358</v>
      </c>
      <c r="X63" s="196">
        <f>W63/EERR!$D$2</f>
        <v>258.27004605483882</v>
      </c>
      <c r="Y63" s="196">
        <f t="shared" si="3"/>
        <v>0</v>
      </c>
      <c r="Z63" s="196">
        <f t="shared" si="4"/>
        <v>142317.64705882352</v>
      </c>
      <c r="AA63" s="196">
        <f t="shared" si="5"/>
        <v>0</v>
      </c>
      <c r="AB63" s="187">
        <f>IFERROR(VLOOKUP(A63,#REF!,8,FALSE),0)</f>
        <v>0</v>
      </c>
      <c r="AC63" s="45">
        <f t="shared" si="6"/>
        <v>0</v>
      </c>
    </row>
    <row r="64" spans="1:29" s="187" customFormat="1" x14ac:dyDescent="0.3">
      <c r="A64" s="128">
        <v>2395</v>
      </c>
      <c r="B64" s="128">
        <v>89213</v>
      </c>
      <c r="C64" s="128"/>
      <c r="D64" s="188" t="s">
        <v>854</v>
      </c>
      <c r="E64" s="188" t="s">
        <v>170</v>
      </c>
      <c r="F64" s="188">
        <v>1512689213</v>
      </c>
      <c r="G64" s="189">
        <v>42853</v>
      </c>
      <c r="H64" s="189">
        <v>42857</v>
      </c>
      <c r="I64" s="188">
        <v>4</v>
      </c>
      <c r="J64" s="190"/>
      <c r="K64" s="191"/>
      <c r="L64" s="190"/>
      <c r="M64" s="190">
        <v>855</v>
      </c>
      <c r="N64" s="190"/>
      <c r="O64" s="190"/>
      <c r="P64" s="190"/>
      <c r="Q64" s="190"/>
      <c r="R64" s="192">
        <f t="shared" si="12"/>
        <v>855</v>
      </c>
      <c r="S64" s="192">
        <f t="shared" si="13"/>
        <v>0</v>
      </c>
      <c r="T64" s="190">
        <f>IF(I64=0,(R64+S64/EERR!$D$2/1.19),(R64+S64/EERR!$D$2/1.19)/I64)</f>
        <v>213.75</v>
      </c>
      <c r="U64" s="192">
        <f>S64+R64*EERR!$D$2</f>
        <v>560657.69999999995</v>
      </c>
      <c r="V64" s="187">
        <f>VLOOKUP(F64,Booking!$B$2:$R$100,16,FALSE)</f>
        <v>4</v>
      </c>
      <c r="W64" s="196">
        <f>SUMIF(Transbank!$A$2:$A$449,B64,Transbank!$L$2:$L$449)+SUMIF(Transbank!$A$2:$A$449,C64,Transbank!$L$2:$L$449)+(J64+N64)+(K64+O64)*EERR!$D$2</f>
        <v>560657.69999999995</v>
      </c>
      <c r="X64" s="196">
        <f>W64/EERR!$D$2</f>
        <v>854.99999999999989</v>
      </c>
      <c r="Y64" s="196">
        <f t="shared" si="3"/>
        <v>0</v>
      </c>
      <c r="Z64" s="196">
        <f t="shared" si="4"/>
        <v>0</v>
      </c>
      <c r="AA64" s="196">
        <f t="shared" si="5"/>
        <v>0</v>
      </c>
      <c r="AB64" s="187">
        <f>IFERROR(VLOOKUP(A64,#REF!,8,FALSE),0)</f>
        <v>0</v>
      </c>
      <c r="AC64" s="45">
        <f t="shared" si="6"/>
        <v>855</v>
      </c>
    </row>
    <row r="65" spans="1:29" s="187" customFormat="1" x14ac:dyDescent="0.3">
      <c r="A65" s="128"/>
      <c r="B65" s="128">
        <v>64925</v>
      </c>
      <c r="C65" s="128"/>
      <c r="D65" s="188" t="s">
        <v>855</v>
      </c>
      <c r="E65" s="188" t="s">
        <v>170</v>
      </c>
      <c r="F65" s="188">
        <v>1935264925</v>
      </c>
      <c r="G65" s="189">
        <v>42853</v>
      </c>
      <c r="H65" s="189">
        <v>42856</v>
      </c>
      <c r="I65" s="188">
        <v>3</v>
      </c>
      <c r="J65" s="190"/>
      <c r="K65" s="191"/>
      <c r="L65" s="190">
        <v>508155</v>
      </c>
      <c r="M65" s="190"/>
      <c r="N65" s="190"/>
      <c r="O65" s="190"/>
      <c r="P65" s="190"/>
      <c r="Q65" s="190"/>
      <c r="R65" s="192">
        <f t="shared" si="12"/>
        <v>0</v>
      </c>
      <c r="S65" s="192">
        <f t="shared" si="13"/>
        <v>508155</v>
      </c>
      <c r="T65" s="190">
        <f>IF(I65=0,(R65+S65/EERR!$D$2/1.19),(R65+S65/EERR!$D$2/1.19)/I65)</f>
        <v>217.068252866157</v>
      </c>
      <c r="U65" s="192">
        <f>S65+R65*EERR!$D$2</f>
        <v>508155</v>
      </c>
      <c r="V65" s="187">
        <f>VLOOKUP(F65,Booking!$B$2:$R$100,16,FALSE)</f>
        <v>3</v>
      </c>
      <c r="W65" s="196">
        <f>SUMIF(Transbank!$A$2:$A$449,B65,Transbank!$L$2:$L$449)+SUMIF(Transbank!$A$2:$A$449,C65,Transbank!$L$2:$L$449)+(J65+N65)+(K65+O65)*EERR!$D$2</f>
        <v>508155</v>
      </c>
      <c r="X65" s="196">
        <f>W65/EERR!$D$2</f>
        <v>774.93366273218044</v>
      </c>
      <c r="Y65" s="196">
        <f t="shared" si="3"/>
        <v>0</v>
      </c>
      <c r="Z65" s="196">
        <f t="shared" si="4"/>
        <v>427021.00840336137</v>
      </c>
      <c r="AA65" s="196">
        <f t="shared" si="5"/>
        <v>0</v>
      </c>
      <c r="AB65" s="187">
        <f>IFERROR(VLOOKUP(A65,#REF!,8,FALSE),0)</f>
        <v>0</v>
      </c>
      <c r="AC65" s="45">
        <f t="shared" si="6"/>
        <v>0</v>
      </c>
    </row>
    <row r="66" spans="1:29" s="187" customFormat="1" x14ac:dyDescent="0.3">
      <c r="A66" s="128">
        <v>2393</v>
      </c>
      <c r="B66" s="128">
        <v>97818</v>
      </c>
      <c r="C66" s="128"/>
      <c r="D66" s="188" t="s">
        <v>856</v>
      </c>
      <c r="E66" s="188" t="s">
        <v>170</v>
      </c>
      <c r="F66" s="188">
        <v>1357597818</v>
      </c>
      <c r="G66" s="189">
        <v>42853</v>
      </c>
      <c r="H66" s="189">
        <v>42856</v>
      </c>
      <c r="I66" s="188">
        <v>3</v>
      </c>
      <c r="J66" s="190"/>
      <c r="K66" s="191"/>
      <c r="L66" s="190">
        <v>462243</v>
      </c>
      <c r="M66" s="190"/>
      <c r="N66" s="190"/>
      <c r="O66" s="190"/>
      <c r="P66" s="190"/>
      <c r="Q66" s="190"/>
      <c r="R66" s="192">
        <f t="shared" si="12"/>
        <v>0</v>
      </c>
      <c r="S66" s="192">
        <f t="shared" si="13"/>
        <v>462243</v>
      </c>
      <c r="T66" s="190">
        <f>IF(I66=0,(R66+S66/EERR!$D$2/1.19),(R66+S66/EERR!$D$2/1.19)/I66)</f>
        <v>197.45605260129489</v>
      </c>
      <c r="U66" s="192">
        <f>S66+R66*EERR!$D$2</f>
        <v>462243</v>
      </c>
      <c r="V66" s="187">
        <f>VLOOKUP(F66,Booking!$B$2:$R$100,16,FALSE)</f>
        <v>3</v>
      </c>
      <c r="W66" s="196">
        <f>SUMIF(Transbank!$A$2:$A$449,B66,Transbank!$L$2:$L$449)+SUMIF(Transbank!$A$2:$A$449,C66,Transbank!$L$2:$L$449)+(J66+N66)+(K66+O66)*EERR!$D$2</f>
        <v>462243</v>
      </c>
      <c r="X66" s="196">
        <f>W66/EERR!$D$2</f>
        <v>704.91810778662273</v>
      </c>
      <c r="Y66" s="196">
        <f t="shared" si="3"/>
        <v>0</v>
      </c>
      <c r="Z66" s="196">
        <f t="shared" si="4"/>
        <v>388439.49579831935</v>
      </c>
      <c r="AA66" s="196">
        <f t="shared" si="5"/>
        <v>0</v>
      </c>
      <c r="AB66" s="187">
        <f>IFERROR(VLOOKUP(A66,#REF!,8,FALSE),0)</f>
        <v>0</v>
      </c>
      <c r="AC66" s="45">
        <f t="shared" si="6"/>
        <v>0</v>
      </c>
    </row>
    <row r="67" spans="1:29" s="187" customFormat="1" x14ac:dyDescent="0.3">
      <c r="A67" s="128">
        <v>2392</v>
      </c>
      <c r="B67" s="128">
        <v>70063</v>
      </c>
      <c r="C67" s="128"/>
      <c r="D67" s="188" t="s">
        <v>857</v>
      </c>
      <c r="E67" s="188" t="s">
        <v>170</v>
      </c>
      <c r="F67" s="188">
        <v>2000770063</v>
      </c>
      <c r="G67" s="189">
        <v>42854</v>
      </c>
      <c r="H67" s="189" t="s">
        <v>858</v>
      </c>
      <c r="I67" s="188">
        <v>1</v>
      </c>
      <c r="J67" s="190"/>
      <c r="K67" s="191"/>
      <c r="L67" s="190"/>
      <c r="M67" s="190">
        <v>220</v>
      </c>
      <c r="N67" s="190"/>
      <c r="O67" s="190"/>
      <c r="P67" s="190"/>
      <c r="Q67" s="190"/>
      <c r="R67" s="192">
        <f t="shared" si="12"/>
        <v>220</v>
      </c>
      <c r="S67" s="192">
        <f t="shared" si="13"/>
        <v>0</v>
      </c>
      <c r="T67" s="190">
        <f>IF(I67=0,(R67+S67/EERR!$D$2/1.19),(R67+S67/EERR!$D$2/1.19)/I67)</f>
        <v>220</v>
      </c>
      <c r="U67" s="192">
        <f>S67+R67*EERR!$D$2</f>
        <v>144262.79999999999</v>
      </c>
      <c r="V67" s="187">
        <f>VLOOKUP(F67,Booking!$B$2:$R$100,16,FALSE)</f>
        <v>1</v>
      </c>
      <c r="W67" s="196">
        <f>SUMIF(Transbank!$A$2:$A$449,B67,Transbank!$L$2:$L$449)+SUMIF(Transbank!$A$2:$A$449,C67,Transbank!$L$2:$L$449)+(J67+N67)+(K67+O67)*EERR!$D$2</f>
        <v>144262.79999999999</v>
      </c>
      <c r="X67" s="196">
        <f>W67/EERR!$D$2</f>
        <v>219.99999999999997</v>
      </c>
      <c r="Y67" s="196">
        <f t="shared" si="3"/>
        <v>0</v>
      </c>
      <c r="Z67" s="196">
        <f t="shared" si="4"/>
        <v>0</v>
      </c>
      <c r="AA67" s="196">
        <f t="shared" si="5"/>
        <v>0</v>
      </c>
      <c r="AB67" s="187">
        <f>IFERROR(VLOOKUP(A67,#REF!,8,FALSE),0)</f>
        <v>0</v>
      </c>
      <c r="AC67" s="45">
        <f t="shared" si="6"/>
        <v>220</v>
      </c>
    </row>
    <row r="68" spans="1:29" s="187" customFormat="1" x14ac:dyDescent="0.3">
      <c r="A68" s="128"/>
      <c r="B68" s="128">
        <v>3249</v>
      </c>
      <c r="C68" s="128"/>
      <c r="D68" s="188" t="s">
        <v>859</v>
      </c>
      <c r="E68" s="188" t="s">
        <v>170</v>
      </c>
      <c r="F68" s="188">
        <v>1556803249</v>
      </c>
      <c r="G68" s="189">
        <v>42854</v>
      </c>
      <c r="H68" s="189">
        <v>42856</v>
      </c>
      <c r="I68" s="188">
        <v>2</v>
      </c>
      <c r="J68" s="190"/>
      <c r="K68" s="191"/>
      <c r="L68" s="190">
        <v>338770</v>
      </c>
      <c r="M68" s="190"/>
      <c r="N68" s="190"/>
      <c r="O68" s="190"/>
      <c r="P68" s="190"/>
      <c r="Q68" s="190"/>
      <c r="R68" s="192">
        <f t="shared" si="12"/>
        <v>0</v>
      </c>
      <c r="S68" s="192">
        <f t="shared" si="13"/>
        <v>338770</v>
      </c>
      <c r="T68" s="190">
        <f>IF(I68=0,(R68+S68/EERR!$D$2/1.19),(R68+S68/EERR!$D$2/1.19)/I68)</f>
        <v>217.06825286615702</v>
      </c>
      <c r="U68" s="192">
        <f>S68+R68*EERR!$D$2</f>
        <v>338770</v>
      </c>
      <c r="V68" s="187">
        <f>VLOOKUP(F68,Booking!$B$2:$R$100,16,FALSE)</f>
        <v>2</v>
      </c>
      <c r="W68" s="196">
        <f>SUMIF(Transbank!$A$2:$A$449,B68,Transbank!$L$2:$L$449)+SUMIF(Transbank!$A$2:$A$449,C68,Transbank!$L$2:$L$449)+(J68+N68)+(K68+O68)*EERR!$D$2</f>
        <v>338770</v>
      </c>
      <c r="X68" s="196">
        <f>W68/EERR!$D$2</f>
        <v>516.62244182145366</v>
      </c>
      <c r="Y68" s="196">
        <f t="shared" ref="Y68:Y114" si="14">+W68-U68</f>
        <v>0</v>
      </c>
      <c r="Z68" s="196">
        <f t="shared" si="4"/>
        <v>284680.6722689076</v>
      </c>
      <c r="AA68" s="196">
        <f t="shared" si="5"/>
        <v>0</v>
      </c>
      <c r="AB68" s="187">
        <f>IFERROR(VLOOKUP(A68,#REF!,8,FALSE),0)</f>
        <v>0</v>
      </c>
      <c r="AC68" s="45">
        <f t="shared" si="6"/>
        <v>0</v>
      </c>
    </row>
    <row r="69" spans="1:29" s="187" customFormat="1" x14ac:dyDescent="0.3">
      <c r="A69" s="128">
        <v>2397</v>
      </c>
      <c r="B69" s="128">
        <v>23868</v>
      </c>
      <c r="C69" s="128"/>
      <c r="D69" s="188" t="s">
        <v>860</v>
      </c>
      <c r="E69" s="188" t="s">
        <v>170</v>
      </c>
      <c r="F69" s="188">
        <v>2003323868</v>
      </c>
      <c r="G69" s="189">
        <v>42855</v>
      </c>
      <c r="H69" s="189">
        <v>42859</v>
      </c>
      <c r="I69" s="188">
        <v>4</v>
      </c>
      <c r="J69" s="190"/>
      <c r="K69" s="191"/>
      <c r="L69" s="190"/>
      <c r="M69" s="190">
        <v>805</v>
      </c>
      <c r="N69" s="190"/>
      <c r="O69" s="190"/>
      <c r="P69" s="190"/>
      <c r="Q69" s="190"/>
      <c r="R69" s="192">
        <f t="shared" si="12"/>
        <v>805</v>
      </c>
      <c r="S69" s="192">
        <f t="shared" si="13"/>
        <v>0</v>
      </c>
      <c r="T69" s="190">
        <f>IF(I69=0,(R69+S69/EERR!$D$2/1.19),(R69+S69/EERR!$D$2/1.19)/I69)</f>
        <v>201.25</v>
      </c>
      <c r="U69" s="192">
        <f>S69+R69*EERR!$D$2</f>
        <v>527870.69999999995</v>
      </c>
      <c r="V69" s="187">
        <f>VLOOKUP(F69,Booking!$B$2:$R$100,16,FALSE)</f>
        <v>4</v>
      </c>
      <c r="W69" s="196">
        <f>SUMIF(Transbank!$A$2:$A$449,B69,Transbank!$L$2:$L$449)+SUMIF(Transbank!$A$2:$A$449,C69,Transbank!$L$2:$L$449)+(J69+N69)+(K69+O69)*EERR!$D$2</f>
        <v>527870.69999999995</v>
      </c>
      <c r="X69" s="196">
        <f>W69/EERR!$D$2</f>
        <v>804.99999999999989</v>
      </c>
      <c r="Y69" s="196">
        <f t="shared" si="14"/>
        <v>0</v>
      </c>
      <c r="Z69" s="196">
        <f t="shared" ref="Z69" si="15">(J69+L69+N69)/1.19</f>
        <v>0</v>
      </c>
      <c r="AA69" s="196">
        <f t="shared" si="5"/>
        <v>0</v>
      </c>
      <c r="AB69" s="187">
        <f>IFERROR(VLOOKUP(A69,#REF!,8,FALSE),0)</f>
        <v>0</v>
      </c>
      <c r="AC69" s="45">
        <f t="shared" si="6"/>
        <v>805</v>
      </c>
    </row>
    <row r="70" spans="1:29" x14ac:dyDescent="0.3">
      <c r="A70" s="36"/>
      <c r="B70" s="188"/>
      <c r="C70" s="188"/>
      <c r="D70" s="42"/>
      <c r="E70" s="42"/>
      <c r="F70" s="42"/>
      <c r="G70" s="49"/>
      <c r="H70" s="49"/>
      <c r="I70" s="50">
        <f t="shared" ref="I70:O70" si="16">SUM(I3:I69)</f>
        <v>216</v>
      </c>
      <c r="J70" s="50">
        <f t="shared" si="16"/>
        <v>0</v>
      </c>
      <c r="K70" s="50">
        <f t="shared" si="16"/>
        <v>6879</v>
      </c>
      <c r="L70" s="50">
        <f t="shared" si="16"/>
        <v>5927453</v>
      </c>
      <c r="M70" s="50">
        <f t="shared" si="16"/>
        <v>28295.5</v>
      </c>
      <c r="N70" s="50">
        <f t="shared" si="16"/>
        <v>0</v>
      </c>
      <c r="O70" s="50">
        <f t="shared" si="16"/>
        <v>0</v>
      </c>
      <c r="P70" s="50"/>
      <c r="Q70" s="50"/>
      <c r="R70" s="50">
        <f>SUM(R3:R69)</f>
        <v>35174.5</v>
      </c>
      <c r="S70" s="50">
        <f>SUM(S3:S69)</f>
        <v>5927453</v>
      </c>
      <c r="T70" s="50">
        <f>IF(I70=0,(R70+S70/EERR!$D$2/1.19),(R70+S70/EERR!$D$2/1.19)/I70)</f>
        <v>198.01194050470878</v>
      </c>
      <c r="U70" s="50">
        <f>SUM(U3:U69)</f>
        <v>28992779.630000003</v>
      </c>
      <c r="V70" s="192"/>
      <c r="W70" s="192">
        <f>SUM(W3:W69)</f>
        <v>29017812.480000004</v>
      </c>
      <c r="X70" s="192"/>
      <c r="Y70" s="196">
        <f t="shared" si="14"/>
        <v>25032.85000000149</v>
      </c>
      <c r="Z70" s="202"/>
      <c r="AA70" s="202"/>
      <c r="AB70" s="187"/>
      <c r="AC70" s="45"/>
    </row>
    <row r="71" spans="1:29" x14ac:dyDescent="0.3">
      <c r="A71" s="128"/>
      <c r="B71" s="128">
        <v>48768</v>
      </c>
      <c r="C71" s="128"/>
      <c r="D71" s="188" t="s">
        <v>861</v>
      </c>
      <c r="E71" s="188" t="s">
        <v>390</v>
      </c>
      <c r="F71" s="188">
        <v>1548768</v>
      </c>
      <c r="G71" s="189">
        <v>42826</v>
      </c>
      <c r="H71" s="189">
        <v>42829</v>
      </c>
      <c r="I71" s="188">
        <v>3</v>
      </c>
      <c r="J71" s="190"/>
      <c r="K71" s="191"/>
      <c r="L71" s="190">
        <v>438910</v>
      </c>
      <c r="M71" s="190"/>
      <c r="N71" s="190"/>
      <c r="O71" s="190"/>
      <c r="P71" s="190"/>
      <c r="Q71" s="190"/>
      <c r="R71" s="192">
        <f t="shared" ref="R71" si="17">K71+M71+O71+Q71</f>
        <v>0</v>
      </c>
      <c r="S71" s="192">
        <f t="shared" ref="S71" si="18">L71+N71+J71+P71</f>
        <v>438910</v>
      </c>
      <c r="T71" s="190">
        <f>IF(I71=0,(R71+S71/EERR!$D$2/1.19),(R71+S71/EERR!$D$2/1.19)/I71)</f>
        <v>187.48890961514689</v>
      </c>
      <c r="U71" s="192">
        <f>S71+R71*EERR!$D$2</f>
        <v>438910</v>
      </c>
      <c r="V71" s="201">
        <f>VLOOKUP(F71,Buuteeq!$A$2:$L$49,12,FALSE)</f>
        <v>3</v>
      </c>
      <c r="W71" s="196">
        <f>SUMIF(Transbank!$A$2:$A$449,B71,Transbank!$L$2:$L$449)+SUMIF(Transbank!$A$2:$A$449,C71,Transbank!$L$2:$L$449)+(J71+N71)+(K71+O71)*EERR!$D$2</f>
        <v>438910</v>
      </c>
      <c r="X71" s="202">
        <f>W71/EERR!$D$2</f>
        <v>669.33540732607435</v>
      </c>
      <c r="Y71" s="196">
        <f t="shared" si="14"/>
        <v>0</v>
      </c>
      <c r="Z71" s="202">
        <f t="shared" ref="Z71" si="19">(J71+L71+N71)/1.19</f>
        <v>368831.93277310923</v>
      </c>
      <c r="AA71" s="202">
        <f t="shared" ref="AA71" si="20">IF(AB71="b",(J71+L71+N71)*0.19,0)</f>
        <v>0</v>
      </c>
      <c r="AB71" s="187">
        <f>IFERROR(VLOOKUP(A71,#REF!,8,FALSE),0)</f>
        <v>0</v>
      </c>
      <c r="AC71" s="45">
        <f t="shared" ref="AC71" si="21">R71-AB71</f>
        <v>0</v>
      </c>
    </row>
    <row r="72" spans="1:29" s="158" customFormat="1" x14ac:dyDescent="0.3">
      <c r="A72" s="128">
        <v>42</v>
      </c>
      <c r="B72" s="128"/>
      <c r="C72" s="128"/>
      <c r="D72" s="188" t="s">
        <v>862</v>
      </c>
      <c r="E72" s="188" t="s">
        <v>390</v>
      </c>
      <c r="F72" s="188">
        <v>1302102</v>
      </c>
      <c r="G72" s="189">
        <v>42828</v>
      </c>
      <c r="H72" s="189">
        <v>42831</v>
      </c>
      <c r="I72" s="188">
        <v>3</v>
      </c>
      <c r="J72" s="190"/>
      <c r="K72" s="191"/>
      <c r="L72" s="190"/>
      <c r="M72" s="190"/>
      <c r="N72" s="190">
        <v>438059</v>
      </c>
      <c r="O72" s="190"/>
      <c r="P72" s="190"/>
      <c r="Q72" s="190"/>
      <c r="R72" s="192">
        <f t="shared" ref="R72:R73" si="22">K72+M72+O72+Q72</f>
        <v>0</v>
      </c>
      <c r="S72" s="192">
        <f t="shared" ref="S72:S73" si="23">L72+N72+J72+P72</f>
        <v>438059</v>
      </c>
      <c r="T72" s="190">
        <f>IF(I72=0,(R72+S72/EERR!$D$2/1.19),(R72+S72/EERR!$D$2/1.19)/I72)</f>
        <v>187.12538847850729</v>
      </c>
      <c r="U72" s="192">
        <f>S72+R72*EERR!$D$2</f>
        <v>438059</v>
      </c>
      <c r="V72" s="201">
        <f>VLOOKUP(F72,Buuteeq!$A$2:$L$49,12,FALSE)</f>
        <v>3</v>
      </c>
      <c r="W72" s="196">
        <f>SUMIF(Transbank!$A$2:$A$449,B72,Transbank!$L$2:$L$449)+SUMIF(Transbank!$A$2:$A$449,C72,Transbank!$L$2:$L$449)+(J72+N72)+(K72+O72)*EERR!$D$2</f>
        <v>438059</v>
      </c>
      <c r="X72" s="202">
        <f>W72/EERR!$D$2</f>
        <v>668.03763686827097</v>
      </c>
      <c r="Y72" s="196">
        <f t="shared" si="14"/>
        <v>0</v>
      </c>
      <c r="Z72" s="202">
        <f t="shared" ref="Z72:Z73" si="24">(J72+L72+N72)/1.19</f>
        <v>368116.80672268907</v>
      </c>
      <c r="AA72" s="202">
        <f t="shared" ref="AA72:AA73" si="25">IF(AB72="b",(J72+L72+N72)*0.19,0)</f>
        <v>0</v>
      </c>
      <c r="AB72" s="187">
        <f>IFERROR(VLOOKUP(A72,#REF!,8,FALSE),0)</f>
        <v>0</v>
      </c>
      <c r="AC72" s="45">
        <f t="shared" ref="AC72:AC73" si="26">R72-AB72</f>
        <v>0</v>
      </c>
    </row>
    <row r="73" spans="1:29" s="187" customFormat="1" x14ac:dyDescent="0.3">
      <c r="A73" s="128">
        <v>2339</v>
      </c>
      <c r="B73" s="128">
        <v>95411</v>
      </c>
      <c r="C73" s="128"/>
      <c r="D73" s="188" t="s">
        <v>863</v>
      </c>
      <c r="E73" s="188" t="s">
        <v>390</v>
      </c>
      <c r="F73" s="188">
        <v>1595411</v>
      </c>
      <c r="G73" s="189">
        <v>42830</v>
      </c>
      <c r="H73" s="189">
        <v>42831</v>
      </c>
      <c r="I73" s="188">
        <v>1</v>
      </c>
      <c r="J73" s="190"/>
      <c r="K73" s="191"/>
      <c r="L73" s="190"/>
      <c r="M73" s="190">
        <v>171</v>
      </c>
      <c r="N73" s="190"/>
      <c r="O73" s="190"/>
      <c r="P73" s="190"/>
      <c r="Q73" s="190"/>
      <c r="R73" s="192">
        <f t="shared" si="22"/>
        <v>171</v>
      </c>
      <c r="S73" s="192">
        <f t="shared" si="23"/>
        <v>0</v>
      </c>
      <c r="T73" s="190">
        <f>IF(I73=0,(R73+S73/EERR!$D$2/1.19),(R73+S73/EERR!$D$2/1.19)/I73)</f>
        <v>171</v>
      </c>
      <c r="U73" s="192">
        <f>S73+R73*EERR!$D$2</f>
        <v>112131.54000000001</v>
      </c>
      <c r="V73" s="201">
        <f>VLOOKUP(F73,Buuteeq!$A$2:$L$49,12,FALSE)</f>
        <v>1</v>
      </c>
      <c r="W73" s="196">
        <f>SUMIF(Transbank!$A$2:$A$449,B73,Transbank!$L$2:$L$449)+SUMIF(Transbank!$A$2:$A$449,C73,Transbank!$L$2:$L$449)+(J73+N73)+(K73+O73)*EERR!$D$2</f>
        <v>112131.54000000001</v>
      </c>
      <c r="X73" s="202">
        <f>W73/EERR!$D$2</f>
        <v>171</v>
      </c>
      <c r="Y73" s="196">
        <f t="shared" si="14"/>
        <v>0</v>
      </c>
      <c r="Z73" s="202">
        <f t="shared" si="24"/>
        <v>0</v>
      </c>
      <c r="AA73" s="202">
        <f t="shared" si="25"/>
        <v>0</v>
      </c>
      <c r="AB73" s="187">
        <f>IFERROR(VLOOKUP(A73,#REF!,8,FALSE),0)</f>
        <v>0</v>
      </c>
      <c r="AC73" s="45">
        <f t="shared" si="26"/>
        <v>171</v>
      </c>
    </row>
    <row r="74" spans="1:29" s="187" customFormat="1" x14ac:dyDescent="0.3">
      <c r="A74" s="128">
        <v>2342</v>
      </c>
      <c r="B74" s="128">
        <v>57234</v>
      </c>
      <c r="C74" s="128"/>
      <c r="D74" s="188" t="s">
        <v>864</v>
      </c>
      <c r="E74" s="188" t="s">
        <v>390</v>
      </c>
      <c r="F74" s="188">
        <v>1557234</v>
      </c>
      <c r="G74" s="189">
        <v>42833</v>
      </c>
      <c r="H74" s="189">
        <v>42839</v>
      </c>
      <c r="I74" s="188">
        <v>6</v>
      </c>
      <c r="J74" s="190"/>
      <c r="K74" s="319">
        <v>850</v>
      </c>
      <c r="L74" s="190"/>
      <c r="M74" s="190">
        <v>285.25</v>
      </c>
      <c r="N74" s="190"/>
      <c r="O74" s="190"/>
      <c r="P74" s="190"/>
      <c r="Q74" s="190"/>
      <c r="R74" s="192">
        <f t="shared" ref="R74:R79" si="27">K74+M74+O74+Q74</f>
        <v>1135.25</v>
      </c>
      <c r="S74" s="192">
        <f t="shared" ref="S74:S79" si="28">L74+N74+J74+P74</f>
        <v>0</v>
      </c>
      <c r="T74" s="190">
        <f>IF(I74=0,(R74+S74/EERR!$D$2/1.19),(R74+S74/EERR!$D$2/1.19)/I74)</f>
        <v>189.20833333333334</v>
      </c>
      <c r="U74" s="192">
        <f>S74+R74*EERR!$D$2</f>
        <v>744428.83499999996</v>
      </c>
      <c r="V74" s="201">
        <f>VLOOKUP(F74,Buuteeq!$A$2:$L$49,12,FALSE)</f>
        <v>6</v>
      </c>
      <c r="W74" s="196">
        <f>SUMIF(Transbank!$A$2:$A$449,B74,Transbank!$L$2:$L$449)+SUMIF(Transbank!$A$2:$A$449,C74,Transbank!$L$2:$L$449)+(J74+N74)+(K74+O74)*EERR!$D$2</f>
        <v>744428.83499999996</v>
      </c>
      <c r="X74" s="202">
        <f>W74/EERR!$D$2</f>
        <v>1135.25</v>
      </c>
      <c r="Y74" s="196">
        <f t="shared" si="14"/>
        <v>0</v>
      </c>
      <c r="Z74" s="202">
        <f t="shared" ref="Z74:Z79" si="29">(J74+L74+N74)/1.19</f>
        <v>0</v>
      </c>
      <c r="AA74" s="202"/>
      <c r="AC74" s="45"/>
    </row>
    <row r="75" spans="1:29" s="187" customFormat="1" x14ac:dyDescent="0.3">
      <c r="A75" s="128">
        <v>2405</v>
      </c>
      <c r="B75" s="128">
        <v>69029</v>
      </c>
      <c r="C75" s="128"/>
      <c r="D75" s="188" t="s">
        <v>865</v>
      </c>
      <c r="E75" s="188" t="s">
        <v>390</v>
      </c>
      <c r="F75" s="188">
        <v>1569029</v>
      </c>
      <c r="G75" s="189">
        <v>42838</v>
      </c>
      <c r="H75" s="189">
        <v>42840</v>
      </c>
      <c r="I75" s="188">
        <v>2</v>
      </c>
      <c r="J75" s="190"/>
      <c r="K75" s="191"/>
      <c r="L75" s="190"/>
      <c r="M75" s="190">
        <v>418</v>
      </c>
      <c r="N75" s="190"/>
      <c r="O75" s="190"/>
      <c r="P75" s="190"/>
      <c r="Q75" s="190"/>
      <c r="R75" s="192">
        <f t="shared" si="27"/>
        <v>418</v>
      </c>
      <c r="S75" s="192">
        <f t="shared" si="28"/>
        <v>0</v>
      </c>
      <c r="T75" s="190">
        <f>IF(I75=0,(R75+S75/EERR!$D$2/1.19),(R75+S75/EERR!$D$2/1.19)/I75)</f>
        <v>209</v>
      </c>
      <c r="U75" s="192">
        <f>S75+R75*EERR!$D$2</f>
        <v>274099.32</v>
      </c>
      <c r="V75" s="201">
        <f>VLOOKUP(F75,Buuteeq!$A$2:$L$49,12,FALSE)</f>
        <v>2</v>
      </c>
      <c r="W75" s="196">
        <f>SUMIF(Transbank!$A$2:$A$449,B75,Transbank!$L$2:$L$449)+SUMIF(Transbank!$A$2:$A$449,C75,Transbank!$L$2:$L$449)+(J75+N75)+(K75+O75)*EERR!$D$2</f>
        <v>274099.32</v>
      </c>
      <c r="X75" s="202">
        <f>W75/EERR!$D$2</f>
        <v>418</v>
      </c>
      <c r="Y75" s="196">
        <f t="shared" si="14"/>
        <v>0</v>
      </c>
      <c r="Z75" s="202">
        <f t="shared" si="29"/>
        <v>0</v>
      </c>
      <c r="AA75" s="202"/>
      <c r="AC75" s="45"/>
    </row>
    <row r="76" spans="1:29" s="187" customFormat="1" x14ac:dyDescent="0.3">
      <c r="A76" s="128">
        <v>2373</v>
      </c>
      <c r="B76" s="128">
        <v>53277</v>
      </c>
      <c r="C76" s="128"/>
      <c r="D76" s="188" t="s">
        <v>866</v>
      </c>
      <c r="E76" s="188" t="s">
        <v>390</v>
      </c>
      <c r="F76" s="188">
        <v>1353277</v>
      </c>
      <c r="G76" s="189">
        <v>42843</v>
      </c>
      <c r="H76" s="189">
        <v>42846</v>
      </c>
      <c r="I76" s="188">
        <v>3</v>
      </c>
      <c r="J76" s="190"/>
      <c r="K76" s="191"/>
      <c r="L76" s="190"/>
      <c r="M76" s="190">
        <v>555.75</v>
      </c>
      <c r="N76" s="190"/>
      <c r="O76" s="190"/>
      <c r="P76" s="190"/>
      <c r="Q76" s="190"/>
      <c r="R76" s="192">
        <f t="shared" si="27"/>
        <v>555.75</v>
      </c>
      <c r="S76" s="192">
        <f t="shared" si="28"/>
        <v>0</v>
      </c>
      <c r="T76" s="190">
        <f>IF(I76=0,(R76+S76/EERR!$D$2/1.19),(R76+S76/EERR!$D$2/1.19)/I76)</f>
        <v>185.25</v>
      </c>
      <c r="U76" s="192">
        <f>S76+R76*EERR!$D$2</f>
        <v>364427.505</v>
      </c>
      <c r="V76" s="201">
        <f>VLOOKUP(F76,Buuteeq!$A$2:$L$49,12,FALSE)</f>
        <v>3</v>
      </c>
      <c r="W76" s="196">
        <f>SUMIF(Transbank!$A$2:$A$449,B76,Transbank!$L$2:$L$449)+SUMIF(Transbank!$A$2:$A$449,C76,Transbank!$L$2:$L$449)+(J76+N76)+(K76+O76)*EERR!$D$2</f>
        <v>364755.375</v>
      </c>
      <c r="X76" s="202">
        <f>W76/EERR!$D$2</f>
        <v>556.25</v>
      </c>
      <c r="Y76" s="196">
        <f t="shared" si="14"/>
        <v>327.86999999999534</v>
      </c>
      <c r="Z76" s="202">
        <f t="shared" si="29"/>
        <v>0</v>
      </c>
      <c r="AA76" s="202"/>
      <c r="AC76" s="45"/>
    </row>
    <row r="77" spans="1:29" s="187" customFormat="1" x14ac:dyDescent="0.3">
      <c r="A77" s="128">
        <v>2369</v>
      </c>
      <c r="B77" s="128">
        <v>48030</v>
      </c>
      <c r="C77" s="128"/>
      <c r="D77" s="188" t="s">
        <v>867</v>
      </c>
      <c r="E77" s="188" t="s">
        <v>390</v>
      </c>
      <c r="F77" s="188">
        <v>1548030</v>
      </c>
      <c r="G77" s="189">
        <v>42844</v>
      </c>
      <c r="H77" s="189">
        <v>42847</v>
      </c>
      <c r="I77" s="188">
        <v>3</v>
      </c>
      <c r="J77" s="190"/>
      <c r="K77" s="319">
        <v>370</v>
      </c>
      <c r="L77" s="190"/>
      <c r="M77" s="190">
        <v>185.25</v>
      </c>
      <c r="N77" s="190"/>
      <c r="O77" s="190"/>
      <c r="P77" s="190"/>
      <c r="Q77" s="190"/>
      <c r="R77" s="192">
        <f t="shared" si="27"/>
        <v>555.25</v>
      </c>
      <c r="S77" s="192">
        <f t="shared" si="28"/>
        <v>0</v>
      </c>
      <c r="T77" s="190">
        <f>IF(I77=0,(R77+S77/EERR!$D$2/1.19),(R77+S77/EERR!$D$2/1.19)/I77)</f>
        <v>185.08333333333334</v>
      </c>
      <c r="U77" s="192">
        <f>S77+R77*EERR!$D$2</f>
        <v>364099.63500000001</v>
      </c>
      <c r="V77" s="201">
        <f>VLOOKUP(F77,Buuteeq!$A$2:$L$49,12,FALSE)</f>
        <v>3</v>
      </c>
      <c r="W77" s="196">
        <f>SUMIF(Transbank!$A$2:$A$449,B77,Transbank!$L$2:$L$449)+SUMIF(Transbank!$A$2:$A$449,C77,Transbank!$L$2:$L$449)+(J77+N77)+(K77+O77)*EERR!$D$2</f>
        <v>364099.63500000001</v>
      </c>
      <c r="X77" s="202">
        <f>W77/EERR!$D$2</f>
        <v>555.25</v>
      </c>
      <c r="Y77" s="196">
        <f t="shared" si="14"/>
        <v>0</v>
      </c>
      <c r="Z77" s="202">
        <f t="shared" si="29"/>
        <v>0</v>
      </c>
      <c r="AA77" s="202"/>
      <c r="AC77" s="45"/>
    </row>
    <row r="78" spans="1:29" s="187" customFormat="1" x14ac:dyDescent="0.3">
      <c r="A78" s="128">
        <v>2372</v>
      </c>
      <c r="B78" s="128">
        <v>20088</v>
      </c>
      <c r="C78" s="128"/>
      <c r="D78" s="309" t="s">
        <v>836</v>
      </c>
      <c r="E78" s="188" t="s">
        <v>390</v>
      </c>
      <c r="F78" s="188">
        <v>1620088</v>
      </c>
      <c r="G78" s="189">
        <v>42849</v>
      </c>
      <c r="H78" s="189">
        <v>42850</v>
      </c>
      <c r="I78" s="188">
        <v>1</v>
      </c>
      <c r="J78" s="190"/>
      <c r="K78" s="191"/>
      <c r="L78" s="190"/>
      <c r="M78" s="190">
        <v>185.25</v>
      </c>
      <c r="N78" s="190"/>
      <c r="O78" s="190"/>
      <c r="P78" s="190"/>
      <c r="Q78" s="190"/>
      <c r="R78" s="192">
        <f t="shared" si="27"/>
        <v>185.25</v>
      </c>
      <c r="S78" s="192">
        <f t="shared" si="28"/>
        <v>0</v>
      </c>
      <c r="T78" s="190">
        <f>IF(I78=0,(R78+S78/EERR!$D$2/1.19),(R78+S78/EERR!$D$2/1.19)/I78)</f>
        <v>185.25</v>
      </c>
      <c r="U78" s="192">
        <f>S78+R78*EERR!$D$2</f>
        <v>121475.83500000001</v>
      </c>
      <c r="V78" s="201">
        <f>VLOOKUP(F78,Buuteeq!$A$2:$L$49,12,FALSE)</f>
        <v>1</v>
      </c>
      <c r="W78" s="196">
        <f>SUMIF(Transbank!$A$2:$A$449,B78,Transbank!$L$2:$L$449)+SUMIF(Transbank!$A$2:$A$449,C78,Transbank!$L$2:$L$449)+(J78+N78)+(K78+O78)*EERR!$D$2</f>
        <v>121311.90000000001</v>
      </c>
      <c r="X78" s="202">
        <f>W78/EERR!$D$2</f>
        <v>185</v>
      </c>
      <c r="Y78" s="196">
        <f t="shared" si="14"/>
        <v>-163.93499999999767</v>
      </c>
      <c r="Z78" s="202">
        <f t="shared" si="29"/>
        <v>0</v>
      </c>
      <c r="AA78" s="202"/>
      <c r="AC78" s="45"/>
    </row>
    <row r="79" spans="1:29" s="187" customFormat="1" x14ac:dyDescent="0.3">
      <c r="A79" s="128"/>
      <c r="B79" s="128"/>
      <c r="C79" s="128"/>
      <c r="D79" s="188" t="s">
        <v>868</v>
      </c>
      <c r="E79" s="188" t="s">
        <v>390</v>
      </c>
      <c r="F79" s="188">
        <v>1631465</v>
      </c>
      <c r="G79" s="189">
        <v>42853</v>
      </c>
      <c r="H79" s="189">
        <v>42855</v>
      </c>
      <c r="I79" s="188">
        <v>2</v>
      </c>
      <c r="J79" s="190"/>
      <c r="K79" s="191"/>
      <c r="L79" s="190"/>
      <c r="M79" s="190"/>
      <c r="N79" s="190">
        <v>330784</v>
      </c>
      <c r="O79" s="190"/>
      <c r="P79" s="190"/>
      <c r="Q79" s="190"/>
      <c r="R79" s="192">
        <f t="shared" si="27"/>
        <v>0</v>
      </c>
      <c r="S79" s="192">
        <f t="shared" si="28"/>
        <v>330784</v>
      </c>
      <c r="T79" s="190">
        <f>IF(I79=0,(R79+S79/EERR!$D$2/1.19),(R79+S79/EERR!$D$2/1.19)/I79)</f>
        <v>211.95119094394096</v>
      </c>
      <c r="U79" s="192">
        <f>S79+R79*EERR!$D$2</f>
        <v>330784</v>
      </c>
      <c r="V79" s="201">
        <f>VLOOKUP(F79,Buuteeq!$A$2:$L$49,12,FALSE)</f>
        <v>2</v>
      </c>
      <c r="W79" s="196">
        <f>SUMIF(Transbank!$A$2:$A$449,B79,Transbank!$L$2:$L$449)+SUMIF(Transbank!$A$2:$A$449,C79,Transbank!$L$2:$L$449)+(J79+N79)+(K79+O79)*EERR!$D$2</f>
        <v>330784</v>
      </c>
      <c r="X79" s="202">
        <f>W79/EERR!$D$2</f>
        <v>504.44383444657944</v>
      </c>
      <c r="Y79" s="196">
        <f t="shared" si="14"/>
        <v>0</v>
      </c>
      <c r="Z79" s="202">
        <f t="shared" si="29"/>
        <v>277969.74789915967</v>
      </c>
      <c r="AA79" s="202"/>
      <c r="AC79" s="45"/>
    </row>
    <row r="80" spans="1:29" x14ac:dyDescent="0.3">
      <c r="A80" s="36"/>
      <c r="B80" s="188"/>
      <c r="C80" s="188"/>
      <c r="D80" s="42"/>
      <c r="E80" s="42"/>
      <c r="F80" s="42"/>
      <c r="G80" s="49"/>
      <c r="H80" s="49"/>
      <c r="I80" s="50">
        <f t="shared" ref="I80:S80" si="30">SUM(I71:I79)</f>
        <v>24</v>
      </c>
      <c r="J80" s="50">
        <f t="shared" si="30"/>
        <v>0</v>
      </c>
      <c r="K80" s="50">
        <f t="shared" si="30"/>
        <v>1220</v>
      </c>
      <c r="L80" s="50">
        <f t="shared" si="30"/>
        <v>438910</v>
      </c>
      <c r="M80" s="50">
        <f t="shared" si="30"/>
        <v>1800.5</v>
      </c>
      <c r="N80" s="50">
        <f t="shared" si="30"/>
        <v>768843</v>
      </c>
      <c r="O80" s="50">
        <f t="shared" si="30"/>
        <v>0</v>
      </c>
      <c r="P80" s="50">
        <f t="shared" si="30"/>
        <v>0</v>
      </c>
      <c r="Q80" s="50">
        <f t="shared" si="30"/>
        <v>0</v>
      </c>
      <c r="R80" s="50">
        <f t="shared" si="30"/>
        <v>3020.5</v>
      </c>
      <c r="S80" s="50">
        <f t="shared" si="30"/>
        <v>1207753</v>
      </c>
      <c r="T80" s="50">
        <f>IF(I80=0,(R80+S80/EERR!$D$2/1.19),(R80+S80/EERR!$D$2/1.19)/I80)</f>
        <v>190.34355317370185</v>
      </c>
      <c r="U80" s="50">
        <f>SUM(U71:U79)</f>
        <v>3188415.67</v>
      </c>
      <c r="V80" s="192"/>
      <c r="W80" s="192">
        <f>SUM(W71:W79)</f>
        <v>3188579.605</v>
      </c>
      <c r="X80" s="192"/>
      <c r="Y80" s="196">
        <f t="shared" si="14"/>
        <v>163.93500000005588</v>
      </c>
      <c r="Z80" s="202"/>
      <c r="AA80" s="202"/>
      <c r="AB80" s="187"/>
      <c r="AC80" s="45"/>
    </row>
    <row r="81" spans="1:29" x14ac:dyDescent="0.3">
      <c r="A81" s="128"/>
      <c r="B81" s="128"/>
      <c r="C81" s="128"/>
      <c r="D81" s="188" t="s">
        <v>869</v>
      </c>
      <c r="E81" s="188" t="s">
        <v>171</v>
      </c>
      <c r="F81" s="188">
        <v>807954993</v>
      </c>
      <c r="G81" s="189">
        <v>42826</v>
      </c>
      <c r="H81" s="189">
        <v>42827</v>
      </c>
      <c r="I81" s="188">
        <v>1</v>
      </c>
      <c r="J81" s="190"/>
      <c r="K81" s="319">
        <v>195</v>
      </c>
      <c r="L81" s="190"/>
      <c r="M81" s="190"/>
      <c r="N81" s="190"/>
      <c r="O81" s="190"/>
      <c r="P81" s="190"/>
      <c r="Q81" s="190"/>
      <c r="R81" s="192">
        <f t="shared" ref="R81" si="31">K81+M81+O81+Q81</f>
        <v>195</v>
      </c>
      <c r="S81" s="192">
        <f t="shared" ref="S81" si="32">L81+N81+J81+P81</f>
        <v>0</v>
      </c>
      <c r="T81" s="190">
        <f>IF(I81=0,(R81+S81/EERR!$D$2/1.19),(R81+S81/EERR!$D$2/1.19)/I81)</f>
        <v>195</v>
      </c>
      <c r="U81" s="192">
        <f>S81+R81*EERR!$D$2</f>
        <v>127869.3</v>
      </c>
      <c r="V81" s="187">
        <f>VLOOKUP(F81,Expedia!$A$5:$J$25,10,FALSE)</f>
        <v>1</v>
      </c>
      <c r="W81" s="196">
        <f>SUMIF(Transbank!$A$2:$A$449,B81,Transbank!$L$2:$L$449)+SUMIF(Transbank!$A$2:$A$449,C81,Transbank!$L$2:$L$449)+(J81+N81)+(K81+O81)*EERR!$D$2</f>
        <v>127869.3</v>
      </c>
      <c r="X81" s="196">
        <f>W81/EERR!$D$2</f>
        <v>195</v>
      </c>
      <c r="Y81" s="196">
        <f t="shared" si="14"/>
        <v>0</v>
      </c>
      <c r="Z81" s="196">
        <f t="shared" ref="Z81" si="33">(J81+L81+N81)/1.19</f>
        <v>0</v>
      </c>
      <c r="AA81" s="196">
        <f t="shared" ref="AA81" si="34">IF(AB81="b",(J81+L81+N81)*0.19,0)</f>
        <v>0</v>
      </c>
      <c r="AB81" s="187">
        <f>IFERROR(VLOOKUP(A81,#REF!,8,FALSE),0)</f>
        <v>0</v>
      </c>
      <c r="AC81" s="45">
        <f t="shared" ref="AC81:AC92" si="35">R81-AB81</f>
        <v>195</v>
      </c>
    </row>
    <row r="82" spans="1:29" s="187" customFormat="1" x14ac:dyDescent="0.3">
      <c r="A82" s="128"/>
      <c r="B82" s="128"/>
      <c r="C82" s="128"/>
      <c r="D82" s="188" t="s">
        <v>870</v>
      </c>
      <c r="E82" s="188" t="s">
        <v>171</v>
      </c>
      <c r="F82" s="188">
        <v>807954994</v>
      </c>
      <c r="G82" s="189">
        <v>42826</v>
      </c>
      <c r="H82" s="189">
        <v>42827</v>
      </c>
      <c r="I82" s="188">
        <v>1</v>
      </c>
      <c r="J82" s="190"/>
      <c r="K82" s="319">
        <v>195</v>
      </c>
      <c r="L82" s="190"/>
      <c r="M82" s="190"/>
      <c r="N82" s="190"/>
      <c r="O82" s="190"/>
      <c r="P82" s="190"/>
      <c r="Q82" s="190"/>
      <c r="R82" s="192">
        <f t="shared" ref="R82:R84" si="36">K82+M82+O82+Q82</f>
        <v>195</v>
      </c>
      <c r="S82" s="192">
        <f t="shared" ref="S82:S84" si="37">L82+N82+J82+P82</f>
        <v>0</v>
      </c>
      <c r="T82" s="190">
        <f>IF(I82=0,(R82+S82/EERR!$D$2/1.19),(R82+S82/EERR!$D$2/1.19)/I82)</f>
        <v>195</v>
      </c>
      <c r="U82" s="192">
        <f>S82+R82*EERR!$D$2</f>
        <v>127869.3</v>
      </c>
      <c r="V82" s="187">
        <f>VLOOKUP(F82,Expedia!$A$5:$J$25,10,FALSE)</f>
        <v>1</v>
      </c>
      <c r="W82" s="196">
        <f>SUMIF(Transbank!$A$2:$A$449,B82,Transbank!$L$2:$L$449)+SUMIF(Transbank!$A$2:$A$449,C82,Transbank!$L$2:$L$449)+(J82+N82)+(K82+O82)*EERR!$D$2</f>
        <v>127869.3</v>
      </c>
      <c r="X82" s="196">
        <f>W82/EERR!$D$2</f>
        <v>195</v>
      </c>
      <c r="Y82" s="196">
        <f t="shared" si="14"/>
        <v>0</v>
      </c>
      <c r="Z82" s="196"/>
      <c r="AA82" s="196"/>
      <c r="AC82" s="45"/>
    </row>
    <row r="83" spans="1:29" s="187" customFormat="1" x14ac:dyDescent="0.3">
      <c r="A83" s="128">
        <v>2338</v>
      </c>
      <c r="B83" s="128">
        <v>11287</v>
      </c>
      <c r="C83" s="128"/>
      <c r="D83" s="188" t="s">
        <v>871</v>
      </c>
      <c r="E83" s="188" t="s">
        <v>171</v>
      </c>
      <c r="F83" s="188">
        <v>819611287</v>
      </c>
      <c r="G83" s="189">
        <v>42829</v>
      </c>
      <c r="H83" s="189">
        <v>42832</v>
      </c>
      <c r="I83" s="188">
        <v>3</v>
      </c>
      <c r="J83" s="190"/>
      <c r="K83" s="191"/>
      <c r="L83" s="190"/>
      <c r="M83" s="190">
        <v>540</v>
      </c>
      <c r="N83" s="190"/>
      <c r="O83" s="190"/>
      <c r="P83" s="190"/>
      <c r="Q83" s="190"/>
      <c r="R83" s="192">
        <f t="shared" si="36"/>
        <v>540</v>
      </c>
      <c r="S83" s="192">
        <f t="shared" si="37"/>
        <v>0</v>
      </c>
      <c r="T83" s="190">
        <f>IF(I83=0,(R83+S83/EERR!$D$2/1.19),(R83+S83/EERR!$D$2/1.19)/I83)</f>
        <v>180</v>
      </c>
      <c r="U83" s="192">
        <f>S83+R83*EERR!$D$2</f>
        <v>354099.6</v>
      </c>
      <c r="V83" s="187">
        <f>VLOOKUP(F83,Expedia!$A$5:$J$25,10,FALSE)</f>
        <v>3</v>
      </c>
      <c r="W83" s="196">
        <f>SUMIF(Transbank!$A$2:$A$449,B83,Transbank!$L$2:$L$449)+SUMIF(Transbank!$A$2:$A$449,C83,Transbank!$L$2:$L$449)+(J83+N83)+(K83+O83)*EERR!$D$2</f>
        <v>354099.6</v>
      </c>
      <c r="X83" s="196">
        <f>W83/EERR!$D$2</f>
        <v>540</v>
      </c>
      <c r="Y83" s="196">
        <f t="shared" si="14"/>
        <v>0</v>
      </c>
      <c r="Z83" s="196"/>
      <c r="AA83" s="196"/>
      <c r="AC83" s="45"/>
    </row>
    <row r="84" spans="1:29" s="187" customFormat="1" x14ac:dyDescent="0.3">
      <c r="A84" s="128">
        <v>2337</v>
      </c>
      <c r="B84" s="128">
        <v>11186</v>
      </c>
      <c r="C84" s="128"/>
      <c r="D84" s="188" t="s">
        <v>872</v>
      </c>
      <c r="E84" s="188" t="s">
        <v>171</v>
      </c>
      <c r="F84" s="188">
        <v>819611186</v>
      </c>
      <c r="G84" s="189">
        <v>42829</v>
      </c>
      <c r="H84" s="189">
        <v>42832</v>
      </c>
      <c r="I84" s="188">
        <v>3</v>
      </c>
      <c r="J84" s="190"/>
      <c r="K84" s="191"/>
      <c r="L84" s="190"/>
      <c r="M84" s="190">
        <v>540</v>
      </c>
      <c r="N84" s="190"/>
      <c r="O84" s="190"/>
      <c r="P84" s="190"/>
      <c r="Q84" s="190"/>
      <c r="R84" s="192">
        <f t="shared" si="36"/>
        <v>540</v>
      </c>
      <c r="S84" s="192">
        <f t="shared" si="37"/>
        <v>0</v>
      </c>
      <c r="T84" s="190">
        <f>IF(I84=0,(R84+S84/EERR!$D$2/1.19),(R84+S84/EERR!$D$2/1.19)/I84)</f>
        <v>180</v>
      </c>
      <c r="U84" s="192">
        <f>S84+R84*EERR!$D$2</f>
        <v>354099.6</v>
      </c>
      <c r="V84" s="187">
        <f>VLOOKUP(F84,Expedia!$A$5:$J$25,10,FALSE)</f>
        <v>3</v>
      </c>
      <c r="W84" s="196">
        <f>SUMIF(Transbank!$A$2:$A$449,B84,Transbank!$L$2:$L$449)+SUMIF(Transbank!$A$2:$A$449,C84,Transbank!$L$2:$L$449)+(J84+N84)+(K84+O84)*EERR!$D$2</f>
        <v>354099.6</v>
      </c>
      <c r="X84" s="196">
        <f>W84/EERR!$D$2</f>
        <v>540</v>
      </c>
      <c r="Y84" s="196">
        <f t="shared" si="14"/>
        <v>0</v>
      </c>
      <c r="Z84" s="196"/>
      <c r="AA84" s="196"/>
      <c r="AC84" s="45"/>
    </row>
    <row r="85" spans="1:29" s="187" customFormat="1" x14ac:dyDescent="0.3">
      <c r="A85" s="128">
        <v>2357</v>
      </c>
      <c r="B85" s="128">
        <v>54947</v>
      </c>
      <c r="C85" s="128"/>
      <c r="D85" s="188" t="s">
        <v>873</v>
      </c>
      <c r="E85" s="188" t="s">
        <v>171</v>
      </c>
      <c r="F85" s="188">
        <v>825154947</v>
      </c>
      <c r="G85" s="189">
        <v>42839</v>
      </c>
      <c r="H85" s="189">
        <v>42840</v>
      </c>
      <c r="I85" s="188">
        <v>1</v>
      </c>
      <c r="J85" s="190"/>
      <c r="K85" s="191"/>
      <c r="L85" s="190"/>
      <c r="M85" s="190">
        <v>220</v>
      </c>
      <c r="N85" s="190"/>
      <c r="O85" s="190"/>
      <c r="P85" s="190"/>
      <c r="Q85" s="190"/>
      <c r="R85" s="192">
        <f t="shared" ref="R85:R90" si="38">K85+M85+O85+Q85</f>
        <v>220</v>
      </c>
      <c r="S85" s="192">
        <f t="shared" ref="S85:S89" si="39">L85+N85+J85+P85</f>
        <v>0</v>
      </c>
      <c r="T85" s="190">
        <f>IF(I85=0,(R85+S85/EERR!$D$2/1.19),(R85+S85/EERR!$D$2/1.19)/I85)</f>
        <v>220</v>
      </c>
      <c r="U85" s="192">
        <f>S85+R85*EERR!$D$2</f>
        <v>144262.79999999999</v>
      </c>
      <c r="V85" s="187">
        <f>VLOOKUP(F85,Expedia!$A$5:$J$25,10,FALSE)</f>
        <v>1</v>
      </c>
      <c r="W85" s="196">
        <f>SUMIF(Transbank!$A$2:$A$449,B85,Transbank!$L$2:$L$449)+SUMIF(Transbank!$A$2:$A$449,C85,Transbank!$L$2:$L$449)+(J85+N85)+(K85+O85)*EERR!$D$2</f>
        <v>144262.79999999999</v>
      </c>
      <c r="X85" s="196">
        <f>W85/EERR!$D$2</f>
        <v>219.99999999999997</v>
      </c>
      <c r="Y85" s="196">
        <f t="shared" si="14"/>
        <v>0</v>
      </c>
      <c r="Z85" s="196">
        <f t="shared" ref="Z85:Z88" si="40">(J85+L85+N85)/1.19</f>
        <v>0</v>
      </c>
      <c r="AA85" s="196">
        <f t="shared" ref="AA85:AA89" si="41">IF(AB85="b",(J85+L85+N85)*0.19,0)</f>
        <v>0</v>
      </c>
      <c r="AB85" s="187">
        <f>IFERROR(VLOOKUP(A85,#REF!,8,FALSE),0)</f>
        <v>0</v>
      </c>
      <c r="AC85" s="45">
        <f t="shared" si="35"/>
        <v>220</v>
      </c>
    </row>
    <row r="86" spans="1:29" s="187" customFormat="1" x14ac:dyDescent="0.3">
      <c r="A86" s="128">
        <v>2361</v>
      </c>
      <c r="B86" s="128">
        <v>89660</v>
      </c>
      <c r="C86" s="128"/>
      <c r="D86" s="188" t="s">
        <v>874</v>
      </c>
      <c r="E86" s="188" t="s">
        <v>171</v>
      </c>
      <c r="F86" s="188">
        <v>778889660</v>
      </c>
      <c r="G86" s="189">
        <v>42840</v>
      </c>
      <c r="H86" s="189">
        <v>42843</v>
      </c>
      <c r="I86" s="188">
        <v>3</v>
      </c>
      <c r="J86" s="190"/>
      <c r="K86" s="191"/>
      <c r="L86" s="190"/>
      <c r="M86" s="190">
        <v>610</v>
      </c>
      <c r="N86" s="190"/>
      <c r="O86" s="190"/>
      <c r="P86" s="190"/>
      <c r="Q86" s="190"/>
      <c r="R86" s="192">
        <f t="shared" si="38"/>
        <v>610</v>
      </c>
      <c r="S86" s="192">
        <f t="shared" si="39"/>
        <v>0</v>
      </c>
      <c r="T86" s="190">
        <f>IF(I86=0,(R86+S86/EERR!$D$2/1.19),(R86+S86/EERR!$D$2/1.19)/I86)</f>
        <v>203.33333333333334</v>
      </c>
      <c r="U86" s="192">
        <f>S86+R86*EERR!$D$2</f>
        <v>400001.4</v>
      </c>
      <c r="V86" s="187">
        <f>VLOOKUP(F86,Expedia!$A$5:$J$25,10,FALSE)</f>
        <v>3</v>
      </c>
      <c r="W86" s="196">
        <f>SUMIF(Transbank!$A$2:$A$449,B86,Transbank!$L$2:$L$449)+SUMIF(Transbank!$A$2:$A$449,C86,Transbank!$L$2:$L$449)+(J86+N86)+(K86+O86)*EERR!$D$2</f>
        <v>400001.4</v>
      </c>
      <c r="X86" s="196">
        <f>W86/EERR!$D$2</f>
        <v>610</v>
      </c>
      <c r="Y86" s="196">
        <f t="shared" si="14"/>
        <v>0</v>
      </c>
      <c r="Z86" s="196">
        <f t="shared" si="40"/>
        <v>0</v>
      </c>
      <c r="AA86" s="196">
        <f t="shared" si="41"/>
        <v>0</v>
      </c>
      <c r="AB86" s="187">
        <f>IFERROR(VLOOKUP(A86,#REF!,8,FALSE),0)</f>
        <v>0</v>
      </c>
      <c r="AC86" s="45"/>
    </row>
    <row r="87" spans="1:29" s="187" customFormat="1" x14ac:dyDescent="0.3">
      <c r="A87" s="128">
        <v>2366</v>
      </c>
      <c r="B87" s="128">
        <v>5635</v>
      </c>
      <c r="C87" s="128"/>
      <c r="D87" s="188" t="s">
        <v>875</v>
      </c>
      <c r="E87" s="188" t="s">
        <v>171</v>
      </c>
      <c r="F87" s="188">
        <v>761505635</v>
      </c>
      <c r="G87" s="189">
        <v>42840</v>
      </c>
      <c r="H87" s="189">
        <v>42843</v>
      </c>
      <c r="I87" s="188">
        <v>3</v>
      </c>
      <c r="J87" s="190"/>
      <c r="K87" s="191"/>
      <c r="L87" s="190"/>
      <c r="M87" s="190">
        <v>610</v>
      </c>
      <c r="N87" s="190"/>
      <c r="O87" s="190"/>
      <c r="P87" s="190"/>
      <c r="Q87" s="190"/>
      <c r="R87" s="192">
        <f t="shared" si="38"/>
        <v>610</v>
      </c>
      <c r="S87" s="192">
        <f t="shared" si="39"/>
        <v>0</v>
      </c>
      <c r="T87" s="190">
        <f>IF(I87=0,(R87+S87/EERR!$D$2/1.19),(R87+S87/EERR!$D$2/1.19)/I87)</f>
        <v>203.33333333333334</v>
      </c>
      <c r="U87" s="192">
        <f>S87+R87*EERR!$D$2</f>
        <v>400001.4</v>
      </c>
      <c r="V87" s="187">
        <f>VLOOKUP(F87,Expedia!$A$5:$J$25,10,FALSE)</f>
        <v>3</v>
      </c>
      <c r="W87" s="196">
        <f>SUMIF(Transbank!$A$2:$A$449,B87,Transbank!$L$2:$L$449)+SUMIF(Transbank!$A$2:$A$449,C87,Transbank!$L$2:$L$449)+(J87+N87)+(K87+O87)*EERR!$D$2</f>
        <v>400001.4</v>
      </c>
      <c r="X87" s="196">
        <f>W87/EERR!$D$2</f>
        <v>610</v>
      </c>
      <c r="Y87" s="196">
        <f t="shared" si="14"/>
        <v>0</v>
      </c>
      <c r="Z87" s="196">
        <f t="shared" si="40"/>
        <v>0</v>
      </c>
      <c r="AA87" s="196">
        <f t="shared" si="41"/>
        <v>0</v>
      </c>
      <c r="AB87" s="187">
        <f>IFERROR(VLOOKUP(A87,#REF!,8,FALSE),0)</f>
        <v>0</v>
      </c>
      <c r="AC87" s="45"/>
    </row>
    <row r="88" spans="1:29" s="187" customFormat="1" x14ac:dyDescent="0.3">
      <c r="A88" s="128">
        <v>2374</v>
      </c>
      <c r="B88" s="128">
        <v>61929</v>
      </c>
      <c r="C88" s="128"/>
      <c r="D88" s="188" t="s">
        <v>876</v>
      </c>
      <c r="E88" s="188" t="s">
        <v>171</v>
      </c>
      <c r="F88" s="188">
        <v>783161929</v>
      </c>
      <c r="G88" s="189">
        <v>42846</v>
      </c>
      <c r="H88" s="189">
        <v>42847</v>
      </c>
      <c r="I88" s="188">
        <v>1</v>
      </c>
      <c r="J88" s="190"/>
      <c r="K88" s="191"/>
      <c r="L88" s="190"/>
      <c r="M88" s="190">
        <v>175.5</v>
      </c>
      <c r="N88" s="190"/>
      <c r="O88" s="190"/>
      <c r="P88" s="190"/>
      <c r="Q88" s="190"/>
      <c r="R88" s="192">
        <f t="shared" si="38"/>
        <v>175.5</v>
      </c>
      <c r="S88" s="192">
        <f t="shared" si="39"/>
        <v>0</v>
      </c>
      <c r="T88" s="190">
        <f>IF(I88=0,(R88+S88/EERR!$D$2/1.19),(R88+S88/EERR!$D$2/1.19)/I88)</f>
        <v>175.5</v>
      </c>
      <c r="U88" s="192">
        <f>S88+R88*EERR!$D$2</f>
        <v>115082.37</v>
      </c>
      <c r="V88" s="187">
        <f>VLOOKUP(F88,Expedia!$A$5:$J$25,10,FALSE)</f>
        <v>1</v>
      </c>
      <c r="W88" s="196">
        <f>SUMIF(Transbank!$A$2:$A$449,B88,Transbank!$L$2:$L$449)+SUMIF(Transbank!$A$2:$A$449,C88,Transbank!$L$2:$L$449)+(J88+N88)+(K88+O88)*EERR!$D$2</f>
        <v>115410.24000000001</v>
      </c>
      <c r="X88" s="196">
        <f>W88/EERR!$D$2</f>
        <v>176</v>
      </c>
      <c r="Y88" s="196">
        <f t="shared" si="14"/>
        <v>327.8700000000099</v>
      </c>
      <c r="Z88" s="196">
        <f t="shared" si="40"/>
        <v>0</v>
      </c>
      <c r="AA88" s="196">
        <f t="shared" si="41"/>
        <v>0</v>
      </c>
      <c r="AB88" s="187">
        <f>IFERROR(VLOOKUP(A88,#REF!,8,FALSE),0)</f>
        <v>0</v>
      </c>
      <c r="AC88" s="45"/>
    </row>
    <row r="89" spans="1:29" s="187" customFormat="1" x14ac:dyDescent="0.3">
      <c r="A89" s="128">
        <v>2377</v>
      </c>
      <c r="B89" s="128">
        <v>36390</v>
      </c>
      <c r="C89" s="128"/>
      <c r="D89" s="188" t="s">
        <v>877</v>
      </c>
      <c r="E89" s="188" t="s">
        <v>171</v>
      </c>
      <c r="F89" s="188">
        <v>813736390</v>
      </c>
      <c r="G89" s="189">
        <v>42847</v>
      </c>
      <c r="H89" s="189">
        <v>42848</v>
      </c>
      <c r="I89" s="188">
        <v>1</v>
      </c>
      <c r="J89" s="190"/>
      <c r="K89" s="191"/>
      <c r="L89" s="190"/>
      <c r="M89" s="190">
        <v>195</v>
      </c>
      <c r="N89" s="190"/>
      <c r="O89" s="190"/>
      <c r="P89" s="190"/>
      <c r="Q89" s="190"/>
      <c r="R89" s="192">
        <f t="shared" si="38"/>
        <v>195</v>
      </c>
      <c r="S89" s="192">
        <f t="shared" si="39"/>
        <v>0</v>
      </c>
      <c r="T89" s="190">
        <f>IF(I89=0,(R89+S89/EERR!$D$2/1.19),(R89+S89/EERR!$D$2/1.19)/I89)</f>
        <v>195</v>
      </c>
      <c r="U89" s="192">
        <f>S89+R89*EERR!$D$2</f>
        <v>127869.3</v>
      </c>
      <c r="V89" s="187">
        <f>VLOOKUP(F89,Expedia!$A$5:$J$25,10,FALSE)</f>
        <v>1</v>
      </c>
      <c r="W89" s="196">
        <f>SUMIF(Transbank!$A$2:$A$449,B89,Transbank!$L$2:$L$449)+SUMIF(Transbank!$A$2:$A$449,C89,Transbank!$L$2:$L$449)+(J89+N89)+(K89+O89)*EERR!$D$2</f>
        <v>127869.3</v>
      </c>
      <c r="X89" s="196">
        <f>W89/EERR!$D$2</f>
        <v>195</v>
      </c>
      <c r="Y89" s="196">
        <f t="shared" si="14"/>
        <v>0</v>
      </c>
      <c r="Z89" s="196">
        <f>(J89+L89+N89)/1.19</f>
        <v>0</v>
      </c>
      <c r="AA89" s="196">
        <f t="shared" si="41"/>
        <v>0</v>
      </c>
      <c r="AB89" s="187">
        <f>IFERROR(VLOOKUP(A89,#REF!,8,FALSE),0)</f>
        <v>0</v>
      </c>
      <c r="AC89" s="45"/>
    </row>
    <row r="90" spans="1:29" s="187" customFormat="1" x14ac:dyDescent="0.3">
      <c r="A90" s="128">
        <v>2381</v>
      </c>
      <c r="B90" s="128"/>
      <c r="C90" s="128"/>
      <c r="D90" s="188" t="s">
        <v>878</v>
      </c>
      <c r="E90" s="188" t="s">
        <v>171</v>
      </c>
      <c r="F90" s="188">
        <v>780356196</v>
      </c>
      <c r="G90" s="189">
        <v>42848</v>
      </c>
      <c r="H90" s="189">
        <v>42852</v>
      </c>
      <c r="I90" s="188">
        <v>4</v>
      </c>
      <c r="J90" s="190"/>
      <c r="K90" s="319">
        <v>780</v>
      </c>
      <c r="L90" s="190"/>
      <c r="M90" s="190"/>
      <c r="N90" s="190"/>
      <c r="O90" s="190"/>
      <c r="P90" s="190"/>
      <c r="Q90" s="190"/>
      <c r="R90" s="192">
        <f t="shared" si="38"/>
        <v>780</v>
      </c>
      <c r="S90" s="192">
        <f t="shared" ref="S90:S91" si="42">L90+N90+J90+P90</f>
        <v>0</v>
      </c>
      <c r="T90" s="190">
        <f>IF(I90=0,(R90+S90/EERR!$D$2/1.19),(R90+S90/EERR!$D$2/1.19)/I90)</f>
        <v>195</v>
      </c>
      <c r="U90" s="192">
        <f>S90+R90*EERR!$D$2</f>
        <v>511477.2</v>
      </c>
      <c r="V90" s="187">
        <f>VLOOKUP(F90,Expedia!$A$5:$J$25,10,FALSE)</f>
        <v>4</v>
      </c>
      <c r="W90" s="196">
        <f>SUMIF(Transbank!$A$2:$A$449,B90,Transbank!$L$2:$L$449)+SUMIF(Transbank!$A$2:$A$449,C90,Transbank!$L$2:$L$449)+(J90+N90)+(K90+O90)*EERR!$D$2</f>
        <v>511477.2</v>
      </c>
      <c r="X90" s="196">
        <f>W90/EERR!$D$2</f>
        <v>780</v>
      </c>
      <c r="Y90" s="196">
        <f t="shared" si="14"/>
        <v>0</v>
      </c>
      <c r="Z90" s="196"/>
      <c r="AA90" s="196"/>
      <c r="AC90" s="45">
        <f t="shared" si="35"/>
        <v>780</v>
      </c>
    </row>
    <row r="91" spans="1:29" s="187" customFormat="1" x14ac:dyDescent="0.3">
      <c r="A91" s="128">
        <v>2382</v>
      </c>
      <c r="B91" s="128"/>
      <c r="C91" s="128"/>
      <c r="D91" s="188" t="s">
        <v>878</v>
      </c>
      <c r="E91" s="188" t="s">
        <v>171</v>
      </c>
      <c r="F91" s="188">
        <v>780356194</v>
      </c>
      <c r="G91" s="189">
        <v>42848</v>
      </c>
      <c r="H91" s="189">
        <v>42852</v>
      </c>
      <c r="I91" s="188">
        <v>4</v>
      </c>
      <c r="J91" s="190"/>
      <c r="K91" s="319">
        <v>780</v>
      </c>
      <c r="L91" s="190"/>
      <c r="M91" s="190"/>
      <c r="N91" s="190"/>
      <c r="O91" s="190"/>
      <c r="P91" s="190"/>
      <c r="Q91" s="190"/>
      <c r="R91" s="192">
        <f t="shared" ref="R91" si="43">K91+M91+O91+Q91</f>
        <v>780</v>
      </c>
      <c r="S91" s="192">
        <f t="shared" si="42"/>
        <v>0</v>
      </c>
      <c r="T91" s="190">
        <f>IF(I91=0,(R91+S91/EERR!$D$2/1.19),(R91+S91/EERR!$D$2/1.19)/I91)</f>
        <v>195</v>
      </c>
      <c r="U91" s="192">
        <f>S91+R91*EERR!$D$2</f>
        <v>511477.2</v>
      </c>
      <c r="V91" s="187">
        <f>VLOOKUP(F91,Expedia!$A$5:$J$25,10,FALSE)</f>
        <v>4</v>
      </c>
      <c r="W91" s="196">
        <f>SUMIF(Transbank!$A$2:$A$449,B91,Transbank!$L$2:$L$449)+SUMIF(Transbank!$A$2:$A$449,C91,Transbank!$L$2:$L$449)+(J91+N91)+(K91+O91)*EERR!$D$2</f>
        <v>511477.2</v>
      </c>
      <c r="X91" s="196">
        <f>W91/EERR!$D$2</f>
        <v>780</v>
      </c>
      <c r="Y91" s="196">
        <f t="shared" si="14"/>
        <v>0</v>
      </c>
      <c r="Z91" s="196"/>
      <c r="AA91" s="196"/>
      <c r="AC91" s="45">
        <f t="shared" si="35"/>
        <v>780</v>
      </c>
    </row>
    <row r="92" spans="1:29" s="187" customFormat="1" x14ac:dyDescent="0.3">
      <c r="A92" s="128">
        <v>2396</v>
      </c>
      <c r="B92" s="128">
        <v>23187</v>
      </c>
      <c r="C92" s="128"/>
      <c r="D92" s="188" t="s">
        <v>1488</v>
      </c>
      <c r="E92" s="188" t="s">
        <v>171</v>
      </c>
      <c r="F92" s="187">
        <v>823423187</v>
      </c>
      <c r="G92" s="189">
        <v>42855</v>
      </c>
      <c r="H92" s="189">
        <v>42860</v>
      </c>
      <c r="I92" s="188">
        <v>5</v>
      </c>
      <c r="J92" s="190"/>
      <c r="K92" s="114">
        <v>1000</v>
      </c>
      <c r="L92" s="190"/>
      <c r="M92" s="190"/>
      <c r="N92" s="190"/>
      <c r="O92" s="190"/>
      <c r="P92" s="190"/>
      <c r="Q92" s="190"/>
      <c r="R92" s="192">
        <f t="shared" ref="R92" si="44">K92+M92+O92+Q92</f>
        <v>1000</v>
      </c>
      <c r="S92" s="192">
        <f t="shared" ref="S92" si="45">L92+N92+J92+P92</f>
        <v>0</v>
      </c>
      <c r="T92" s="190">
        <f>IF(I92=0,(R92+S92/EERR!$D$2/1.19),(R92+S92/EERR!$D$2/1.19)/I92)</f>
        <v>200</v>
      </c>
      <c r="U92" s="192">
        <f>S92+R92*EERR!$D$2</f>
        <v>655740</v>
      </c>
      <c r="V92" s="187">
        <f>VLOOKUP(F92,Expedia!$A$5:$J$25,10,FALSE)</f>
        <v>5</v>
      </c>
      <c r="W92" s="196">
        <f>SUMIF(Transbank!$A$2:$A$449,B92,Transbank!$L$2:$L$449)+SUMIF(Transbank!$A$2:$A$449,C92,Transbank!$L$2:$L$449)+(J92+N92)+(K92+O92)*EERR!$D$2</f>
        <v>655740</v>
      </c>
      <c r="X92" s="196">
        <f>W92/EERR!$D$2</f>
        <v>1000</v>
      </c>
      <c r="Y92" s="196">
        <f t="shared" ref="Y92" si="46">+W92-U92</f>
        <v>0</v>
      </c>
      <c r="Z92" s="196"/>
      <c r="AA92" s="196"/>
      <c r="AC92" s="45">
        <f t="shared" si="35"/>
        <v>1000</v>
      </c>
    </row>
    <row r="93" spans="1:29" x14ac:dyDescent="0.3">
      <c r="A93" s="36"/>
      <c r="B93" s="188"/>
      <c r="C93" s="188"/>
      <c r="D93" s="42"/>
      <c r="E93" s="42"/>
      <c r="F93" s="42"/>
      <c r="G93" s="43"/>
      <c r="H93" s="43"/>
      <c r="I93" s="42">
        <f t="shared" ref="I93:O93" si="47">SUM(I81:I92)</f>
        <v>30</v>
      </c>
      <c r="J93" s="42">
        <f t="shared" si="47"/>
        <v>0</v>
      </c>
      <c r="K93" s="42">
        <f t="shared" si="47"/>
        <v>2950</v>
      </c>
      <c r="L93" s="42">
        <f t="shared" si="47"/>
        <v>0</v>
      </c>
      <c r="M93" s="42">
        <f t="shared" si="47"/>
        <v>2890.5</v>
      </c>
      <c r="N93" s="42">
        <f t="shared" si="47"/>
        <v>0</v>
      </c>
      <c r="O93" s="42">
        <f t="shared" si="47"/>
        <v>0</v>
      </c>
      <c r="P93" s="42"/>
      <c r="Q93" s="42"/>
      <c r="R93" s="50">
        <f>SUM(R81:R92)</f>
        <v>5840.5</v>
      </c>
      <c r="S93" s="50">
        <f>SUM(S81:S92)</f>
        <v>0</v>
      </c>
      <c r="T93" s="50">
        <f>IF(I93=0,(R93+S93/EERR!$D$2/1.19),(R93+S93/EERR!$D$2/1.19)/I93)</f>
        <v>194.68333333333334</v>
      </c>
      <c r="U93" s="50">
        <f>SUM(U81:U92)</f>
        <v>3829849.47</v>
      </c>
      <c r="V93" s="192"/>
      <c r="W93" s="192">
        <f>SUM(W81:W92)</f>
        <v>3830177.3400000003</v>
      </c>
      <c r="X93" s="192"/>
      <c r="Y93" s="196">
        <f t="shared" si="14"/>
        <v>327.87000000011176</v>
      </c>
      <c r="Z93" s="196"/>
      <c r="AA93" s="196"/>
      <c r="AB93" s="187"/>
      <c r="AC93" s="187"/>
    </row>
    <row r="94" spans="1:29" s="187" customFormat="1" x14ac:dyDescent="0.3">
      <c r="A94" s="188"/>
      <c r="B94" s="188"/>
      <c r="C94" s="188"/>
      <c r="D94" s="188"/>
      <c r="E94" s="188"/>
      <c r="F94" s="188"/>
      <c r="G94" s="189"/>
      <c r="H94" s="189"/>
      <c r="I94" s="188"/>
      <c r="J94" s="190"/>
      <c r="K94" s="191"/>
      <c r="L94" s="190"/>
      <c r="M94" s="190"/>
      <c r="N94" s="190"/>
      <c r="O94" s="190"/>
      <c r="P94" s="190"/>
      <c r="Q94" s="190"/>
      <c r="R94" s="192"/>
      <c r="S94" s="192"/>
      <c r="T94" s="190">
        <f>IF(I94=0,(R94+S94/EERR!$D$2/1.19),(R94+S94/EERR!$D$2/1.19)/I94)</f>
        <v>0</v>
      </c>
      <c r="U94" s="188"/>
      <c r="W94" s="196"/>
      <c r="X94" s="196"/>
      <c r="Y94" s="196">
        <f t="shared" si="14"/>
        <v>0</v>
      </c>
      <c r="Z94" s="196"/>
      <c r="AA94" s="196"/>
    </row>
    <row r="95" spans="1:29" x14ac:dyDescent="0.3">
      <c r="A95" s="159"/>
      <c r="B95" s="188"/>
      <c r="C95" s="188"/>
      <c r="D95" s="159"/>
      <c r="E95" s="159"/>
      <c r="F95" s="159"/>
      <c r="G95" s="160"/>
      <c r="H95" s="160"/>
      <c r="I95" s="159"/>
      <c r="J95" s="39"/>
      <c r="K95" s="40"/>
      <c r="L95" s="39"/>
      <c r="M95" s="39"/>
      <c r="N95" s="39"/>
      <c r="O95" s="39"/>
      <c r="P95" s="190"/>
      <c r="Q95" s="190"/>
      <c r="R95" s="47"/>
      <c r="S95" s="47">
        <f t="shared" ref="S95" si="48">L95+N95+J95</f>
        <v>0</v>
      </c>
      <c r="T95" s="190">
        <f>IF(I95=0,(R95+S95/EERR!$D$2/1.19),(R95+S95/EERR!$D$2/1.19)/I95)</f>
        <v>0</v>
      </c>
      <c r="U95" s="36"/>
      <c r="W95" s="196">
        <f>IF((L95+M95)&gt;0,SUMIF(Transbank!$A$2:$A$223,Abril!A95,Transbank!$L$2:$L$223),J95+(K95+Abril!O95)*EERR!$D$2+Abril!N95)</f>
        <v>0</v>
      </c>
      <c r="X95" s="196">
        <f>W95/EERR!$D$2</f>
        <v>0</v>
      </c>
      <c r="Y95" s="196">
        <f t="shared" si="14"/>
        <v>0</v>
      </c>
      <c r="Z95" s="196">
        <f t="shared" ref="Z95" si="49">(J95+L95+N95)/1.19</f>
        <v>0</v>
      </c>
      <c r="AA95" s="196">
        <f t="shared" ref="AA95" si="50">IF(AB95="b",(J95+L95+N95)*0.19,0)</f>
        <v>0</v>
      </c>
      <c r="AB95" s="187"/>
      <c r="AC95" s="187"/>
    </row>
    <row r="96" spans="1:29" x14ac:dyDescent="0.3">
      <c r="A96" s="36"/>
      <c r="B96" s="188"/>
      <c r="C96" s="188"/>
      <c r="D96" s="42"/>
      <c r="E96" s="42"/>
      <c r="F96" s="42"/>
      <c r="G96" s="43"/>
      <c r="H96" s="43"/>
      <c r="I96" s="50">
        <f t="shared" ref="I96:S96" si="51">SUM(I95:I95)</f>
        <v>0</v>
      </c>
      <c r="J96" s="50">
        <f t="shared" si="51"/>
        <v>0</v>
      </c>
      <c r="K96" s="50">
        <f t="shared" si="51"/>
        <v>0</v>
      </c>
      <c r="L96" s="50">
        <f t="shared" si="51"/>
        <v>0</v>
      </c>
      <c r="M96" s="50">
        <f>SUM(M94:M95)</f>
        <v>0</v>
      </c>
      <c r="N96" s="50">
        <f t="shared" si="51"/>
        <v>0</v>
      </c>
      <c r="O96" s="50">
        <f t="shared" si="51"/>
        <v>0</v>
      </c>
      <c r="P96" s="50"/>
      <c r="Q96" s="50"/>
      <c r="R96" s="50">
        <f t="shared" si="51"/>
        <v>0</v>
      </c>
      <c r="S96" s="50">
        <f t="shared" si="51"/>
        <v>0</v>
      </c>
      <c r="T96" s="151"/>
      <c r="U96" s="50"/>
      <c r="W96" s="196"/>
      <c r="X96" s="196"/>
      <c r="Y96" s="196">
        <f t="shared" si="14"/>
        <v>0</v>
      </c>
      <c r="Z96" s="196"/>
      <c r="AA96" s="196"/>
      <c r="AB96" s="187"/>
      <c r="AC96" s="187"/>
    </row>
    <row r="97" spans="1:29" x14ac:dyDescent="0.3">
      <c r="A97" s="36"/>
      <c r="B97" s="188"/>
      <c r="C97" s="188"/>
      <c r="D97" s="106"/>
      <c r="E97" s="106"/>
      <c r="F97" s="106"/>
      <c r="G97" s="107">
        <f>G70+G80+G93</f>
        <v>0</v>
      </c>
      <c r="H97" s="107">
        <f>H70+H80+H93</f>
        <v>0</v>
      </c>
      <c r="I97" s="107">
        <f t="shared" ref="I97:R97" si="52">I70+I80+I93+I96</f>
        <v>270</v>
      </c>
      <c r="J97" s="107">
        <f t="shared" si="52"/>
        <v>0</v>
      </c>
      <c r="K97" s="107">
        <f t="shared" si="52"/>
        <v>11049</v>
      </c>
      <c r="L97" s="107">
        <f t="shared" si="52"/>
        <v>6366363</v>
      </c>
      <c r="M97" s="107">
        <f t="shared" si="52"/>
        <v>32986.5</v>
      </c>
      <c r="N97" s="107">
        <f t="shared" si="52"/>
        <v>768843</v>
      </c>
      <c r="O97" s="107">
        <f t="shared" si="52"/>
        <v>0</v>
      </c>
      <c r="P97" s="107">
        <f t="shared" si="52"/>
        <v>0</v>
      </c>
      <c r="Q97" s="107">
        <f t="shared" si="52"/>
        <v>0</v>
      </c>
      <c r="R97" s="107">
        <f t="shared" si="52"/>
        <v>44035.5</v>
      </c>
      <c r="S97" s="107">
        <f>(S70+S80+S93+S96)/1.19</f>
        <v>5995971.4285714291</v>
      </c>
      <c r="T97" s="107">
        <f>(T70*I70+T80*I80+T93*I93)/I97</f>
        <v>196.960460834022</v>
      </c>
      <c r="U97" s="107">
        <f>U70+U80+U93</f>
        <v>36011044.770000003</v>
      </c>
      <c r="W97" s="196">
        <f>W70+W80+W93</f>
        <v>36036569.425000004</v>
      </c>
      <c r="X97" s="196"/>
      <c r="Y97" s="196">
        <f t="shared" si="14"/>
        <v>25524.655000001192</v>
      </c>
      <c r="Z97" s="196"/>
      <c r="AA97" s="196"/>
      <c r="AB97" s="187"/>
      <c r="AC97" s="187"/>
    </row>
    <row r="98" spans="1:29" x14ac:dyDescent="0.3">
      <c r="A98" s="36"/>
      <c r="B98" s="188"/>
      <c r="C98" s="188"/>
      <c r="D98" s="42"/>
      <c r="E98" s="42"/>
      <c r="F98" s="42"/>
      <c r="G98" s="50"/>
      <c r="H98" s="50"/>
      <c r="I98" s="50"/>
      <c r="J98" s="50">
        <f>(J97)/EERR!$D$2</f>
        <v>0</v>
      </c>
      <c r="K98" s="50">
        <f>K97</f>
        <v>11049</v>
      </c>
      <c r="L98" s="50">
        <f>(L97)/EERR!$D$2</f>
        <v>9708.6695946564178</v>
      </c>
      <c r="M98" s="50">
        <f>M97</f>
        <v>32986.5</v>
      </c>
      <c r="N98" s="50">
        <f>(N97)/EERR!$D$2</f>
        <v>1172.4814713148503</v>
      </c>
      <c r="O98" s="50">
        <f>(O97)/EERR!$D$2</f>
        <v>0</v>
      </c>
      <c r="P98" s="50"/>
      <c r="Q98" s="50"/>
      <c r="R98" s="50">
        <f>R97+R96</f>
        <v>44035.5</v>
      </c>
      <c r="S98" s="50">
        <f>(S97)/EERR!D2</f>
        <v>9143.8244251859414</v>
      </c>
      <c r="T98" s="50">
        <f>T97+T96</f>
        <v>196.960460834022</v>
      </c>
      <c r="U98" s="50">
        <f>U97+U96</f>
        <v>36011044.770000003</v>
      </c>
      <c r="V98" s="45">
        <f>SUM(J98:U98)</f>
        <v>36119337.705951996</v>
      </c>
      <c r="Y98" s="196">
        <f t="shared" si="14"/>
        <v>-36011044.770000003</v>
      </c>
      <c r="Z98" s="187"/>
      <c r="AA98" s="187"/>
      <c r="AB98" s="187"/>
      <c r="AC98" s="187"/>
    </row>
    <row r="99" spans="1:29" x14ac:dyDescent="0.3">
      <c r="I99" s="301">
        <f>I97/300</f>
        <v>0.9</v>
      </c>
      <c r="K99" s="41"/>
      <c r="R99" s="325">
        <f>SUM(R98:S98)</f>
        <v>53179.324425185943</v>
      </c>
      <c r="S99" s="325"/>
      <c r="Y99" s="196">
        <f t="shared" si="14"/>
        <v>0</v>
      </c>
      <c r="Z99" s="187"/>
      <c r="AA99" s="187"/>
      <c r="AB99" s="187"/>
      <c r="AC99" s="187"/>
    </row>
    <row r="100" spans="1:29" x14ac:dyDescent="0.3">
      <c r="C100" s="187">
        <v>823423187</v>
      </c>
      <c r="K100" s="5">
        <f>+K98+G103</f>
        <v>995</v>
      </c>
      <c r="R100" s="326">
        <f>R99*EERR!D2</f>
        <v>34871810.198571429</v>
      </c>
      <c r="S100" s="326">
        <f>R99*EERR!D2</f>
        <v>34871810.198571429</v>
      </c>
      <c r="Y100" s="196">
        <f t="shared" si="14"/>
        <v>0</v>
      </c>
      <c r="Z100" s="187"/>
      <c r="AA100" s="187"/>
      <c r="AB100" s="187"/>
      <c r="AC100" s="187"/>
    </row>
    <row r="101" spans="1:29" x14ac:dyDescent="0.3">
      <c r="J101" s="127">
        <f>J97/1.19</f>
        <v>0</v>
      </c>
      <c r="K101" s="41"/>
      <c r="M101" s="127"/>
      <c r="X101" s="187">
        <f>36000*620</f>
        <v>22320000</v>
      </c>
      <c r="Y101" s="196">
        <f t="shared" si="14"/>
        <v>0</v>
      </c>
      <c r="Z101" s="187"/>
      <c r="AA101" s="187"/>
      <c r="AB101" s="187"/>
      <c r="AC101" s="187"/>
    </row>
    <row r="102" spans="1:29" x14ac:dyDescent="0.3">
      <c r="F102" s="38" t="s">
        <v>303</v>
      </c>
      <c r="G102" s="38" t="s">
        <v>304</v>
      </c>
      <c r="H102" s="38" t="s">
        <v>6</v>
      </c>
      <c r="I102" s="38" t="s">
        <v>68</v>
      </c>
      <c r="J102" s="38" t="s">
        <v>69</v>
      </c>
      <c r="K102" s="35"/>
      <c r="L102" s="37">
        <f>L97+N97+J97+P97</f>
        <v>7135206</v>
      </c>
      <c r="M102" s="37">
        <f>L102*0.19</f>
        <v>1355689.1400000001</v>
      </c>
      <c r="R102" s="45">
        <f>R97*689</f>
        <v>30340459.5</v>
      </c>
      <c r="S102" s="45">
        <f>S97*0.19</f>
        <v>1139234.5714285716</v>
      </c>
      <c r="Y102" s="196">
        <f t="shared" si="14"/>
        <v>0</v>
      </c>
    </row>
    <row r="103" spans="1:29" x14ac:dyDescent="0.3">
      <c r="D103" s="31" t="s">
        <v>66</v>
      </c>
      <c r="E103" s="31"/>
      <c r="F103" s="32">
        <f>'BCI '!H158</f>
        <v>0</v>
      </c>
      <c r="G103" s="299">
        <f>'BCI '!H159</f>
        <v>-10054</v>
      </c>
      <c r="H103" s="40"/>
      <c r="I103" s="32">
        <f>(J98+K98)*EERR!D2</f>
        <v>7245271.2599999998</v>
      </c>
      <c r="J103" s="47">
        <f>I103/EERR!$D$2</f>
        <v>11049</v>
      </c>
      <c r="K103" s="35"/>
      <c r="L103" s="41"/>
      <c r="Y103" s="196">
        <f t="shared" si="14"/>
        <v>0</v>
      </c>
    </row>
    <row r="104" spans="1:29" x14ac:dyDescent="0.3">
      <c r="D104" s="31" t="s">
        <v>65</v>
      </c>
      <c r="E104" s="31"/>
      <c r="F104" s="31"/>
      <c r="G104" s="32"/>
      <c r="H104" s="40"/>
      <c r="I104" s="32">
        <f>+N98*EERR!D2</f>
        <v>768843</v>
      </c>
      <c r="J104" s="47">
        <f>I104/EERR!$D$2</f>
        <v>1172.4814713148503</v>
      </c>
      <c r="K104" s="35"/>
      <c r="Y104" s="196">
        <f t="shared" si="14"/>
        <v>0</v>
      </c>
    </row>
    <row r="105" spans="1:29" x14ac:dyDescent="0.3">
      <c r="D105" s="31" t="s">
        <v>67</v>
      </c>
      <c r="E105" s="31"/>
      <c r="F105" s="31"/>
      <c r="G105" s="32"/>
      <c r="H105" s="40"/>
      <c r="I105" s="32"/>
      <c r="J105" s="47">
        <f>I105*EERR!$D$2</f>
        <v>0</v>
      </c>
      <c r="K105" s="35"/>
      <c r="L105" s="127"/>
      <c r="Y105" s="196">
        <f t="shared" si="14"/>
        <v>0</v>
      </c>
    </row>
    <row r="106" spans="1:29" x14ac:dyDescent="0.3">
      <c r="D106" s="89" t="s">
        <v>116</v>
      </c>
      <c r="E106" s="89"/>
      <c r="F106" s="89"/>
      <c r="G106" s="91"/>
      <c r="H106" s="91">
        <f>(H108+H109)*EERR!D2+H111+H112</f>
        <v>27772981.84</v>
      </c>
      <c r="I106" s="91">
        <f>(L98+M98)*EERR!D2</f>
        <v>27996930.509999998</v>
      </c>
      <c r="J106" s="92"/>
      <c r="K106" s="35"/>
      <c r="X106" s="187">
        <f>635/190</f>
        <v>3.3421052631578947</v>
      </c>
      <c r="Y106" s="196">
        <f t="shared" si="14"/>
        <v>0</v>
      </c>
    </row>
    <row r="107" spans="1:29" x14ac:dyDescent="0.3">
      <c r="D107" s="89"/>
      <c r="E107" s="89"/>
      <c r="F107" s="89"/>
      <c r="G107" s="91"/>
      <c r="H107" s="91">
        <f>SUM(H103:H106)</f>
        <v>27772981.84</v>
      </c>
      <c r="I107" s="91">
        <f>SUM(I103:I106)</f>
        <v>36011044.769999996</v>
      </c>
      <c r="J107" s="91">
        <f>SUM(J103:J106)</f>
        <v>12221.48147131485</v>
      </c>
      <c r="K107" s="35"/>
      <c r="Y107" s="196">
        <f t="shared" si="14"/>
        <v>0</v>
      </c>
    </row>
    <row r="108" spans="1:29" x14ac:dyDescent="0.3">
      <c r="D108" s="36" t="s">
        <v>114</v>
      </c>
      <c r="E108" s="36"/>
      <c r="F108" s="36"/>
      <c r="G108" s="32"/>
      <c r="H108" s="40">
        <f>Transbank!J445</f>
        <v>33666</v>
      </c>
      <c r="I108" s="32"/>
      <c r="J108" s="47"/>
      <c r="K108" s="35"/>
      <c r="Y108" s="196">
        <f t="shared" si="14"/>
        <v>0</v>
      </c>
    </row>
    <row r="109" spans="1:29" x14ac:dyDescent="0.3">
      <c r="D109" s="36" t="s">
        <v>117</v>
      </c>
      <c r="E109" s="36"/>
      <c r="F109" s="36"/>
      <c r="G109" s="48"/>
      <c r="H109" s="40">
        <f>[1]Transbank!J83</f>
        <v>0</v>
      </c>
      <c r="I109" s="36"/>
      <c r="J109" s="64"/>
      <c r="K109" s="35"/>
      <c r="Y109" s="196">
        <f t="shared" si="14"/>
        <v>0</v>
      </c>
    </row>
    <row r="110" spans="1:29" x14ac:dyDescent="0.3">
      <c r="D110" s="89" t="s">
        <v>118</v>
      </c>
      <c r="E110" s="89"/>
      <c r="F110" s="89"/>
      <c r="G110" s="90"/>
      <c r="H110" s="90">
        <f>SUM(H108:H109)</f>
        <v>33666</v>
      </c>
      <c r="I110" s="90">
        <f>M97</f>
        <v>32986.5</v>
      </c>
      <c r="J110" s="90">
        <f t="shared" ref="J110" si="53">SUM(J108:J109)</f>
        <v>0</v>
      </c>
      <c r="K110" s="35"/>
      <c r="Y110" s="196">
        <f t="shared" si="14"/>
        <v>0</v>
      </c>
    </row>
    <row r="111" spans="1:29" x14ac:dyDescent="0.3">
      <c r="D111" s="36" t="s">
        <v>115</v>
      </c>
      <c r="E111" s="102"/>
      <c r="F111" s="102"/>
      <c r="G111" s="93"/>
      <c r="H111" s="94">
        <f>Transbank!I445</f>
        <v>5696839</v>
      </c>
      <c r="I111" s="94"/>
      <c r="J111" s="95">
        <f>I106/EERR!$D$2</f>
        <v>42695.169594656414</v>
      </c>
      <c r="K111" s="35"/>
      <c r="Y111" s="196">
        <f t="shared" si="14"/>
        <v>0</v>
      </c>
    </row>
    <row r="112" spans="1:29" x14ac:dyDescent="0.3">
      <c r="D112" s="36" t="s">
        <v>119</v>
      </c>
      <c r="E112" s="36"/>
      <c r="F112" s="36"/>
      <c r="G112" s="48"/>
      <c r="H112" s="40">
        <f>[1]Transbank!I83</f>
        <v>0</v>
      </c>
      <c r="I112" s="36"/>
      <c r="J112" s="64"/>
      <c r="K112" s="35"/>
      <c r="Y112" s="196">
        <f t="shared" si="14"/>
        <v>0</v>
      </c>
    </row>
    <row r="113" spans="4:25" ht="15" thickBot="1" x14ac:dyDescent="0.35">
      <c r="D113" s="154" t="s">
        <v>120</v>
      </c>
      <c r="E113" s="154"/>
      <c r="F113" s="89"/>
      <c r="G113" s="90"/>
      <c r="H113" s="90">
        <f>SUM(H111:H112)</f>
        <v>5696839</v>
      </c>
      <c r="I113" s="90">
        <f>L97</f>
        <v>6366363</v>
      </c>
      <c r="J113" s="90">
        <f t="shared" ref="J113" si="54">SUM(J111:J112)</f>
        <v>42695.169594656414</v>
      </c>
      <c r="K113" s="35"/>
      <c r="Y113" s="196">
        <f t="shared" si="14"/>
        <v>0</v>
      </c>
    </row>
    <row r="114" spans="4:25" ht="16.2" thickBot="1" x14ac:dyDescent="0.35">
      <c r="D114" s="155" t="s">
        <v>139</v>
      </c>
      <c r="E114" s="156">
        <f>(J97+L97)*0.19</f>
        <v>1209608.97</v>
      </c>
      <c r="I114" s="38"/>
      <c r="J114" s="45"/>
      <c r="K114" s="35"/>
      <c r="Y114" s="196">
        <f t="shared" si="14"/>
        <v>0</v>
      </c>
    </row>
    <row r="115" spans="4:25" ht="13.8" x14ac:dyDescent="0.3">
      <c r="K115" s="35"/>
    </row>
    <row r="116" spans="4:25" ht="13.8" x14ac:dyDescent="0.3">
      <c r="K116" s="35"/>
    </row>
    <row r="117" spans="4:25" ht="13.8" x14ac:dyDescent="0.3">
      <c r="K117" s="35"/>
    </row>
    <row r="118" spans="4:25" ht="13.8" x14ac:dyDescent="0.3">
      <c r="K118" s="35"/>
    </row>
    <row r="119" spans="4:25" ht="13.8" x14ac:dyDescent="0.3">
      <c r="K119" s="35"/>
    </row>
    <row r="120" spans="4:25" ht="13.8" x14ac:dyDescent="0.3">
      <c r="K120" s="35"/>
    </row>
    <row r="121" spans="4:25" ht="13.8" x14ac:dyDescent="0.3">
      <c r="K121" s="35"/>
    </row>
    <row r="122" spans="4:25" ht="13.8" x14ac:dyDescent="0.3">
      <c r="K122" s="35"/>
    </row>
    <row r="123" spans="4:25" ht="13.8" x14ac:dyDescent="0.3">
      <c r="K123" s="35"/>
    </row>
    <row r="124" spans="4:25" ht="13.8" x14ac:dyDescent="0.3">
      <c r="K124" s="35"/>
    </row>
    <row r="125" spans="4:25" ht="13.8" x14ac:dyDescent="0.3">
      <c r="K125" s="35"/>
    </row>
    <row r="126" spans="4:25" ht="13.8" x14ac:dyDescent="0.3">
      <c r="K126" s="35"/>
    </row>
    <row r="127" spans="4:25" ht="13.8" x14ac:dyDescent="0.3">
      <c r="K127" s="35"/>
    </row>
    <row r="128" spans="4:25" ht="13.8" x14ac:dyDescent="0.3">
      <c r="K128" s="35"/>
    </row>
    <row r="129" spans="11:11" ht="13.8" x14ac:dyDescent="0.3">
      <c r="K129" s="35"/>
    </row>
    <row r="130" spans="11:11" ht="13.8" x14ac:dyDescent="0.3">
      <c r="K130" s="35"/>
    </row>
    <row r="131" spans="11:11" ht="13.8" x14ac:dyDescent="0.3">
      <c r="K131" s="35"/>
    </row>
    <row r="132" spans="11:11" ht="13.8" x14ac:dyDescent="0.3">
      <c r="K132" s="35"/>
    </row>
    <row r="133" spans="11:11" ht="13.8" x14ac:dyDescent="0.3">
      <c r="K133" s="35"/>
    </row>
    <row r="134" spans="11:11" ht="13.8" x14ac:dyDescent="0.3">
      <c r="K134" s="35"/>
    </row>
    <row r="135" spans="11:11" ht="13.8" x14ac:dyDescent="0.3">
      <c r="K135" s="35"/>
    </row>
    <row r="136" spans="11:11" ht="13.8" x14ac:dyDescent="0.3">
      <c r="K136" s="35"/>
    </row>
    <row r="137" spans="11:11" ht="13.8" x14ac:dyDescent="0.3">
      <c r="K137" s="35"/>
    </row>
    <row r="138" spans="11:11" ht="13.8" x14ac:dyDescent="0.3">
      <c r="K138" s="35"/>
    </row>
    <row r="139" spans="11:11" ht="13.8" x14ac:dyDescent="0.3">
      <c r="K139" s="35"/>
    </row>
    <row r="140" spans="11:11" ht="13.8" x14ac:dyDescent="0.3">
      <c r="K140" s="35"/>
    </row>
    <row r="141" spans="11:11" ht="13.8" x14ac:dyDescent="0.3">
      <c r="K141" s="35"/>
    </row>
    <row r="142" spans="11:11" ht="13.8" x14ac:dyDescent="0.3">
      <c r="K142" s="35"/>
    </row>
    <row r="143" spans="11:11" ht="13.8" x14ac:dyDescent="0.3">
      <c r="K143" s="35"/>
    </row>
    <row r="144" spans="11:11" ht="13.8" x14ac:dyDescent="0.3">
      <c r="K144" s="35"/>
    </row>
    <row r="145" spans="11:11" ht="13.8" x14ac:dyDescent="0.3">
      <c r="K145" s="35"/>
    </row>
    <row r="146" spans="11:11" ht="13.8" x14ac:dyDescent="0.3">
      <c r="K146" s="35"/>
    </row>
    <row r="147" spans="11:11" ht="13.8" x14ac:dyDescent="0.3">
      <c r="K147" s="35"/>
    </row>
    <row r="148" spans="11:11" ht="13.8" x14ac:dyDescent="0.3">
      <c r="K148" s="35"/>
    </row>
    <row r="149" spans="11:11" ht="13.8" x14ac:dyDescent="0.3">
      <c r="K149" s="35"/>
    </row>
    <row r="150" spans="11:11" ht="13.8" x14ac:dyDescent="0.3">
      <c r="K150" s="35"/>
    </row>
    <row r="151" spans="11:11" ht="13.8" x14ac:dyDescent="0.3">
      <c r="K151" s="35"/>
    </row>
    <row r="152" spans="11:11" ht="13.8" x14ac:dyDescent="0.3">
      <c r="K152" s="35"/>
    </row>
    <row r="153" spans="11:11" ht="13.8" x14ac:dyDescent="0.3">
      <c r="K153" s="35"/>
    </row>
    <row r="154" spans="11:11" ht="13.8" x14ac:dyDescent="0.3">
      <c r="K154" s="35"/>
    </row>
    <row r="155" spans="11:11" ht="13.8" x14ac:dyDescent="0.3">
      <c r="K155" s="35"/>
    </row>
    <row r="156" spans="11:11" ht="13.8" x14ac:dyDescent="0.3">
      <c r="K156" s="35"/>
    </row>
    <row r="157" spans="11:11" ht="13.8" x14ac:dyDescent="0.3">
      <c r="K157" s="35"/>
    </row>
    <row r="158" spans="11:11" ht="13.8" x14ac:dyDescent="0.3">
      <c r="K158" s="35"/>
    </row>
    <row r="159" spans="11:11" ht="13.8" x14ac:dyDescent="0.3">
      <c r="K159" s="35"/>
    </row>
    <row r="160" spans="11:11" ht="13.8" x14ac:dyDescent="0.3">
      <c r="K160" s="35"/>
    </row>
    <row r="161" spans="11:11" ht="13.8" x14ac:dyDescent="0.3">
      <c r="K161" s="35"/>
    </row>
    <row r="162" spans="11:11" ht="13.8" x14ac:dyDescent="0.3">
      <c r="K162" s="35"/>
    </row>
    <row r="163" spans="11:11" ht="13.8" x14ac:dyDescent="0.3">
      <c r="K163" s="35"/>
    </row>
    <row r="164" spans="11:11" ht="13.8" x14ac:dyDescent="0.3">
      <c r="K164" s="35"/>
    </row>
    <row r="165" spans="11:11" ht="13.8" x14ac:dyDescent="0.3">
      <c r="K165" s="35"/>
    </row>
    <row r="166" spans="11:11" ht="13.8" x14ac:dyDescent="0.3">
      <c r="K166" s="35"/>
    </row>
    <row r="167" spans="11:11" ht="13.8" x14ac:dyDescent="0.3">
      <c r="K167" s="35"/>
    </row>
    <row r="168" spans="11:11" ht="13.8" x14ac:dyDescent="0.3">
      <c r="K168" s="35"/>
    </row>
    <row r="169" spans="11:11" ht="13.8" x14ac:dyDescent="0.3">
      <c r="K169" s="35"/>
    </row>
    <row r="170" spans="11:11" ht="13.8" x14ac:dyDescent="0.3">
      <c r="K170" s="35"/>
    </row>
    <row r="171" spans="11:11" ht="13.8" x14ac:dyDescent="0.3">
      <c r="K171" s="35"/>
    </row>
    <row r="172" spans="11:11" ht="13.8" x14ac:dyDescent="0.3">
      <c r="K172" s="35"/>
    </row>
    <row r="173" spans="11:11" ht="13.8" x14ac:dyDescent="0.3">
      <c r="K173" s="35"/>
    </row>
    <row r="174" spans="11:11" ht="13.8" x14ac:dyDescent="0.3">
      <c r="K174" s="35"/>
    </row>
    <row r="175" spans="11:11" ht="13.8" x14ac:dyDescent="0.3">
      <c r="K175" s="35"/>
    </row>
    <row r="176" spans="11:11" ht="13.8" x14ac:dyDescent="0.3">
      <c r="K176" s="35"/>
    </row>
    <row r="177" spans="11:11" ht="13.8" x14ac:dyDescent="0.3">
      <c r="K177" s="35"/>
    </row>
    <row r="178" spans="11:11" ht="13.8" x14ac:dyDescent="0.3">
      <c r="K178" s="35"/>
    </row>
    <row r="179" spans="11:11" ht="13.8" x14ac:dyDescent="0.3">
      <c r="K179" s="35"/>
    </row>
    <row r="180" spans="11:11" ht="13.8" x14ac:dyDescent="0.3">
      <c r="K180" s="35"/>
    </row>
  </sheetData>
  <sortState ref="A3:AA38">
    <sortCondition ref="G3:G38"/>
  </sortState>
  <mergeCells count="6">
    <mergeCell ref="R99:S99"/>
    <mergeCell ref="R100:S100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topLeftCell="A19" zoomScale="70" zoomScaleNormal="70" workbookViewId="0">
      <selection activeCell="V42" sqref="I42:V46"/>
    </sheetView>
  </sheetViews>
  <sheetFormatPr baseColWidth="10" defaultColWidth="11.33203125" defaultRowHeight="15.6" x14ac:dyDescent="0.3"/>
  <cols>
    <col min="1" max="1" width="0.88671875" style="161" customWidth="1"/>
    <col min="2" max="2" width="20.77734375" style="161" customWidth="1"/>
    <col min="3" max="3" width="21.109375" style="101" customWidth="1"/>
    <col min="4" max="4" width="25.77734375" style="101" customWidth="1"/>
    <col min="5" max="5" width="18.33203125" style="98" customWidth="1"/>
    <col min="6" max="7" width="16.21875" style="98" customWidth="1"/>
    <col min="8" max="10" width="8.88671875" style="98" customWidth="1"/>
    <col min="11" max="12" width="17.21875" style="196" customWidth="1"/>
    <col min="13" max="13" width="15.88671875" style="196" customWidth="1"/>
    <col min="14" max="14" width="9" style="98" customWidth="1"/>
    <col min="15" max="15" width="12.77734375" style="98" bestFit="1" customWidth="1"/>
    <col min="16" max="16" width="8.109375" style="98" customWidth="1"/>
    <col min="17" max="17" width="12.33203125" style="98" customWidth="1"/>
    <col min="18" max="18" width="16.77734375" style="98" customWidth="1"/>
    <col min="19" max="19" width="6.88671875" style="161" customWidth="1"/>
    <col min="20" max="16384" width="11.33203125" style="161"/>
  </cols>
  <sheetData>
    <row r="1" spans="2:22" x14ac:dyDescent="0.3">
      <c r="B1" s="161" t="s">
        <v>363</v>
      </c>
      <c r="C1" s="101" t="s">
        <v>364</v>
      </c>
      <c r="D1" s="101" t="s">
        <v>365</v>
      </c>
      <c r="E1" s="98" t="s">
        <v>366</v>
      </c>
      <c r="F1" s="98" t="s">
        <v>367</v>
      </c>
      <c r="G1" s="98" t="s">
        <v>368</v>
      </c>
      <c r="H1" s="98" t="s">
        <v>369</v>
      </c>
      <c r="I1" s="98" t="s">
        <v>370</v>
      </c>
      <c r="J1" s="98" t="s">
        <v>371</v>
      </c>
      <c r="K1" s="196" t="s">
        <v>372</v>
      </c>
      <c r="L1" s="196" t="s">
        <v>373</v>
      </c>
      <c r="M1" s="196" t="s">
        <v>374</v>
      </c>
      <c r="N1" s="98" t="s">
        <v>53</v>
      </c>
      <c r="O1" s="98" t="s">
        <v>72</v>
      </c>
      <c r="P1" s="98" t="s">
        <v>75</v>
      </c>
      <c r="Q1" s="98" t="s">
        <v>73</v>
      </c>
      <c r="R1" s="98" t="s">
        <v>74</v>
      </c>
    </row>
    <row r="2" spans="2:22" ht="15" x14ac:dyDescent="0.25">
      <c r="B2" s="129">
        <v>1086345628</v>
      </c>
      <c r="C2" s="129" t="s">
        <v>988</v>
      </c>
      <c r="D2" s="129" t="s">
        <v>989</v>
      </c>
      <c r="E2" s="129" t="s">
        <v>408</v>
      </c>
      <c r="F2" s="129" t="s">
        <v>409</v>
      </c>
      <c r="G2" s="129" t="s">
        <v>990</v>
      </c>
      <c r="H2" s="129" t="s">
        <v>300</v>
      </c>
      <c r="I2" s="129">
        <v>1</v>
      </c>
      <c r="J2" s="129">
        <v>2</v>
      </c>
      <c r="K2" s="254">
        <v>585</v>
      </c>
      <c r="L2" s="254"/>
      <c r="M2" s="254"/>
      <c r="N2" s="98">
        <f>(F2-E2)</f>
        <v>3</v>
      </c>
      <c r="O2" s="99">
        <f t="shared" ref="O2" si="0">K2/N2/P2*IF(H2="ok",1,0)</f>
        <v>195</v>
      </c>
      <c r="P2" s="98">
        <v>1</v>
      </c>
      <c r="Q2" s="98">
        <f>N2*P2</f>
        <v>3</v>
      </c>
      <c r="R2" s="99">
        <f t="shared" ref="R2" si="1">O2*Q2</f>
        <v>585</v>
      </c>
      <c r="S2" s="161">
        <f>ROUND(K2/195,0)</f>
        <v>3</v>
      </c>
      <c r="T2" s="161">
        <f>K2*0.15</f>
        <v>87.75</v>
      </c>
      <c r="U2" s="161">
        <f>SUMIF(Abril!$F$3:$F$95,B2,Abril!$I$3:$I$95)</f>
        <v>3</v>
      </c>
      <c r="V2" s="161">
        <f>Q2-U2</f>
        <v>0</v>
      </c>
    </row>
    <row r="3" spans="2:22" ht="15" x14ac:dyDescent="0.25">
      <c r="B3" s="129">
        <v>1550667321</v>
      </c>
      <c r="C3" s="129" t="s">
        <v>991</v>
      </c>
      <c r="D3" s="129" t="s">
        <v>992</v>
      </c>
      <c r="E3" s="129" t="s">
        <v>408</v>
      </c>
      <c r="F3" s="129" t="s">
        <v>411</v>
      </c>
      <c r="G3" s="129" t="s">
        <v>993</v>
      </c>
      <c r="H3" s="129" t="s">
        <v>300</v>
      </c>
      <c r="I3" s="129">
        <v>1</v>
      </c>
      <c r="J3" s="129">
        <v>2</v>
      </c>
      <c r="K3" s="254">
        <v>390</v>
      </c>
      <c r="L3" s="254"/>
      <c r="M3" s="254"/>
      <c r="N3" s="98">
        <f t="shared" ref="N3:N66" si="2">(F3-E3)</f>
        <v>2</v>
      </c>
      <c r="O3" s="99">
        <f t="shared" ref="O3:O28" si="3">K3/N3/P3*IF(H3="ok",1,0)</f>
        <v>195</v>
      </c>
      <c r="P3" s="98">
        <v>1</v>
      </c>
      <c r="Q3" s="98">
        <f t="shared" ref="Q3:Q57" si="4">N3*P3</f>
        <v>2</v>
      </c>
      <c r="R3" s="99">
        <f t="shared" ref="R3:R28" si="5">O3*Q3</f>
        <v>390</v>
      </c>
      <c r="S3" s="161">
        <f t="shared" ref="S3:S28" si="6">ROUND(K3/195,0)</f>
        <v>2</v>
      </c>
      <c r="T3" s="161">
        <f t="shared" ref="T3:T66" si="7">K3*0.15</f>
        <v>58.5</v>
      </c>
      <c r="U3" s="161">
        <f>SUMIF(Abril!$F$3:$F$95,B3,Abril!$I$3:$I$95)</f>
        <v>2</v>
      </c>
      <c r="V3" s="272">
        <f t="shared" ref="V3:V45" si="8">Q3-U3</f>
        <v>0</v>
      </c>
    </row>
    <row r="4" spans="2:22" ht="15" x14ac:dyDescent="0.25">
      <c r="B4" s="129">
        <v>1649423320</v>
      </c>
      <c r="C4" s="129" t="s">
        <v>994</v>
      </c>
      <c r="D4" s="129" t="s">
        <v>994</v>
      </c>
      <c r="E4" s="129" t="s">
        <v>410</v>
      </c>
      <c r="F4" s="129" t="s">
        <v>411</v>
      </c>
      <c r="G4" s="129" t="s">
        <v>995</v>
      </c>
      <c r="H4" s="129" t="s">
        <v>300</v>
      </c>
      <c r="I4" s="129">
        <v>2</v>
      </c>
      <c r="J4" s="129">
        <v>4</v>
      </c>
      <c r="K4" s="254">
        <v>390</v>
      </c>
      <c r="L4" s="254"/>
      <c r="M4" s="254"/>
      <c r="N4" s="98">
        <f t="shared" si="2"/>
        <v>1</v>
      </c>
      <c r="O4" s="99">
        <f t="shared" si="3"/>
        <v>390</v>
      </c>
      <c r="P4" s="98">
        <v>1</v>
      </c>
      <c r="Q4" s="98">
        <f t="shared" si="4"/>
        <v>1</v>
      </c>
      <c r="R4" s="99">
        <f t="shared" si="5"/>
        <v>390</v>
      </c>
      <c r="S4" s="161">
        <f t="shared" si="6"/>
        <v>2</v>
      </c>
      <c r="T4" s="161">
        <f t="shared" si="7"/>
        <v>58.5</v>
      </c>
      <c r="U4" s="161">
        <f>SUMIF(Abril!$F$3:$F$95,B4,Abril!$I$3:$I$95)</f>
        <v>2</v>
      </c>
      <c r="V4" s="161">
        <f t="shared" si="8"/>
        <v>-1</v>
      </c>
    </row>
    <row r="5" spans="2:22" ht="14.4" x14ac:dyDescent="0.3">
      <c r="B5" s="129">
        <v>1801450953</v>
      </c>
      <c r="C5" s="129" t="s">
        <v>996</v>
      </c>
      <c r="D5" s="129" t="s">
        <v>997</v>
      </c>
      <c r="E5" s="129" t="s">
        <v>410</v>
      </c>
      <c r="F5" s="129" t="s">
        <v>998</v>
      </c>
      <c r="G5" s="129" t="s">
        <v>999</v>
      </c>
      <c r="H5" s="129" t="s">
        <v>300</v>
      </c>
      <c r="I5" s="129">
        <v>1</v>
      </c>
      <c r="J5" s="129">
        <v>2</v>
      </c>
      <c r="K5" s="254">
        <v>1176</v>
      </c>
      <c r="L5" s="254"/>
      <c r="M5" s="254"/>
      <c r="N5" s="98">
        <f t="shared" si="2"/>
        <v>6</v>
      </c>
      <c r="O5" s="99">
        <f t="shared" si="3"/>
        <v>196</v>
      </c>
      <c r="P5" s="98">
        <v>1</v>
      </c>
      <c r="Q5" s="98">
        <f t="shared" si="4"/>
        <v>6</v>
      </c>
      <c r="R5" s="99">
        <f t="shared" si="5"/>
        <v>1176</v>
      </c>
      <c r="S5" s="161">
        <f t="shared" si="6"/>
        <v>6</v>
      </c>
      <c r="T5" s="161">
        <f t="shared" si="7"/>
        <v>176.4</v>
      </c>
      <c r="U5" s="161">
        <f>SUMIF(Abril!$F$3:$F$95,B5,Abril!$I$3:$I$95)</f>
        <v>6</v>
      </c>
      <c r="V5" s="161">
        <f t="shared" si="8"/>
        <v>0</v>
      </c>
    </row>
    <row r="6" spans="2:22" ht="15" x14ac:dyDescent="0.25">
      <c r="B6" s="129">
        <v>1086368971</v>
      </c>
      <c r="C6" s="129" t="s">
        <v>1000</v>
      </c>
      <c r="D6" s="129" t="s">
        <v>1001</v>
      </c>
      <c r="E6" s="129" t="s">
        <v>411</v>
      </c>
      <c r="F6" s="129" t="s">
        <v>1002</v>
      </c>
      <c r="G6" s="129" t="s">
        <v>1003</v>
      </c>
      <c r="H6" s="129" t="s">
        <v>300</v>
      </c>
      <c r="I6" s="129">
        <v>1</v>
      </c>
      <c r="J6" s="129">
        <v>2</v>
      </c>
      <c r="K6" s="254">
        <v>1365</v>
      </c>
      <c r="L6" s="254"/>
      <c r="M6" s="254"/>
      <c r="N6" s="98">
        <f t="shared" si="2"/>
        <v>7</v>
      </c>
      <c r="O6" s="99">
        <f t="shared" si="3"/>
        <v>195</v>
      </c>
      <c r="P6" s="98">
        <v>1</v>
      </c>
      <c r="Q6" s="98">
        <f t="shared" si="4"/>
        <v>7</v>
      </c>
      <c r="R6" s="99">
        <f t="shared" si="5"/>
        <v>1365</v>
      </c>
      <c r="S6" s="161">
        <f t="shared" si="6"/>
        <v>7</v>
      </c>
      <c r="T6" s="161">
        <f t="shared" si="7"/>
        <v>204.75</v>
      </c>
      <c r="U6" s="161">
        <f>SUMIF(Abril!$F$3:$F$95,B6,Abril!$I$3:$I$95)</f>
        <v>7</v>
      </c>
      <c r="V6" s="161">
        <f t="shared" si="8"/>
        <v>0</v>
      </c>
    </row>
    <row r="7" spans="2:22" ht="15" x14ac:dyDescent="0.25">
      <c r="B7" s="129">
        <v>1346417760</v>
      </c>
      <c r="C7" s="129" t="s">
        <v>1004</v>
      </c>
      <c r="D7" s="129" t="s">
        <v>1005</v>
      </c>
      <c r="E7" s="129" t="s">
        <v>411</v>
      </c>
      <c r="F7" s="129" t="s">
        <v>1006</v>
      </c>
      <c r="G7" s="129" t="s">
        <v>1007</v>
      </c>
      <c r="H7" s="129" t="s">
        <v>300</v>
      </c>
      <c r="I7" s="129">
        <v>1</v>
      </c>
      <c r="J7" s="129">
        <v>2</v>
      </c>
      <c r="K7" s="254">
        <v>735</v>
      </c>
      <c r="L7" s="254"/>
      <c r="M7" s="254"/>
      <c r="N7" s="98">
        <f t="shared" si="2"/>
        <v>4</v>
      </c>
      <c r="O7" s="99">
        <f t="shared" si="3"/>
        <v>183.75</v>
      </c>
      <c r="P7" s="98">
        <v>1</v>
      </c>
      <c r="Q7" s="98">
        <f t="shared" si="4"/>
        <v>4</v>
      </c>
      <c r="R7" s="99">
        <f t="shared" si="5"/>
        <v>735</v>
      </c>
      <c r="S7" s="161">
        <f t="shared" si="6"/>
        <v>4</v>
      </c>
      <c r="T7" s="161">
        <f t="shared" si="7"/>
        <v>110.25</v>
      </c>
      <c r="U7" s="161">
        <f>SUMIF(Abril!$F$3:$F$95,B7,Abril!$I$3:$I$95)</f>
        <v>4</v>
      </c>
      <c r="V7" s="161">
        <f t="shared" si="8"/>
        <v>0</v>
      </c>
    </row>
    <row r="8" spans="2:22" ht="15" x14ac:dyDescent="0.25">
      <c r="B8" s="129">
        <v>1708745018</v>
      </c>
      <c r="C8" s="129" t="s">
        <v>1008</v>
      </c>
      <c r="D8" s="129" t="s">
        <v>803</v>
      </c>
      <c r="E8" s="129" t="s">
        <v>411</v>
      </c>
      <c r="F8" s="129" t="s">
        <v>1009</v>
      </c>
      <c r="G8" s="129" t="s">
        <v>1010</v>
      </c>
      <c r="H8" s="129" t="s">
        <v>300</v>
      </c>
      <c r="I8" s="129">
        <v>1</v>
      </c>
      <c r="J8" s="129">
        <v>2</v>
      </c>
      <c r="K8" s="254">
        <v>499.5</v>
      </c>
      <c r="L8" s="254"/>
      <c r="M8" s="254"/>
      <c r="N8" s="98">
        <f t="shared" si="2"/>
        <v>3</v>
      </c>
      <c r="O8" s="99">
        <f t="shared" si="3"/>
        <v>166.5</v>
      </c>
      <c r="P8" s="98">
        <v>1</v>
      </c>
      <c r="Q8" s="98">
        <f t="shared" si="4"/>
        <v>3</v>
      </c>
      <c r="R8" s="99">
        <f t="shared" si="5"/>
        <v>499.5</v>
      </c>
      <c r="S8" s="161">
        <f t="shared" si="6"/>
        <v>3</v>
      </c>
      <c r="T8" s="161">
        <f t="shared" si="7"/>
        <v>74.924999999999997</v>
      </c>
      <c r="U8" s="161">
        <f>SUMIF(Abril!$F$3:$F$95,B8,Abril!$I$3:$I$95)</f>
        <v>6</v>
      </c>
      <c r="V8" s="161">
        <f t="shared" si="8"/>
        <v>-3</v>
      </c>
    </row>
    <row r="9" spans="2:22" ht="14.4" x14ac:dyDescent="0.3">
      <c r="B9" s="129">
        <v>527570330</v>
      </c>
      <c r="C9" s="129" t="s">
        <v>1011</v>
      </c>
      <c r="D9" s="129" t="s">
        <v>1012</v>
      </c>
      <c r="E9" s="129" t="s">
        <v>411</v>
      </c>
      <c r="F9" s="129" t="s">
        <v>1002</v>
      </c>
      <c r="G9" s="129" t="s">
        <v>1013</v>
      </c>
      <c r="H9" s="129" t="s">
        <v>300</v>
      </c>
      <c r="I9" s="129">
        <v>1</v>
      </c>
      <c r="J9" s="129">
        <v>2</v>
      </c>
      <c r="K9" s="254">
        <v>1330</v>
      </c>
      <c r="L9" s="254"/>
      <c r="M9" s="254"/>
      <c r="N9" s="98">
        <f t="shared" si="2"/>
        <v>7</v>
      </c>
      <c r="O9" s="99">
        <f t="shared" si="3"/>
        <v>190</v>
      </c>
      <c r="P9" s="98">
        <v>1</v>
      </c>
      <c r="Q9" s="98">
        <f t="shared" si="4"/>
        <v>7</v>
      </c>
      <c r="R9" s="99">
        <f t="shared" si="5"/>
        <v>1330</v>
      </c>
      <c r="S9" s="161">
        <f t="shared" si="6"/>
        <v>7</v>
      </c>
      <c r="T9" s="161">
        <f t="shared" si="7"/>
        <v>199.5</v>
      </c>
      <c r="U9" s="161">
        <f>SUMIF(Abril!$F$3:$F$95,B9,Abril!$I$3:$I$95)</f>
        <v>7</v>
      </c>
      <c r="V9" s="161">
        <f t="shared" si="8"/>
        <v>0</v>
      </c>
    </row>
    <row r="10" spans="2:22" ht="15" x14ac:dyDescent="0.25">
      <c r="B10" s="129">
        <v>1337506648</v>
      </c>
      <c r="C10" s="129" t="s">
        <v>1014</v>
      </c>
      <c r="D10" s="129" t="s">
        <v>1015</v>
      </c>
      <c r="E10" s="129" t="s">
        <v>409</v>
      </c>
      <c r="F10" s="129" t="s">
        <v>1009</v>
      </c>
      <c r="G10" s="129" t="s">
        <v>1016</v>
      </c>
      <c r="H10" s="129" t="s">
        <v>300</v>
      </c>
      <c r="I10" s="129">
        <v>1</v>
      </c>
      <c r="J10" s="129">
        <v>2</v>
      </c>
      <c r="K10" s="254">
        <v>360</v>
      </c>
      <c r="L10" s="254"/>
      <c r="M10" s="254"/>
      <c r="N10" s="98">
        <f t="shared" si="2"/>
        <v>2</v>
      </c>
      <c r="O10" s="99">
        <f t="shared" ref="O10:O25" si="9">K10/N10/P10*IF(H10="ok",1,0)</f>
        <v>180</v>
      </c>
      <c r="P10" s="98">
        <v>1</v>
      </c>
      <c r="Q10" s="98">
        <f t="shared" si="4"/>
        <v>2</v>
      </c>
      <c r="R10" s="99">
        <f t="shared" ref="R10:R25" si="10">O10*Q10</f>
        <v>360</v>
      </c>
      <c r="S10" s="161">
        <f t="shared" ref="S10:S25" si="11">ROUND(K10/195,0)</f>
        <v>2</v>
      </c>
      <c r="T10" s="161">
        <f t="shared" si="7"/>
        <v>54</v>
      </c>
      <c r="U10" s="161">
        <f>SUMIF(Abril!$F$3:$F$95,B10,Abril!$I$3:$I$95)</f>
        <v>2</v>
      </c>
      <c r="V10" s="161">
        <f t="shared" si="8"/>
        <v>0</v>
      </c>
    </row>
    <row r="11" spans="2:22" ht="15" x14ac:dyDescent="0.25">
      <c r="B11" s="129">
        <v>2087395130</v>
      </c>
      <c r="C11" s="129" t="s">
        <v>1017</v>
      </c>
      <c r="D11" s="129" t="s">
        <v>1018</v>
      </c>
      <c r="E11" s="129" t="s">
        <v>1009</v>
      </c>
      <c r="F11" s="129" t="s">
        <v>1006</v>
      </c>
      <c r="G11" s="129" t="s">
        <v>1019</v>
      </c>
      <c r="H11" s="129" t="s">
        <v>300</v>
      </c>
      <c r="I11" s="129">
        <v>1</v>
      </c>
      <c r="J11" s="129">
        <v>2</v>
      </c>
      <c r="K11" s="254">
        <v>180</v>
      </c>
      <c r="L11" s="254"/>
      <c r="M11" s="254"/>
      <c r="N11" s="98">
        <f t="shared" si="2"/>
        <v>1</v>
      </c>
      <c r="O11" s="99">
        <f t="shared" si="9"/>
        <v>180</v>
      </c>
      <c r="P11" s="98">
        <v>1</v>
      </c>
      <c r="Q11" s="98">
        <f t="shared" si="4"/>
        <v>1</v>
      </c>
      <c r="R11" s="99">
        <f t="shared" si="10"/>
        <v>180</v>
      </c>
      <c r="S11" s="161">
        <f t="shared" si="11"/>
        <v>1</v>
      </c>
      <c r="T11" s="161">
        <f t="shared" si="7"/>
        <v>27</v>
      </c>
      <c r="U11" s="161">
        <f>SUMIF(Abril!$F$3:$F$95,B11,Abril!$I$3:$I$95)</f>
        <v>1</v>
      </c>
      <c r="V11" s="161">
        <f t="shared" si="8"/>
        <v>0</v>
      </c>
    </row>
    <row r="12" spans="2:22" ht="15" x14ac:dyDescent="0.25">
      <c r="B12" s="129">
        <v>1027022059</v>
      </c>
      <c r="C12" s="129" t="s">
        <v>1020</v>
      </c>
      <c r="D12" s="129" t="s">
        <v>1021</v>
      </c>
      <c r="E12" s="129" t="s">
        <v>998</v>
      </c>
      <c r="F12" s="129" t="s">
        <v>1022</v>
      </c>
      <c r="G12" s="129" t="s">
        <v>1023</v>
      </c>
      <c r="H12" s="129" t="s">
        <v>300</v>
      </c>
      <c r="I12" s="129">
        <v>1</v>
      </c>
      <c r="J12" s="129">
        <v>1</v>
      </c>
      <c r="K12" s="254">
        <v>975</v>
      </c>
      <c r="L12" s="254"/>
      <c r="M12" s="254"/>
      <c r="N12" s="98">
        <f t="shared" si="2"/>
        <v>5</v>
      </c>
      <c r="O12" s="99">
        <f t="shared" si="9"/>
        <v>195</v>
      </c>
      <c r="P12" s="98">
        <v>1</v>
      </c>
      <c r="Q12" s="98">
        <f t="shared" si="4"/>
        <v>5</v>
      </c>
      <c r="R12" s="99">
        <f t="shared" si="10"/>
        <v>975</v>
      </c>
      <c r="S12" s="161">
        <f t="shared" si="11"/>
        <v>5</v>
      </c>
      <c r="T12" s="161">
        <f t="shared" si="7"/>
        <v>146.25</v>
      </c>
      <c r="U12" s="161">
        <f>SUMIF(Abril!$F$3:$F$95,B12,Abril!$I$3:$I$95)</f>
        <v>5</v>
      </c>
      <c r="V12" s="161">
        <f t="shared" si="8"/>
        <v>0</v>
      </c>
    </row>
    <row r="13" spans="2:22" ht="14.4" x14ac:dyDescent="0.3">
      <c r="B13" s="129">
        <v>1751835778</v>
      </c>
      <c r="C13" s="129" t="s">
        <v>1024</v>
      </c>
      <c r="D13" s="129" t="s">
        <v>1025</v>
      </c>
      <c r="E13" s="129" t="s">
        <v>998</v>
      </c>
      <c r="F13" s="129" t="s">
        <v>1026</v>
      </c>
      <c r="G13" s="129" t="s">
        <v>1027</v>
      </c>
      <c r="H13" s="129" t="s">
        <v>300</v>
      </c>
      <c r="I13" s="129">
        <v>1</v>
      </c>
      <c r="J13" s="129">
        <v>2</v>
      </c>
      <c r="K13" s="254">
        <v>195</v>
      </c>
      <c r="L13" s="254"/>
      <c r="M13" s="254"/>
      <c r="N13" s="98">
        <f>(F13-E13)</f>
        <v>1</v>
      </c>
      <c r="O13" s="99">
        <f t="shared" si="9"/>
        <v>195</v>
      </c>
      <c r="P13" s="98">
        <v>1</v>
      </c>
      <c r="Q13" s="98">
        <f t="shared" si="4"/>
        <v>1</v>
      </c>
      <c r="R13" s="99">
        <f t="shared" si="10"/>
        <v>195</v>
      </c>
      <c r="S13" s="161">
        <f t="shared" si="11"/>
        <v>1</v>
      </c>
      <c r="T13" s="161">
        <f t="shared" si="7"/>
        <v>29.25</v>
      </c>
      <c r="U13" s="161">
        <f>SUMIF(Abril!$F$3:$F$95,B13,Abril!$I$3:$I$95)</f>
        <v>1</v>
      </c>
      <c r="V13" s="161">
        <f t="shared" si="8"/>
        <v>0</v>
      </c>
    </row>
    <row r="14" spans="2:22" ht="14.4" x14ac:dyDescent="0.3">
      <c r="B14" s="129">
        <v>1796260663</v>
      </c>
      <c r="C14" s="129" t="s">
        <v>1028</v>
      </c>
      <c r="D14" s="129" t="s">
        <v>1029</v>
      </c>
      <c r="E14" s="129" t="s">
        <v>998</v>
      </c>
      <c r="F14" s="129" t="s">
        <v>1030</v>
      </c>
      <c r="G14" s="129" t="s">
        <v>1031</v>
      </c>
      <c r="H14" s="129" t="s">
        <v>300</v>
      </c>
      <c r="I14" s="129">
        <v>1</v>
      </c>
      <c r="J14" s="129">
        <v>2</v>
      </c>
      <c r="K14" s="254">
        <v>1195</v>
      </c>
      <c r="L14" s="254"/>
      <c r="M14" s="254"/>
      <c r="N14" s="98">
        <f t="shared" si="2"/>
        <v>6</v>
      </c>
      <c r="O14" s="99">
        <f t="shared" si="9"/>
        <v>199.16666666666666</v>
      </c>
      <c r="P14" s="98">
        <v>1</v>
      </c>
      <c r="Q14" s="98">
        <f t="shared" si="4"/>
        <v>6</v>
      </c>
      <c r="R14" s="99">
        <f t="shared" si="10"/>
        <v>1195</v>
      </c>
      <c r="S14" s="161">
        <f t="shared" si="11"/>
        <v>6</v>
      </c>
      <c r="T14" s="161">
        <f t="shared" si="7"/>
        <v>179.25</v>
      </c>
      <c r="U14" s="161">
        <f>SUMIF(Abril!$F$3:$F$95,B14,Abril!$I$3:$I$95)</f>
        <v>6</v>
      </c>
      <c r="V14" s="161">
        <f t="shared" si="8"/>
        <v>0</v>
      </c>
    </row>
    <row r="15" spans="2:22" ht="15" x14ac:dyDescent="0.25">
      <c r="B15" s="129">
        <v>1875835965</v>
      </c>
      <c r="C15" s="129" t="s">
        <v>1032</v>
      </c>
      <c r="D15" s="129" t="s">
        <v>810</v>
      </c>
      <c r="E15" s="129" t="s">
        <v>998</v>
      </c>
      <c r="F15" s="129" t="s">
        <v>1026</v>
      </c>
      <c r="G15" s="129" t="s">
        <v>1033</v>
      </c>
      <c r="H15" s="129" t="s">
        <v>300</v>
      </c>
      <c r="I15" s="129">
        <v>1</v>
      </c>
      <c r="J15" s="129">
        <v>2</v>
      </c>
      <c r="K15" s="254">
        <v>175.5</v>
      </c>
      <c r="L15" s="254"/>
      <c r="M15" s="254"/>
      <c r="N15" s="98">
        <f t="shared" si="2"/>
        <v>1</v>
      </c>
      <c r="O15" s="99">
        <f t="shared" si="9"/>
        <v>175.5</v>
      </c>
      <c r="P15" s="98">
        <v>1</v>
      </c>
      <c r="Q15" s="98">
        <f t="shared" si="4"/>
        <v>1</v>
      </c>
      <c r="R15" s="99">
        <f t="shared" si="10"/>
        <v>175.5</v>
      </c>
      <c r="S15" s="161">
        <f t="shared" si="11"/>
        <v>1</v>
      </c>
      <c r="T15" s="161">
        <f t="shared" si="7"/>
        <v>26.324999999999999</v>
      </c>
      <c r="U15" s="161">
        <f>SUMIF(Abril!$F$3:$F$95,B15,Abril!$I$3:$I$95)</f>
        <v>1</v>
      </c>
      <c r="V15" s="161">
        <f t="shared" si="8"/>
        <v>0</v>
      </c>
    </row>
    <row r="16" spans="2:22" ht="15" x14ac:dyDescent="0.25">
      <c r="B16" s="129">
        <v>1071191281</v>
      </c>
      <c r="C16" s="129" t="s">
        <v>1034</v>
      </c>
      <c r="D16" s="129" t="s">
        <v>815</v>
      </c>
      <c r="E16" s="129" t="s">
        <v>1026</v>
      </c>
      <c r="F16" s="129" t="s">
        <v>1022</v>
      </c>
      <c r="G16" s="129" t="s">
        <v>1035</v>
      </c>
      <c r="H16" s="129" t="s">
        <v>300</v>
      </c>
      <c r="I16" s="129">
        <v>1</v>
      </c>
      <c r="J16" s="129">
        <v>2</v>
      </c>
      <c r="K16" s="254">
        <v>780</v>
      </c>
      <c r="L16" s="254"/>
      <c r="M16" s="254"/>
      <c r="N16" s="98">
        <f t="shared" si="2"/>
        <v>4</v>
      </c>
      <c r="O16" s="99">
        <f t="shared" si="9"/>
        <v>195</v>
      </c>
      <c r="P16" s="98">
        <v>1</v>
      </c>
      <c r="Q16" s="98">
        <f t="shared" si="4"/>
        <v>4</v>
      </c>
      <c r="R16" s="99">
        <f t="shared" si="10"/>
        <v>780</v>
      </c>
      <c r="S16" s="161">
        <f t="shared" si="11"/>
        <v>4</v>
      </c>
      <c r="T16" s="161">
        <f t="shared" si="7"/>
        <v>117</v>
      </c>
      <c r="U16" s="161">
        <f>SUMIF(Abril!$F$3:$F$95,B16,Abril!$I$3:$I$95)</f>
        <v>4</v>
      </c>
      <c r="V16" s="161">
        <f t="shared" si="8"/>
        <v>0</v>
      </c>
    </row>
    <row r="17" spans="2:22" ht="15" x14ac:dyDescent="0.25">
      <c r="B17" s="129">
        <v>1253710730</v>
      </c>
      <c r="C17" s="129" t="s">
        <v>1032</v>
      </c>
      <c r="D17" s="129" t="s">
        <v>810</v>
      </c>
      <c r="E17" s="129" t="s">
        <v>1026</v>
      </c>
      <c r="F17" s="129" t="s">
        <v>1002</v>
      </c>
      <c r="G17" s="129" t="s">
        <v>1036</v>
      </c>
      <c r="H17" s="129" t="s">
        <v>300</v>
      </c>
      <c r="I17" s="129">
        <v>1</v>
      </c>
      <c r="J17" s="129">
        <v>2</v>
      </c>
      <c r="K17" s="254">
        <v>175.5</v>
      </c>
      <c r="L17" s="254"/>
      <c r="M17" s="254"/>
      <c r="N17" s="98">
        <f t="shared" si="2"/>
        <v>1</v>
      </c>
      <c r="O17" s="99">
        <f t="shared" si="9"/>
        <v>175.5</v>
      </c>
      <c r="P17" s="98">
        <v>1</v>
      </c>
      <c r="Q17" s="98">
        <f t="shared" si="4"/>
        <v>1</v>
      </c>
      <c r="R17" s="99">
        <f t="shared" si="10"/>
        <v>175.5</v>
      </c>
      <c r="S17" s="161">
        <f t="shared" si="11"/>
        <v>1</v>
      </c>
      <c r="T17" s="161">
        <f t="shared" si="7"/>
        <v>26.324999999999999</v>
      </c>
      <c r="U17" s="161">
        <f>SUMIF(Abril!$F$3:$F$95,B17,Abril!$I$3:$I$95)</f>
        <v>1</v>
      </c>
      <c r="V17" s="161">
        <f t="shared" si="8"/>
        <v>0</v>
      </c>
    </row>
    <row r="18" spans="2:22" ht="15" x14ac:dyDescent="0.25">
      <c r="B18" s="129">
        <v>1397356680</v>
      </c>
      <c r="C18" s="129" t="s">
        <v>1037</v>
      </c>
      <c r="D18" s="129" t="s">
        <v>1038</v>
      </c>
      <c r="E18" s="129" t="s">
        <v>1026</v>
      </c>
      <c r="F18" s="129" t="s">
        <v>1039</v>
      </c>
      <c r="G18" s="129" t="s">
        <v>1040</v>
      </c>
      <c r="H18" s="129" t="s">
        <v>300</v>
      </c>
      <c r="I18" s="129">
        <v>1</v>
      </c>
      <c r="J18" s="129">
        <v>2</v>
      </c>
      <c r="K18" s="254">
        <v>585</v>
      </c>
      <c r="L18" s="254"/>
      <c r="M18" s="254"/>
      <c r="N18" s="98">
        <f t="shared" si="2"/>
        <v>3</v>
      </c>
      <c r="O18" s="99">
        <f t="shared" si="9"/>
        <v>195</v>
      </c>
      <c r="P18" s="98">
        <v>1</v>
      </c>
      <c r="Q18" s="98">
        <f t="shared" si="4"/>
        <v>3</v>
      </c>
      <c r="R18" s="99">
        <f t="shared" si="10"/>
        <v>585</v>
      </c>
      <c r="S18" s="161">
        <f t="shared" si="11"/>
        <v>3</v>
      </c>
      <c r="T18" s="161">
        <f t="shared" si="7"/>
        <v>87.75</v>
      </c>
      <c r="U18" s="161">
        <f>SUMIF(Abril!$F$3:$F$95,B18,Abril!$I$3:$I$95)</f>
        <v>3</v>
      </c>
      <c r="V18" s="161">
        <f t="shared" si="8"/>
        <v>0</v>
      </c>
    </row>
    <row r="19" spans="2:22" ht="15" x14ac:dyDescent="0.25">
      <c r="B19" s="129">
        <v>1696766938</v>
      </c>
      <c r="C19" s="129" t="s">
        <v>1041</v>
      </c>
      <c r="D19" s="129" t="s">
        <v>1042</v>
      </c>
      <c r="E19" s="129" t="s">
        <v>1026</v>
      </c>
      <c r="F19" s="129" t="s">
        <v>1043</v>
      </c>
      <c r="G19" s="129" t="s">
        <v>1044</v>
      </c>
      <c r="H19" s="129" t="s">
        <v>300</v>
      </c>
      <c r="I19" s="129">
        <v>1</v>
      </c>
      <c r="J19" s="129">
        <v>2</v>
      </c>
      <c r="K19" s="254">
        <v>390</v>
      </c>
      <c r="L19" s="254"/>
      <c r="M19" s="254"/>
      <c r="N19" s="98">
        <f t="shared" si="2"/>
        <v>2</v>
      </c>
      <c r="O19" s="99">
        <f t="shared" si="9"/>
        <v>195</v>
      </c>
      <c r="P19" s="98">
        <v>1</v>
      </c>
      <c r="Q19" s="98">
        <f t="shared" si="4"/>
        <v>2</v>
      </c>
      <c r="R19" s="99">
        <f t="shared" si="10"/>
        <v>390</v>
      </c>
      <c r="S19" s="161">
        <f t="shared" si="11"/>
        <v>2</v>
      </c>
      <c r="T19" s="161">
        <f t="shared" si="7"/>
        <v>58.5</v>
      </c>
      <c r="U19" s="161">
        <f>SUMIF(Abril!$F$3:$F$95,B19,Abril!$I$3:$I$95)</f>
        <v>2</v>
      </c>
      <c r="V19" s="161">
        <f t="shared" si="8"/>
        <v>0</v>
      </c>
    </row>
    <row r="20" spans="2:22" ht="15" x14ac:dyDescent="0.25">
      <c r="B20" s="129">
        <v>1183478827</v>
      </c>
      <c r="C20" s="129" t="s">
        <v>1045</v>
      </c>
      <c r="D20" s="129" t="s">
        <v>1045</v>
      </c>
      <c r="E20" s="129" t="s">
        <v>1002</v>
      </c>
      <c r="F20" s="129" t="s">
        <v>1043</v>
      </c>
      <c r="G20" s="129" t="s">
        <v>1046</v>
      </c>
      <c r="H20" s="129" t="s">
        <v>300</v>
      </c>
      <c r="I20" s="129">
        <v>1</v>
      </c>
      <c r="J20" s="129">
        <v>2</v>
      </c>
      <c r="K20" s="254">
        <v>195</v>
      </c>
      <c r="L20" s="254"/>
      <c r="M20" s="254"/>
      <c r="N20" s="98">
        <f t="shared" si="2"/>
        <v>1</v>
      </c>
      <c r="O20" s="99">
        <f t="shared" si="9"/>
        <v>195</v>
      </c>
      <c r="P20" s="98">
        <v>1</v>
      </c>
      <c r="Q20" s="98">
        <f t="shared" si="4"/>
        <v>1</v>
      </c>
      <c r="R20" s="99">
        <f t="shared" si="10"/>
        <v>195</v>
      </c>
      <c r="S20" s="161">
        <f t="shared" si="11"/>
        <v>1</v>
      </c>
      <c r="T20" s="161">
        <f t="shared" si="7"/>
        <v>29.25</v>
      </c>
      <c r="U20" s="161">
        <f>SUMIF(Abril!$F$3:$F$95,B20,Abril!$I$3:$I$95)</f>
        <v>1</v>
      </c>
      <c r="V20" s="161">
        <f t="shared" si="8"/>
        <v>0</v>
      </c>
    </row>
    <row r="21" spans="2:22" ht="15" x14ac:dyDescent="0.25">
      <c r="B21" s="129">
        <v>1998038789</v>
      </c>
      <c r="C21" s="129" t="s">
        <v>1047</v>
      </c>
      <c r="D21" s="129" t="s">
        <v>1048</v>
      </c>
      <c r="E21" s="129" t="s">
        <v>1002</v>
      </c>
      <c r="F21" s="129" t="s">
        <v>1030</v>
      </c>
      <c r="G21" s="129" t="s">
        <v>1049</v>
      </c>
      <c r="H21" s="129" t="s">
        <v>300</v>
      </c>
      <c r="I21" s="129">
        <v>1</v>
      </c>
      <c r="J21" s="129">
        <v>2</v>
      </c>
      <c r="K21" s="254">
        <v>805</v>
      </c>
      <c r="L21" s="254"/>
      <c r="M21" s="254"/>
      <c r="N21" s="98">
        <f t="shared" si="2"/>
        <v>4</v>
      </c>
      <c r="O21" s="99">
        <f t="shared" si="9"/>
        <v>201.25</v>
      </c>
      <c r="P21" s="98">
        <v>1</v>
      </c>
      <c r="Q21" s="98">
        <f t="shared" si="4"/>
        <v>4</v>
      </c>
      <c r="R21" s="99">
        <f t="shared" si="10"/>
        <v>805</v>
      </c>
      <c r="S21" s="161">
        <f t="shared" si="11"/>
        <v>4</v>
      </c>
      <c r="T21" s="161">
        <f t="shared" si="7"/>
        <v>120.75</v>
      </c>
      <c r="U21" s="161">
        <f>SUMIF(Abril!$F$3:$F$95,B21,Abril!$I$3:$I$95)</f>
        <v>4</v>
      </c>
      <c r="V21" s="161">
        <f t="shared" si="8"/>
        <v>0</v>
      </c>
    </row>
    <row r="22" spans="2:22" ht="15" x14ac:dyDescent="0.25">
      <c r="B22" s="129">
        <v>2025461045</v>
      </c>
      <c r="C22" s="129" t="s">
        <v>1050</v>
      </c>
      <c r="D22" s="129" t="s">
        <v>1051</v>
      </c>
      <c r="E22" s="129" t="s">
        <v>1002</v>
      </c>
      <c r="F22" s="129" t="s">
        <v>1039</v>
      </c>
      <c r="G22" s="129" t="s">
        <v>1052</v>
      </c>
      <c r="H22" s="129" t="s">
        <v>300</v>
      </c>
      <c r="I22" s="129">
        <v>1</v>
      </c>
      <c r="J22" s="129">
        <v>2</v>
      </c>
      <c r="K22" s="254">
        <v>390</v>
      </c>
      <c r="L22" s="254"/>
      <c r="M22" s="254"/>
      <c r="N22" s="98">
        <f t="shared" si="2"/>
        <v>2</v>
      </c>
      <c r="O22" s="99">
        <f t="shared" si="9"/>
        <v>195</v>
      </c>
      <c r="P22" s="98">
        <v>1</v>
      </c>
      <c r="Q22" s="98">
        <f t="shared" si="4"/>
        <v>2</v>
      </c>
      <c r="R22" s="99">
        <f t="shared" si="10"/>
        <v>390</v>
      </c>
      <c r="S22" s="161">
        <f t="shared" si="11"/>
        <v>2</v>
      </c>
      <c r="T22" s="161">
        <f t="shared" si="7"/>
        <v>58.5</v>
      </c>
      <c r="U22" s="161">
        <f>SUMIF(Abril!$F$3:$F$95,B22,Abril!$I$3:$I$95)</f>
        <v>2</v>
      </c>
      <c r="V22" s="161">
        <f t="shared" si="8"/>
        <v>0</v>
      </c>
    </row>
    <row r="23" spans="2:22" ht="15" x14ac:dyDescent="0.25">
      <c r="B23" s="129">
        <v>1101498059</v>
      </c>
      <c r="C23" s="129" t="s">
        <v>1032</v>
      </c>
      <c r="D23" s="129" t="s">
        <v>810</v>
      </c>
      <c r="E23" s="129" t="s">
        <v>1043</v>
      </c>
      <c r="F23" s="129" t="s">
        <v>1039</v>
      </c>
      <c r="G23" s="129" t="s">
        <v>1053</v>
      </c>
      <c r="H23" s="129" t="s">
        <v>300</v>
      </c>
      <c r="I23" s="129">
        <v>1</v>
      </c>
      <c r="J23" s="129">
        <v>2</v>
      </c>
      <c r="K23" s="254">
        <v>175.5</v>
      </c>
      <c r="L23" s="254"/>
      <c r="M23" s="254"/>
      <c r="N23" s="98">
        <f t="shared" si="2"/>
        <v>1</v>
      </c>
      <c r="O23" s="99">
        <f t="shared" si="9"/>
        <v>175.5</v>
      </c>
      <c r="P23" s="98">
        <v>1</v>
      </c>
      <c r="Q23" s="98">
        <f t="shared" si="4"/>
        <v>1</v>
      </c>
      <c r="R23" s="99">
        <f t="shared" si="10"/>
        <v>175.5</v>
      </c>
      <c r="S23" s="161">
        <f t="shared" si="11"/>
        <v>1</v>
      </c>
      <c r="T23" s="161">
        <f t="shared" si="7"/>
        <v>26.324999999999999</v>
      </c>
      <c r="U23" s="161">
        <f>SUMIF(Abril!$F$3:$F$95,B23,Abril!$I$3:$I$95)</f>
        <v>1</v>
      </c>
      <c r="V23" s="161">
        <f t="shared" si="8"/>
        <v>0</v>
      </c>
    </row>
    <row r="24" spans="2:22" ht="15" x14ac:dyDescent="0.25">
      <c r="B24" s="129">
        <v>1132048091</v>
      </c>
      <c r="C24" s="129" t="s">
        <v>1032</v>
      </c>
      <c r="D24" s="129" t="s">
        <v>810</v>
      </c>
      <c r="E24" s="129" t="s">
        <v>1039</v>
      </c>
      <c r="F24" s="129" t="s">
        <v>1022</v>
      </c>
      <c r="G24" s="129" t="s">
        <v>1054</v>
      </c>
      <c r="H24" s="129" t="s">
        <v>300</v>
      </c>
      <c r="I24" s="129">
        <v>1</v>
      </c>
      <c r="J24" s="129">
        <v>2</v>
      </c>
      <c r="K24" s="254">
        <v>175.5</v>
      </c>
      <c r="L24" s="254"/>
      <c r="M24" s="254"/>
      <c r="N24" s="98">
        <f t="shared" si="2"/>
        <v>1</v>
      </c>
      <c r="O24" s="99">
        <f t="shared" si="9"/>
        <v>175.5</v>
      </c>
      <c r="P24" s="98">
        <v>1</v>
      </c>
      <c r="Q24" s="98">
        <f t="shared" si="4"/>
        <v>1</v>
      </c>
      <c r="R24" s="99">
        <f t="shared" si="10"/>
        <v>175.5</v>
      </c>
      <c r="S24" s="161">
        <f t="shared" si="11"/>
        <v>1</v>
      </c>
      <c r="T24" s="161">
        <f t="shared" si="7"/>
        <v>26.324999999999999</v>
      </c>
      <c r="U24" s="161">
        <f>SUMIF(Abril!$F$3:$F$95,B24,Abril!$I$3:$I$95)</f>
        <v>1</v>
      </c>
      <c r="V24" s="161">
        <f t="shared" si="8"/>
        <v>0</v>
      </c>
    </row>
    <row r="25" spans="2:22" ht="15" x14ac:dyDescent="0.25">
      <c r="B25" s="129">
        <v>1936588919</v>
      </c>
      <c r="C25" s="129" t="s">
        <v>1055</v>
      </c>
      <c r="D25" s="129"/>
      <c r="E25" s="129" t="s">
        <v>1039</v>
      </c>
      <c r="F25" s="129" t="s">
        <v>1056</v>
      </c>
      <c r="G25" s="129" t="s">
        <v>1057</v>
      </c>
      <c r="H25" s="129" t="s">
        <v>300</v>
      </c>
      <c r="I25" s="129">
        <v>1</v>
      </c>
      <c r="J25" s="129">
        <v>2</v>
      </c>
      <c r="K25" s="254">
        <v>635</v>
      </c>
      <c r="L25" s="254"/>
      <c r="M25" s="254"/>
      <c r="N25" s="98">
        <f t="shared" si="2"/>
        <v>3</v>
      </c>
      <c r="O25" s="99">
        <f t="shared" si="9"/>
        <v>211.66666666666666</v>
      </c>
      <c r="P25" s="98">
        <v>1</v>
      </c>
      <c r="Q25" s="98">
        <f t="shared" si="4"/>
        <v>3</v>
      </c>
      <c r="R25" s="99">
        <f t="shared" si="10"/>
        <v>635</v>
      </c>
      <c r="S25" s="161">
        <f t="shared" si="11"/>
        <v>3</v>
      </c>
      <c r="T25" s="161">
        <f t="shared" si="7"/>
        <v>95.25</v>
      </c>
      <c r="U25" s="161">
        <f>SUMIF(Abril!$F$3:$F$95,B25,Abril!$I$3:$I$95)</f>
        <v>3</v>
      </c>
      <c r="V25" s="161">
        <f t="shared" si="8"/>
        <v>0</v>
      </c>
    </row>
    <row r="26" spans="2:22" ht="15" x14ac:dyDescent="0.25">
      <c r="B26" s="129">
        <v>1955808656</v>
      </c>
      <c r="C26" s="129" t="s">
        <v>1058</v>
      </c>
      <c r="D26" s="129" t="s">
        <v>1059</v>
      </c>
      <c r="E26" s="129" t="s">
        <v>1039</v>
      </c>
      <c r="F26" s="129" t="s">
        <v>1056</v>
      </c>
      <c r="G26" s="129" t="s">
        <v>1060</v>
      </c>
      <c r="H26" s="129" t="s">
        <v>300</v>
      </c>
      <c r="I26" s="129">
        <v>1</v>
      </c>
      <c r="J26" s="129">
        <v>2</v>
      </c>
      <c r="K26" s="254">
        <v>635</v>
      </c>
      <c r="L26" s="254"/>
      <c r="M26" s="254"/>
      <c r="N26" s="98">
        <f t="shared" si="2"/>
        <v>3</v>
      </c>
      <c r="O26" s="99">
        <f t="shared" si="3"/>
        <v>211.66666666666666</v>
      </c>
      <c r="P26" s="98">
        <v>1</v>
      </c>
      <c r="Q26" s="98">
        <f t="shared" si="4"/>
        <v>3</v>
      </c>
      <c r="R26" s="99">
        <f t="shared" si="5"/>
        <v>635</v>
      </c>
      <c r="S26" s="161">
        <f t="shared" si="6"/>
        <v>3</v>
      </c>
      <c r="T26" s="161">
        <f t="shared" si="7"/>
        <v>95.25</v>
      </c>
      <c r="U26" s="161">
        <f>SUMIF(Abril!$F$3:$F$95,B26,Abril!$I$3:$I$95)</f>
        <v>3</v>
      </c>
      <c r="V26" s="161">
        <f t="shared" si="8"/>
        <v>0</v>
      </c>
    </row>
    <row r="27" spans="2:22" ht="15" x14ac:dyDescent="0.25">
      <c r="B27" s="129">
        <v>1612601271</v>
      </c>
      <c r="C27" s="129" t="s">
        <v>1061</v>
      </c>
      <c r="D27" s="129"/>
      <c r="E27" s="129" t="s">
        <v>1022</v>
      </c>
      <c r="F27" s="129" t="s">
        <v>1062</v>
      </c>
      <c r="G27" s="129" t="s">
        <v>1063</v>
      </c>
      <c r="H27" s="129" t="s">
        <v>300</v>
      </c>
      <c r="I27" s="129">
        <v>1</v>
      </c>
      <c r="J27" s="129">
        <v>2</v>
      </c>
      <c r="K27" s="254">
        <v>855</v>
      </c>
      <c r="L27" s="254"/>
      <c r="M27" s="254"/>
      <c r="N27" s="98">
        <f t="shared" si="2"/>
        <v>4</v>
      </c>
      <c r="O27" s="99">
        <f t="shared" si="3"/>
        <v>213.75</v>
      </c>
      <c r="P27" s="98">
        <v>1</v>
      </c>
      <c r="Q27" s="98">
        <f t="shared" si="4"/>
        <v>4</v>
      </c>
      <c r="R27" s="99">
        <f t="shared" si="5"/>
        <v>855</v>
      </c>
      <c r="S27" s="161">
        <f t="shared" si="6"/>
        <v>4</v>
      </c>
      <c r="T27" s="161">
        <f t="shared" si="7"/>
        <v>128.25</v>
      </c>
      <c r="U27" s="161">
        <f>SUMIF(Abril!$F$3:$F$95,B27,Abril!$I$3:$I$95)</f>
        <v>4</v>
      </c>
      <c r="V27" s="161">
        <f t="shared" si="8"/>
        <v>0</v>
      </c>
    </row>
    <row r="28" spans="2:22" ht="15" x14ac:dyDescent="0.25">
      <c r="B28" s="129">
        <v>2087988740</v>
      </c>
      <c r="C28" s="129" t="s">
        <v>1064</v>
      </c>
      <c r="D28" s="129" t="s">
        <v>1065</v>
      </c>
      <c r="E28" s="129" t="s">
        <v>1022</v>
      </c>
      <c r="F28" s="129" t="s">
        <v>1066</v>
      </c>
      <c r="G28" s="129" t="s">
        <v>1067</v>
      </c>
      <c r="H28" s="129" t="s">
        <v>300</v>
      </c>
      <c r="I28" s="129">
        <v>1</v>
      </c>
      <c r="J28" s="129">
        <v>2</v>
      </c>
      <c r="K28" s="254">
        <v>660</v>
      </c>
      <c r="L28" s="254"/>
      <c r="M28" s="254"/>
      <c r="N28" s="98">
        <f t="shared" si="2"/>
        <v>3</v>
      </c>
      <c r="O28" s="99">
        <f t="shared" si="3"/>
        <v>220</v>
      </c>
      <c r="P28" s="98">
        <v>1</v>
      </c>
      <c r="Q28" s="98">
        <f t="shared" si="4"/>
        <v>3</v>
      </c>
      <c r="R28" s="99">
        <f t="shared" si="5"/>
        <v>660</v>
      </c>
      <c r="S28" s="161">
        <f t="shared" si="6"/>
        <v>3</v>
      </c>
      <c r="T28" s="161">
        <f t="shared" si="7"/>
        <v>99</v>
      </c>
      <c r="U28" s="161">
        <f>SUMIF(Abril!$F$3:$F$95,B28,Abril!$I$3:$I$95)</f>
        <v>3</v>
      </c>
      <c r="V28" s="161">
        <f t="shared" si="8"/>
        <v>0</v>
      </c>
    </row>
    <row r="29" spans="2:22" ht="15" x14ac:dyDescent="0.25">
      <c r="B29" s="129">
        <v>1317899400</v>
      </c>
      <c r="C29" s="129" t="s">
        <v>1068</v>
      </c>
      <c r="D29" s="129" t="s">
        <v>1069</v>
      </c>
      <c r="E29" s="129" t="s">
        <v>1030</v>
      </c>
      <c r="F29" s="129" t="s">
        <v>1066</v>
      </c>
      <c r="G29" s="129" t="s">
        <v>1070</v>
      </c>
      <c r="H29" s="129" t="s">
        <v>300</v>
      </c>
      <c r="I29" s="129">
        <v>1</v>
      </c>
      <c r="J29" s="129">
        <v>2</v>
      </c>
      <c r="K29" s="254">
        <v>351</v>
      </c>
      <c r="L29" s="254"/>
      <c r="M29" s="254"/>
      <c r="N29" s="98">
        <f t="shared" si="2"/>
        <v>2</v>
      </c>
      <c r="O29" s="99">
        <f t="shared" ref="O29:O45" si="12">K29/N29/P29*IF(H29="ok",1,0)</f>
        <v>175.5</v>
      </c>
      <c r="P29" s="98">
        <v>1</v>
      </c>
      <c r="Q29" s="98">
        <f t="shared" si="4"/>
        <v>2</v>
      </c>
      <c r="R29" s="99">
        <f t="shared" ref="R29:R45" si="13">O29*Q29</f>
        <v>351</v>
      </c>
      <c r="S29" s="161">
        <f t="shared" ref="S29:S45" si="14">ROUND(K29/195,0)</f>
        <v>2</v>
      </c>
      <c r="T29" s="161">
        <f t="shared" si="7"/>
        <v>52.65</v>
      </c>
      <c r="U29" s="161">
        <f>SUMIF(Abril!$F$3:$F$95,B29,Abril!$I$3:$I$95)</f>
        <v>2</v>
      </c>
      <c r="V29" s="161">
        <f t="shared" si="8"/>
        <v>0</v>
      </c>
    </row>
    <row r="30" spans="2:22" ht="15" x14ac:dyDescent="0.25">
      <c r="B30" s="129">
        <v>1364838208</v>
      </c>
      <c r="C30" s="129" t="s">
        <v>1047</v>
      </c>
      <c r="D30" s="129" t="s">
        <v>1048</v>
      </c>
      <c r="E30" s="129" t="s">
        <v>1030</v>
      </c>
      <c r="F30" s="129" t="s">
        <v>1056</v>
      </c>
      <c r="G30" s="129" t="s">
        <v>1071</v>
      </c>
      <c r="H30" s="129" t="s">
        <v>300</v>
      </c>
      <c r="I30" s="129">
        <v>1</v>
      </c>
      <c r="J30" s="129">
        <v>2</v>
      </c>
      <c r="K30" s="254">
        <v>220</v>
      </c>
      <c r="L30" s="254"/>
      <c r="M30" s="254"/>
      <c r="N30" s="98">
        <f t="shared" si="2"/>
        <v>1</v>
      </c>
      <c r="O30" s="99">
        <f t="shared" si="12"/>
        <v>220</v>
      </c>
      <c r="P30" s="98">
        <v>1</v>
      </c>
      <c r="Q30" s="98">
        <f t="shared" si="4"/>
        <v>1</v>
      </c>
      <c r="R30" s="99">
        <f t="shared" si="13"/>
        <v>220</v>
      </c>
      <c r="S30" s="161">
        <f t="shared" si="14"/>
        <v>1</v>
      </c>
      <c r="T30" s="161">
        <f t="shared" si="7"/>
        <v>33</v>
      </c>
      <c r="U30" s="161">
        <f>SUMIF(Abril!$F$3:$F$95,B30,Abril!$I$3:$I$95)</f>
        <v>1</v>
      </c>
      <c r="V30" s="161">
        <f t="shared" si="8"/>
        <v>0</v>
      </c>
    </row>
    <row r="31" spans="2:22" ht="15" x14ac:dyDescent="0.25">
      <c r="B31" s="129">
        <v>1866598311</v>
      </c>
      <c r="C31" s="129" t="s">
        <v>1072</v>
      </c>
      <c r="D31" s="129" t="s">
        <v>1073</v>
      </c>
      <c r="E31" s="129" t="s">
        <v>1030</v>
      </c>
      <c r="F31" s="129" t="s">
        <v>1066</v>
      </c>
      <c r="G31" s="129" t="s">
        <v>1074</v>
      </c>
      <c r="H31" s="129" t="s">
        <v>300</v>
      </c>
      <c r="I31" s="129">
        <v>1</v>
      </c>
      <c r="J31" s="129">
        <v>2</v>
      </c>
      <c r="K31" s="254">
        <v>440</v>
      </c>
      <c r="L31" s="254"/>
      <c r="M31" s="254"/>
      <c r="N31" s="98">
        <f t="shared" si="2"/>
        <v>2</v>
      </c>
      <c r="O31" s="99">
        <f t="shared" si="12"/>
        <v>220</v>
      </c>
      <c r="P31" s="98">
        <v>1</v>
      </c>
      <c r="Q31" s="98">
        <f t="shared" si="4"/>
        <v>2</v>
      </c>
      <c r="R31" s="99">
        <f t="shared" si="13"/>
        <v>440</v>
      </c>
      <c r="S31" s="161">
        <f t="shared" si="14"/>
        <v>2</v>
      </c>
      <c r="T31" s="161">
        <f t="shared" si="7"/>
        <v>66</v>
      </c>
      <c r="U31" s="161">
        <f>SUMIF(Abril!$F$3:$F$95,B31,Abril!$I$3:$I$95)</f>
        <v>2</v>
      </c>
      <c r="V31" s="161">
        <f t="shared" si="8"/>
        <v>0</v>
      </c>
    </row>
    <row r="32" spans="2:22" ht="15" x14ac:dyDescent="0.25">
      <c r="B32" s="129">
        <v>1632429125</v>
      </c>
      <c r="C32" s="129" t="s">
        <v>1075</v>
      </c>
      <c r="D32" s="129" t="s">
        <v>1076</v>
      </c>
      <c r="E32" s="129" t="s">
        <v>1056</v>
      </c>
      <c r="F32" s="129" t="s">
        <v>1077</v>
      </c>
      <c r="G32" s="129" t="s">
        <v>1078</v>
      </c>
      <c r="H32" s="129" t="s">
        <v>300</v>
      </c>
      <c r="I32" s="129">
        <v>1</v>
      </c>
      <c r="J32" s="129">
        <v>2</v>
      </c>
      <c r="K32" s="254">
        <v>1000</v>
      </c>
      <c r="L32" s="254"/>
      <c r="M32" s="254"/>
      <c r="N32" s="98">
        <f t="shared" si="2"/>
        <v>5</v>
      </c>
      <c r="O32" s="99">
        <f t="shared" si="12"/>
        <v>200</v>
      </c>
      <c r="P32" s="98">
        <v>1</v>
      </c>
      <c r="Q32" s="98">
        <f t="shared" si="4"/>
        <v>5</v>
      </c>
      <c r="R32" s="99">
        <f t="shared" si="13"/>
        <v>1000</v>
      </c>
      <c r="S32" s="161">
        <f t="shared" si="14"/>
        <v>5</v>
      </c>
      <c r="T32" s="161">
        <f t="shared" si="7"/>
        <v>150</v>
      </c>
      <c r="U32" s="161">
        <f>SUMIF(Abril!$F$3:$F$95,B32,Abril!$I$3:$I$95)</f>
        <v>5</v>
      </c>
      <c r="V32" s="161">
        <f t="shared" si="8"/>
        <v>0</v>
      </c>
    </row>
    <row r="33" spans="2:22" ht="15" x14ac:dyDescent="0.25">
      <c r="B33" s="129">
        <v>1696596833</v>
      </c>
      <c r="C33" s="129" t="s">
        <v>1079</v>
      </c>
      <c r="D33" s="129" t="s">
        <v>1080</v>
      </c>
      <c r="E33" s="129" t="s">
        <v>1056</v>
      </c>
      <c r="F33" s="129" t="s">
        <v>1081</v>
      </c>
      <c r="G33" s="129" t="s">
        <v>1082</v>
      </c>
      <c r="H33" s="129" t="s">
        <v>300</v>
      </c>
      <c r="I33" s="129">
        <v>1</v>
      </c>
      <c r="J33" s="129">
        <v>2</v>
      </c>
      <c r="K33" s="254">
        <v>610</v>
      </c>
      <c r="L33" s="254"/>
      <c r="M33" s="254"/>
      <c r="N33" s="98">
        <f t="shared" si="2"/>
        <v>3</v>
      </c>
      <c r="O33" s="99">
        <f t="shared" si="12"/>
        <v>203.33333333333334</v>
      </c>
      <c r="P33" s="98">
        <v>1</v>
      </c>
      <c r="Q33" s="98">
        <f t="shared" si="4"/>
        <v>3</v>
      </c>
      <c r="R33" s="99">
        <f t="shared" si="13"/>
        <v>610</v>
      </c>
      <c r="S33" s="161">
        <f t="shared" si="14"/>
        <v>3</v>
      </c>
      <c r="T33" s="161">
        <f t="shared" si="7"/>
        <v>91.5</v>
      </c>
      <c r="U33" s="161">
        <f>SUMIF(Abril!$F$3:$F$95,B33,Abril!$I$3:$I$95)</f>
        <v>3</v>
      </c>
      <c r="V33" s="161">
        <f t="shared" si="8"/>
        <v>0</v>
      </c>
    </row>
    <row r="34" spans="2:22" ht="15" x14ac:dyDescent="0.25">
      <c r="B34" s="129">
        <v>1801203877</v>
      </c>
      <c r="C34" s="129" t="s">
        <v>1083</v>
      </c>
      <c r="D34" s="129" t="s">
        <v>1084</v>
      </c>
      <c r="E34" s="129" t="s">
        <v>1056</v>
      </c>
      <c r="F34" s="129" t="s">
        <v>1062</v>
      </c>
      <c r="G34" s="129" t="s">
        <v>1085</v>
      </c>
      <c r="H34" s="129" t="s">
        <v>300</v>
      </c>
      <c r="I34" s="129">
        <v>1</v>
      </c>
      <c r="J34" s="129">
        <v>2</v>
      </c>
      <c r="K34" s="254">
        <v>415</v>
      </c>
      <c r="L34" s="254"/>
      <c r="M34" s="254"/>
      <c r="N34" s="98">
        <f t="shared" si="2"/>
        <v>2</v>
      </c>
      <c r="O34" s="99">
        <f t="shared" si="12"/>
        <v>207.5</v>
      </c>
      <c r="P34" s="98">
        <v>1</v>
      </c>
      <c r="Q34" s="98">
        <f t="shared" si="4"/>
        <v>2</v>
      </c>
      <c r="R34" s="99">
        <f t="shared" si="13"/>
        <v>415</v>
      </c>
      <c r="S34" s="161">
        <f t="shared" si="14"/>
        <v>2</v>
      </c>
      <c r="T34" s="161">
        <f t="shared" si="7"/>
        <v>62.25</v>
      </c>
      <c r="U34" s="161">
        <f>SUMIF(Abril!$F$3:$F$95,B34,Abril!$I$3:$I$95)</f>
        <v>2</v>
      </c>
      <c r="V34" s="161">
        <f t="shared" si="8"/>
        <v>0</v>
      </c>
    </row>
    <row r="35" spans="2:22" ht="15" x14ac:dyDescent="0.25">
      <c r="B35" s="129">
        <v>1859700189</v>
      </c>
      <c r="C35" s="129" t="s">
        <v>1086</v>
      </c>
      <c r="D35" s="129" t="s">
        <v>1087</v>
      </c>
      <c r="E35" s="129" t="s">
        <v>1056</v>
      </c>
      <c r="F35" s="129" t="s">
        <v>1077</v>
      </c>
      <c r="G35" s="129" t="s">
        <v>1088</v>
      </c>
      <c r="H35" s="129" t="s">
        <v>300</v>
      </c>
      <c r="I35" s="129">
        <v>1</v>
      </c>
      <c r="J35" s="129">
        <v>2</v>
      </c>
      <c r="K35" s="254">
        <v>1000</v>
      </c>
      <c r="L35" s="254"/>
      <c r="M35" s="254"/>
      <c r="N35" s="98">
        <f t="shared" si="2"/>
        <v>5</v>
      </c>
      <c r="O35" s="99">
        <f t="shared" si="12"/>
        <v>200</v>
      </c>
      <c r="P35" s="98">
        <v>1</v>
      </c>
      <c r="Q35" s="98">
        <f t="shared" si="4"/>
        <v>5</v>
      </c>
      <c r="R35" s="99">
        <f t="shared" si="13"/>
        <v>1000</v>
      </c>
      <c r="S35" s="161">
        <f t="shared" si="14"/>
        <v>5</v>
      </c>
      <c r="T35" s="161">
        <f t="shared" si="7"/>
        <v>150</v>
      </c>
      <c r="U35" s="161">
        <f>SUMIF(Abril!$F$3:$F$95,B35,Abril!$I$3:$I$95)</f>
        <v>5</v>
      </c>
      <c r="V35" s="161">
        <f t="shared" si="8"/>
        <v>0</v>
      </c>
    </row>
    <row r="36" spans="2:22" ht="15" x14ac:dyDescent="0.25">
      <c r="B36" s="129">
        <v>1209421506</v>
      </c>
      <c r="C36" s="129" t="s">
        <v>1089</v>
      </c>
      <c r="D36" s="129" t="s">
        <v>1090</v>
      </c>
      <c r="E36" s="129" t="s">
        <v>1066</v>
      </c>
      <c r="F36" s="129" t="s">
        <v>1091</v>
      </c>
      <c r="G36" s="129" t="s">
        <v>1092</v>
      </c>
      <c r="H36" s="129" t="s">
        <v>300</v>
      </c>
      <c r="I36" s="129">
        <v>1</v>
      </c>
      <c r="J36" s="129">
        <v>2</v>
      </c>
      <c r="K36" s="254">
        <v>585</v>
      </c>
      <c r="L36" s="254"/>
      <c r="M36" s="254"/>
      <c r="N36" s="98">
        <f t="shared" si="2"/>
        <v>3</v>
      </c>
      <c r="O36" s="99">
        <f t="shared" si="12"/>
        <v>195</v>
      </c>
      <c r="P36" s="98">
        <v>1</v>
      </c>
      <c r="Q36" s="98">
        <f t="shared" si="4"/>
        <v>3</v>
      </c>
      <c r="R36" s="99">
        <f t="shared" si="13"/>
        <v>585</v>
      </c>
      <c r="S36" s="161">
        <f t="shared" si="14"/>
        <v>3</v>
      </c>
      <c r="T36" s="161">
        <f t="shared" si="7"/>
        <v>87.75</v>
      </c>
      <c r="U36" s="161">
        <f>SUMIF(Abril!$F$3:$F$95,B36,Abril!$I$3:$I$95)</f>
        <v>3</v>
      </c>
      <c r="V36" s="161">
        <f t="shared" si="8"/>
        <v>0</v>
      </c>
    </row>
    <row r="37" spans="2:22" ht="15" x14ac:dyDescent="0.25">
      <c r="B37" s="129">
        <v>1834621520</v>
      </c>
      <c r="C37" s="129" t="s">
        <v>1093</v>
      </c>
      <c r="D37" s="129" t="s">
        <v>1094</v>
      </c>
      <c r="E37" s="129" t="s">
        <v>1066</v>
      </c>
      <c r="F37" s="129" t="s">
        <v>1062</v>
      </c>
      <c r="G37" s="129" t="s">
        <v>1095</v>
      </c>
      <c r="H37" s="129" t="s">
        <v>300</v>
      </c>
      <c r="I37" s="129">
        <v>1</v>
      </c>
      <c r="J37" s="129">
        <v>2</v>
      </c>
      <c r="K37" s="254">
        <v>195</v>
      </c>
      <c r="L37" s="254"/>
      <c r="M37" s="254"/>
      <c r="N37" s="98">
        <f t="shared" si="2"/>
        <v>1</v>
      </c>
      <c r="O37" s="99">
        <f t="shared" si="12"/>
        <v>195</v>
      </c>
      <c r="P37" s="98">
        <v>1</v>
      </c>
      <c r="Q37" s="98">
        <f t="shared" si="4"/>
        <v>1</v>
      </c>
      <c r="R37" s="99">
        <f t="shared" si="13"/>
        <v>195</v>
      </c>
      <c r="S37" s="161">
        <f t="shared" si="14"/>
        <v>1</v>
      </c>
      <c r="T37" s="161">
        <f t="shared" si="7"/>
        <v>29.25</v>
      </c>
      <c r="U37" s="161">
        <f>SUMIF(Abril!$F$3:$F$95,B37,Abril!$I$3:$I$95)</f>
        <v>1</v>
      </c>
      <c r="V37" s="161">
        <f t="shared" si="8"/>
        <v>0</v>
      </c>
    </row>
    <row r="38" spans="2:22" ht="15" x14ac:dyDescent="0.25">
      <c r="B38" s="129">
        <v>1861583098</v>
      </c>
      <c r="C38" s="129" t="s">
        <v>1096</v>
      </c>
      <c r="D38" s="129" t="s">
        <v>1097</v>
      </c>
      <c r="E38" s="129" t="s">
        <v>1066</v>
      </c>
      <c r="F38" s="129" t="s">
        <v>1091</v>
      </c>
      <c r="G38" s="129" t="s">
        <v>1098</v>
      </c>
      <c r="H38" s="129" t="s">
        <v>300</v>
      </c>
      <c r="I38" s="129">
        <v>1</v>
      </c>
      <c r="J38" s="129">
        <v>2</v>
      </c>
      <c r="K38" s="254">
        <v>585</v>
      </c>
      <c r="L38" s="254"/>
      <c r="M38" s="254"/>
      <c r="N38" s="98">
        <f t="shared" si="2"/>
        <v>3</v>
      </c>
      <c r="O38" s="99">
        <f t="shared" si="12"/>
        <v>195</v>
      </c>
      <c r="P38" s="98">
        <v>1</v>
      </c>
      <c r="Q38" s="98">
        <f t="shared" si="4"/>
        <v>3</v>
      </c>
      <c r="R38" s="99">
        <f t="shared" si="13"/>
        <v>585</v>
      </c>
      <c r="S38" s="161">
        <f t="shared" si="14"/>
        <v>3</v>
      </c>
      <c r="T38" s="161">
        <f t="shared" si="7"/>
        <v>87.75</v>
      </c>
      <c r="U38" s="161">
        <f>SUMIF(Abril!$F$3:$F$95,B38,Abril!$I$3:$I$95)</f>
        <v>3</v>
      </c>
      <c r="V38" s="161">
        <f t="shared" si="8"/>
        <v>0</v>
      </c>
    </row>
    <row r="39" spans="2:22" ht="15" x14ac:dyDescent="0.25">
      <c r="B39" s="129">
        <v>1203002007</v>
      </c>
      <c r="C39" s="129" t="s">
        <v>1083</v>
      </c>
      <c r="D39" s="129" t="s">
        <v>1084</v>
      </c>
      <c r="E39" s="129" t="s">
        <v>1062</v>
      </c>
      <c r="F39" s="129" t="s">
        <v>1081</v>
      </c>
      <c r="G39" s="129" t="s">
        <v>1099</v>
      </c>
      <c r="H39" s="129" t="s">
        <v>300</v>
      </c>
      <c r="I39" s="129">
        <v>1</v>
      </c>
      <c r="J39" s="129">
        <v>2</v>
      </c>
      <c r="K39" s="254">
        <v>175.5</v>
      </c>
      <c r="L39" s="254"/>
      <c r="M39" s="254"/>
      <c r="N39" s="98">
        <f t="shared" si="2"/>
        <v>1</v>
      </c>
      <c r="O39" s="99">
        <f t="shared" si="12"/>
        <v>175.5</v>
      </c>
      <c r="P39" s="98">
        <v>1</v>
      </c>
      <c r="Q39" s="98">
        <f t="shared" si="4"/>
        <v>1</v>
      </c>
      <c r="R39" s="99">
        <f t="shared" si="13"/>
        <v>175.5</v>
      </c>
      <c r="S39" s="161">
        <f t="shared" si="14"/>
        <v>1</v>
      </c>
      <c r="T39" s="161">
        <f t="shared" si="7"/>
        <v>26.324999999999999</v>
      </c>
      <c r="U39" s="161">
        <f>SUMIF(Abril!$F$3:$F$95,B39,Abril!$I$3:$I$95)</f>
        <v>1</v>
      </c>
      <c r="V39" s="161">
        <f t="shared" si="8"/>
        <v>0</v>
      </c>
    </row>
    <row r="40" spans="2:22" ht="15" x14ac:dyDescent="0.25">
      <c r="B40" s="129">
        <v>1727757607</v>
      </c>
      <c r="C40" s="129" t="s">
        <v>1100</v>
      </c>
      <c r="D40" s="129" t="s">
        <v>1101</v>
      </c>
      <c r="E40" s="129" t="s">
        <v>1062</v>
      </c>
      <c r="F40" s="129" t="s">
        <v>1102</v>
      </c>
      <c r="G40" s="129" t="s">
        <v>1103</v>
      </c>
      <c r="H40" s="129" t="s">
        <v>300</v>
      </c>
      <c r="I40" s="129">
        <v>1</v>
      </c>
      <c r="J40" s="129">
        <v>2</v>
      </c>
      <c r="K40" s="254">
        <v>780</v>
      </c>
      <c r="L40" s="254"/>
      <c r="M40" s="254"/>
      <c r="N40" s="98">
        <f t="shared" si="2"/>
        <v>4</v>
      </c>
      <c r="O40" s="99">
        <f t="shared" si="12"/>
        <v>195</v>
      </c>
      <c r="P40" s="98">
        <v>1</v>
      </c>
      <c r="Q40" s="98">
        <f t="shared" si="4"/>
        <v>4</v>
      </c>
      <c r="R40" s="99">
        <f t="shared" si="13"/>
        <v>780</v>
      </c>
      <c r="S40" s="161">
        <f t="shared" si="14"/>
        <v>4</v>
      </c>
      <c r="T40" s="161">
        <f t="shared" si="7"/>
        <v>117</v>
      </c>
      <c r="U40" s="161">
        <f>SUMIF(Abril!$F$3:$F$95,B40,Abril!$I$3:$I$95)</f>
        <v>4</v>
      </c>
      <c r="V40" s="161">
        <f t="shared" si="8"/>
        <v>0</v>
      </c>
    </row>
    <row r="41" spans="2:22" ht="15" x14ac:dyDescent="0.25">
      <c r="B41" s="129">
        <v>1776267851</v>
      </c>
      <c r="C41" s="129" t="s">
        <v>1104</v>
      </c>
      <c r="D41" s="129" t="s">
        <v>1105</v>
      </c>
      <c r="E41" s="129" t="s">
        <v>1062</v>
      </c>
      <c r="F41" s="129" t="s">
        <v>1077</v>
      </c>
      <c r="G41" s="129" t="s">
        <v>1106</v>
      </c>
      <c r="H41" s="129" t="s">
        <v>300</v>
      </c>
      <c r="I41" s="129">
        <v>1</v>
      </c>
      <c r="J41" s="129">
        <v>2</v>
      </c>
      <c r="K41" s="254">
        <v>585</v>
      </c>
      <c r="L41" s="254"/>
      <c r="M41" s="254"/>
      <c r="N41" s="98">
        <f t="shared" si="2"/>
        <v>3</v>
      </c>
      <c r="O41" s="99">
        <f t="shared" si="12"/>
        <v>195</v>
      </c>
      <c r="P41" s="98">
        <v>1</v>
      </c>
      <c r="Q41" s="98">
        <f t="shared" si="4"/>
        <v>3</v>
      </c>
      <c r="R41" s="99">
        <f t="shared" si="13"/>
        <v>585</v>
      </c>
      <c r="S41" s="161">
        <f t="shared" si="14"/>
        <v>3</v>
      </c>
      <c r="T41" s="161">
        <f t="shared" si="7"/>
        <v>87.75</v>
      </c>
      <c r="U41" s="161">
        <f>SUMIF(Abril!$F$3:$F$95,B41,Abril!$I$3:$I$95)</f>
        <v>3</v>
      </c>
      <c r="V41" s="161">
        <f t="shared" si="8"/>
        <v>0</v>
      </c>
    </row>
    <row r="42" spans="2:22" ht="15" x14ac:dyDescent="0.25">
      <c r="B42" s="129">
        <v>1164366892</v>
      </c>
      <c r="C42" s="129" t="s">
        <v>1107</v>
      </c>
      <c r="D42" s="129" t="s">
        <v>1108</v>
      </c>
      <c r="E42" s="129" t="s">
        <v>1081</v>
      </c>
      <c r="F42" s="129" t="s">
        <v>1077</v>
      </c>
      <c r="G42" s="129" t="s">
        <v>1109</v>
      </c>
      <c r="H42" s="129" t="s">
        <v>300</v>
      </c>
      <c r="I42" s="129">
        <v>2</v>
      </c>
      <c r="J42" s="129">
        <v>4</v>
      </c>
      <c r="K42" s="254">
        <v>780</v>
      </c>
      <c r="L42" s="254"/>
      <c r="M42" s="254"/>
      <c r="N42" s="98">
        <f t="shared" si="2"/>
        <v>2</v>
      </c>
      <c r="O42" s="99">
        <f t="shared" si="12"/>
        <v>390</v>
      </c>
      <c r="P42" s="98">
        <v>1</v>
      </c>
      <c r="Q42" s="98">
        <f t="shared" si="4"/>
        <v>2</v>
      </c>
      <c r="R42" s="99">
        <f t="shared" si="13"/>
        <v>780</v>
      </c>
      <c r="S42" s="161">
        <f t="shared" si="14"/>
        <v>4</v>
      </c>
      <c r="T42" s="161">
        <f t="shared" si="7"/>
        <v>117</v>
      </c>
      <c r="U42" s="161">
        <f>SUMIF(Abril!$F$3:$F$95,B42,Abril!$I$3:$I$95)</f>
        <v>4</v>
      </c>
      <c r="V42" s="161">
        <f t="shared" si="8"/>
        <v>-2</v>
      </c>
    </row>
    <row r="43" spans="2:22" ht="15" x14ac:dyDescent="0.25">
      <c r="B43" s="129">
        <v>1260861194</v>
      </c>
      <c r="C43" s="129" t="s">
        <v>1110</v>
      </c>
      <c r="D43" s="129" t="s">
        <v>1111</v>
      </c>
      <c r="E43" s="129" t="s">
        <v>1081</v>
      </c>
      <c r="F43" s="129" t="s">
        <v>1112</v>
      </c>
      <c r="G43" s="129" t="s">
        <v>1113</v>
      </c>
      <c r="H43" s="129" t="s">
        <v>300</v>
      </c>
      <c r="I43" s="129">
        <v>1</v>
      </c>
      <c r="J43" s="129">
        <v>2</v>
      </c>
      <c r="K43" s="254">
        <v>1170</v>
      </c>
      <c r="L43" s="254"/>
      <c r="M43" s="254"/>
      <c r="N43" s="98">
        <f t="shared" si="2"/>
        <v>6</v>
      </c>
      <c r="O43" s="99">
        <f t="shared" si="12"/>
        <v>195</v>
      </c>
      <c r="P43" s="98">
        <v>1</v>
      </c>
      <c r="Q43" s="98">
        <f t="shared" si="4"/>
        <v>6</v>
      </c>
      <c r="R43" s="99">
        <f t="shared" si="13"/>
        <v>1170</v>
      </c>
      <c r="S43" s="161">
        <f t="shared" si="14"/>
        <v>6</v>
      </c>
      <c r="T43" s="161">
        <f t="shared" si="7"/>
        <v>175.5</v>
      </c>
      <c r="U43" s="161">
        <f>SUMIF(Abril!$F$3:$F$95,B43,Abril!$I$3:$I$95)</f>
        <v>6</v>
      </c>
      <c r="V43" s="161">
        <f t="shared" si="8"/>
        <v>0</v>
      </c>
    </row>
    <row r="44" spans="2:22" ht="14.4" x14ac:dyDescent="0.3">
      <c r="B44" s="129">
        <v>1180931359</v>
      </c>
      <c r="C44" s="129" t="s">
        <v>1114</v>
      </c>
      <c r="D44" s="129" t="s">
        <v>1115</v>
      </c>
      <c r="E44" s="129" t="s">
        <v>1077</v>
      </c>
      <c r="F44" s="129" t="s">
        <v>1116</v>
      </c>
      <c r="G44" s="129" t="s">
        <v>1117</v>
      </c>
      <c r="H44" s="129" t="s">
        <v>300</v>
      </c>
      <c r="I44" s="129">
        <v>1</v>
      </c>
      <c r="J44" s="129">
        <v>2</v>
      </c>
      <c r="K44" s="254">
        <v>585</v>
      </c>
      <c r="L44" s="254"/>
      <c r="M44" s="254"/>
      <c r="N44" s="98">
        <f t="shared" si="2"/>
        <v>3</v>
      </c>
      <c r="O44" s="99">
        <f t="shared" si="12"/>
        <v>195</v>
      </c>
      <c r="P44" s="98">
        <v>1</v>
      </c>
      <c r="Q44" s="98">
        <f t="shared" si="4"/>
        <v>3</v>
      </c>
      <c r="R44" s="99">
        <f t="shared" si="13"/>
        <v>585</v>
      </c>
      <c r="S44" s="161">
        <f t="shared" si="14"/>
        <v>3</v>
      </c>
      <c r="T44" s="161">
        <f t="shared" si="7"/>
        <v>87.75</v>
      </c>
      <c r="U44" s="161">
        <f>SUMIF(Abril!$F$3:$F$95,B44,Abril!$I$3:$I$95)</f>
        <v>3</v>
      </c>
      <c r="V44" s="161">
        <f t="shared" si="8"/>
        <v>0</v>
      </c>
    </row>
    <row r="45" spans="2:22" ht="14.4" x14ac:dyDescent="0.3">
      <c r="B45" s="129">
        <v>1584227904</v>
      </c>
      <c r="C45" s="129" t="s">
        <v>1118</v>
      </c>
      <c r="D45" s="129" t="s">
        <v>1119</v>
      </c>
      <c r="E45" s="129" t="s">
        <v>1077</v>
      </c>
      <c r="F45" s="129" t="s">
        <v>1120</v>
      </c>
      <c r="G45" s="129" t="s">
        <v>1121</v>
      </c>
      <c r="H45" s="129" t="s">
        <v>300</v>
      </c>
      <c r="I45" s="129">
        <v>2</v>
      </c>
      <c r="J45" s="129">
        <v>4</v>
      </c>
      <c r="K45" s="254">
        <v>780</v>
      </c>
      <c r="L45" s="254"/>
      <c r="M45" s="254"/>
      <c r="N45" s="98">
        <f t="shared" si="2"/>
        <v>2</v>
      </c>
      <c r="O45" s="99">
        <f t="shared" si="12"/>
        <v>390</v>
      </c>
      <c r="P45" s="98">
        <v>1</v>
      </c>
      <c r="Q45" s="98">
        <f t="shared" si="4"/>
        <v>2</v>
      </c>
      <c r="R45" s="99">
        <f t="shared" si="13"/>
        <v>780</v>
      </c>
      <c r="S45" s="161">
        <f t="shared" si="14"/>
        <v>4</v>
      </c>
      <c r="T45" s="161">
        <f t="shared" si="7"/>
        <v>117</v>
      </c>
      <c r="U45" s="161">
        <f>SUMIF(Abril!$F$3:$F$95,B45,Abril!$I$3:$I$95)</f>
        <v>4</v>
      </c>
      <c r="V45" s="161">
        <f t="shared" si="8"/>
        <v>-2</v>
      </c>
    </row>
    <row r="46" spans="2:22" ht="14.4" x14ac:dyDescent="0.3">
      <c r="B46" s="129">
        <v>549969367</v>
      </c>
      <c r="C46" s="129" t="s">
        <v>1122</v>
      </c>
      <c r="D46" s="129" t="s">
        <v>1123</v>
      </c>
      <c r="E46" s="129" t="s">
        <v>1077</v>
      </c>
      <c r="F46" s="129" t="s">
        <v>1112</v>
      </c>
      <c r="G46" s="129" t="s">
        <v>1124</v>
      </c>
      <c r="H46" s="129" t="s">
        <v>300</v>
      </c>
      <c r="I46" s="129">
        <v>1</v>
      </c>
      <c r="J46" s="129">
        <v>2</v>
      </c>
      <c r="K46" s="254">
        <v>760</v>
      </c>
      <c r="L46" s="254"/>
      <c r="M46" s="254"/>
      <c r="N46" s="98">
        <f t="shared" si="2"/>
        <v>4</v>
      </c>
      <c r="O46" s="99">
        <f t="shared" ref="O46:O47" si="15">K46/N46/P46*IF(H46="ok",1,0)</f>
        <v>190</v>
      </c>
      <c r="P46" s="98">
        <v>1</v>
      </c>
      <c r="Q46" s="98">
        <f t="shared" si="4"/>
        <v>4</v>
      </c>
      <c r="R46" s="99">
        <f t="shared" ref="R46:R47" si="16">O46*Q46</f>
        <v>760</v>
      </c>
      <c r="S46" s="161">
        <f t="shared" ref="S46:S47" si="17">ROUND(K46/195,0)</f>
        <v>4</v>
      </c>
      <c r="T46" s="161">
        <f t="shared" si="7"/>
        <v>114</v>
      </c>
      <c r="U46" s="161">
        <f>SUMIF(Abril!$F$3:$F$95,B46,Abril!$I$3:$I$95)</f>
        <v>4</v>
      </c>
      <c r="V46" s="161">
        <f t="shared" ref="V46:V47" si="18">Q46-U46</f>
        <v>0</v>
      </c>
    </row>
    <row r="47" spans="2:22" ht="14.4" x14ac:dyDescent="0.3">
      <c r="B47" s="129">
        <v>1038320245</v>
      </c>
      <c r="C47" s="129" t="s">
        <v>1125</v>
      </c>
      <c r="D47" s="129" t="s">
        <v>1126</v>
      </c>
      <c r="E47" s="129" t="s">
        <v>1102</v>
      </c>
      <c r="F47" s="129" t="s">
        <v>1127</v>
      </c>
      <c r="G47" s="129" t="s">
        <v>1128</v>
      </c>
      <c r="H47" s="129" t="s">
        <v>300</v>
      </c>
      <c r="I47" s="129">
        <v>1</v>
      </c>
      <c r="J47" s="129">
        <v>2</v>
      </c>
      <c r="K47" s="254">
        <v>975</v>
      </c>
      <c r="L47" s="254"/>
      <c r="M47" s="254"/>
      <c r="N47" s="98">
        <f t="shared" si="2"/>
        <v>5</v>
      </c>
      <c r="O47" s="99">
        <f t="shared" si="15"/>
        <v>195</v>
      </c>
      <c r="P47" s="98">
        <v>1</v>
      </c>
      <c r="Q47" s="98">
        <f t="shared" si="4"/>
        <v>5</v>
      </c>
      <c r="R47" s="99">
        <f t="shared" si="16"/>
        <v>975</v>
      </c>
      <c r="S47" s="161">
        <f t="shared" si="17"/>
        <v>5</v>
      </c>
      <c r="T47" s="161">
        <f t="shared" si="7"/>
        <v>146.25</v>
      </c>
      <c r="U47" s="161">
        <f>SUMIF(Abril!$F$3:$F$95,B47,Abril!$I$3:$I$95)</f>
        <v>5</v>
      </c>
      <c r="V47" s="161">
        <f t="shared" si="18"/>
        <v>0</v>
      </c>
    </row>
    <row r="48" spans="2:22" ht="14.4" x14ac:dyDescent="0.3">
      <c r="B48" s="129">
        <v>1163222100</v>
      </c>
      <c r="C48" s="129" t="s">
        <v>1129</v>
      </c>
      <c r="D48" s="129" t="s">
        <v>1130</v>
      </c>
      <c r="E48" s="129" t="s">
        <v>1102</v>
      </c>
      <c r="F48" s="129" t="s">
        <v>1116</v>
      </c>
      <c r="G48" s="129" t="s">
        <v>1131</v>
      </c>
      <c r="H48" s="129" t="s">
        <v>362</v>
      </c>
      <c r="I48" s="129">
        <v>1</v>
      </c>
      <c r="J48" s="129">
        <v>2</v>
      </c>
      <c r="K48" s="254">
        <v>392</v>
      </c>
      <c r="L48" s="254"/>
      <c r="M48" s="254"/>
      <c r="N48" s="98">
        <f t="shared" si="2"/>
        <v>2</v>
      </c>
      <c r="O48" s="99">
        <f t="shared" ref="O48:O50" si="19">K48/N48/P48*IF(H48="ok",1,0)</f>
        <v>0</v>
      </c>
      <c r="P48" s="98">
        <v>1</v>
      </c>
      <c r="Q48" s="98">
        <f t="shared" si="4"/>
        <v>2</v>
      </c>
      <c r="R48" s="99">
        <f t="shared" ref="R48:R50" si="20">O48*Q48</f>
        <v>0</v>
      </c>
      <c r="S48" s="161">
        <f t="shared" ref="S48:S50" si="21">ROUND(K48/195,0)</f>
        <v>2</v>
      </c>
      <c r="T48" s="161">
        <f t="shared" si="7"/>
        <v>58.8</v>
      </c>
      <c r="U48" s="161">
        <f>SUMIF(Abril!$F$3:$F$95,B48,Abril!$I$3:$I$95)</f>
        <v>0</v>
      </c>
      <c r="V48" s="161">
        <f t="shared" ref="V48:V50" si="22">Q48-U48</f>
        <v>2</v>
      </c>
    </row>
    <row r="49" spans="2:22" ht="14.4" x14ac:dyDescent="0.3">
      <c r="B49" s="129">
        <v>2001990368</v>
      </c>
      <c r="C49" s="129" t="s">
        <v>1132</v>
      </c>
      <c r="D49" s="129" t="s">
        <v>1133</v>
      </c>
      <c r="E49" s="129" t="s">
        <v>1102</v>
      </c>
      <c r="F49" s="129" t="s">
        <v>1134</v>
      </c>
      <c r="G49" s="129" t="s">
        <v>1135</v>
      </c>
      <c r="H49" s="129" t="s">
        <v>300</v>
      </c>
      <c r="I49" s="129">
        <v>1</v>
      </c>
      <c r="J49" s="129">
        <v>2</v>
      </c>
      <c r="K49" s="254">
        <v>1176</v>
      </c>
      <c r="L49" s="254"/>
      <c r="M49" s="254"/>
      <c r="N49" s="98">
        <f t="shared" si="2"/>
        <v>6</v>
      </c>
      <c r="O49" s="99">
        <f t="shared" si="19"/>
        <v>196</v>
      </c>
      <c r="P49" s="98">
        <v>1</v>
      </c>
      <c r="Q49" s="98">
        <f t="shared" si="4"/>
        <v>6</v>
      </c>
      <c r="R49" s="99">
        <f t="shared" si="20"/>
        <v>1176</v>
      </c>
      <c r="S49" s="161">
        <f t="shared" si="21"/>
        <v>6</v>
      </c>
      <c r="T49" s="161">
        <f t="shared" si="7"/>
        <v>176.4</v>
      </c>
      <c r="U49" s="161">
        <f>SUMIF(Abril!$F$3:$F$95,B49,Abril!$I$3:$I$95)</f>
        <v>6</v>
      </c>
      <c r="V49" s="161">
        <f t="shared" si="22"/>
        <v>0</v>
      </c>
    </row>
    <row r="50" spans="2:22" ht="14.4" x14ac:dyDescent="0.3">
      <c r="B50" s="129">
        <v>1086340722</v>
      </c>
      <c r="C50" s="129" t="s">
        <v>1136</v>
      </c>
      <c r="D50" s="129" t="s">
        <v>1137</v>
      </c>
      <c r="E50" s="129" t="s">
        <v>1120</v>
      </c>
      <c r="F50" s="129" t="s">
        <v>1138</v>
      </c>
      <c r="G50" s="129" t="s">
        <v>1139</v>
      </c>
      <c r="H50" s="129" t="s">
        <v>300</v>
      </c>
      <c r="I50" s="129">
        <v>1</v>
      </c>
      <c r="J50" s="129">
        <v>2</v>
      </c>
      <c r="K50" s="254">
        <v>585</v>
      </c>
      <c r="L50" s="254"/>
      <c r="M50" s="254"/>
      <c r="N50" s="98">
        <f t="shared" si="2"/>
        <v>3</v>
      </c>
      <c r="O50" s="99">
        <f t="shared" si="19"/>
        <v>195</v>
      </c>
      <c r="P50" s="98">
        <v>1</v>
      </c>
      <c r="Q50" s="98">
        <f t="shared" si="4"/>
        <v>3</v>
      </c>
      <c r="R50" s="99">
        <f t="shared" si="20"/>
        <v>585</v>
      </c>
      <c r="S50" s="161">
        <f t="shared" si="21"/>
        <v>3</v>
      </c>
      <c r="T50" s="161">
        <f t="shared" si="7"/>
        <v>87.75</v>
      </c>
      <c r="U50" s="161">
        <f>SUMIF(Abril!$F$3:$F$95,B50,Abril!$I$3:$I$95)</f>
        <v>3</v>
      </c>
      <c r="V50" s="161">
        <f t="shared" si="22"/>
        <v>0</v>
      </c>
    </row>
    <row r="51" spans="2:22" ht="14.4" x14ac:dyDescent="0.3">
      <c r="B51" s="129">
        <v>1326358278</v>
      </c>
      <c r="C51" s="129" t="s">
        <v>1140</v>
      </c>
      <c r="D51" s="129" t="s">
        <v>1141</v>
      </c>
      <c r="E51" s="129" t="s">
        <v>1120</v>
      </c>
      <c r="F51" s="129" t="s">
        <v>1112</v>
      </c>
      <c r="G51" s="129" t="s">
        <v>1142</v>
      </c>
      <c r="H51" s="129" t="s">
        <v>300</v>
      </c>
      <c r="I51" s="129">
        <v>1</v>
      </c>
      <c r="J51" s="129">
        <v>2</v>
      </c>
      <c r="K51" s="254">
        <v>390</v>
      </c>
      <c r="L51" s="254"/>
      <c r="M51" s="254"/>
      <c r="N51" s="98">
        <f t="shared" si="2"/>
        <v>2</v>
      </c>
      <c r="O51" s="99">
        <f t="shared" ref="O51:O57" si="23">K51/N51/P51*IF(H51="ok",1,0)</f>
        <v>195</v>
      </c>
      <c r="P51" s="98">
        <v>1</v>
      </c>
      <c r="Q51" s="98">
        <f t="shared" si="4"/>
        <v>2</v>
      </c>
      <c r="R51" s="99">
        <f t="shared" ref="R51:R57" si="24">O51*Q51</f>
        <v>390</v>
      </c>
      <c r="S51" s="161">
        <f t="shared" ref="S51:S57" si="25">ROUND(K51/195,0)</f>
        <v>2</v>
      </c>
      <c r="T51" s="161">
        <f t="shared" si="7"/>
        <v>58.5</v>
      </c>
      <c r="U51" s="161">
        <f>SUMIF(Abril!$F$3:$F$95,B51,Abril!$I$3:$I$95)</f>
        <v>2</v>
      </c>
      <c r="V51" s="161">
        <f t="shared" ref="V51:V62" si="26">Q51-U51</f>
        <v>0</v>
      </c>
    </row>
    <row r="52" spans="2:22" ht="14.4" x14ac:dyDescent="0.3">
      <c r="B52" s="129">
        <v>1753424060</v>
      </c>
      <c r="C52" s="129" t="s">
        <v>1143</v>
      </c>
      <c r="D52" s="129" t="s">
        <v>1144</v>
      </c>
      <c r="E52" s="129" t="s">
        <v>1120</v>
      </c>
      <c r="F52" s="129" t="s">
        <v>1145</v>
      </c>
      <c r="G52" s="129" t="s">
        <v>1146</v>
      </c>
      <c r="H52" s="129" t="s">
        <v>300</v>
      </c>
      <c r="I52" s="129">
        <v>1</v>
      </c>
      <c r="J52" s="129">
        <v>2</v>
      </c>
      <c r="K52" s="254">
        <v>1390</v>
      </c>
      <c r="L52" s="254"/>
      <c r="M52" s="254"/>
      <c r="N52" s="98">
        <f t="shared" si="2"/>
        <v>7</v>
      </c>
      <c r="O52" s="99">
        <f t="shared" si="23"/>
        <v>198.57142857142858</v>
      </c>
      <c r="P52" s="98">
        <v>1</v>
      </c>
      <c r="Q52" s="98">
        <f t="shared" si="4"/>
        <v>7</v>
      </c>
      <c r="R52" s="99">
        <f t="shared" si="24"/>
        <v>1390</v>
      </c>
      <c r="S52" s="161">
        <f t="shared" si="25"/>
        <v>7</v>
      </c>
      <c r="T52" s="161">
        <f t="shared" si="7"/>
        <v>208.5</v>
      </c>
      <c r="U52" s="161">
        <f>SUMIF(Abril!$F$3:$F$95,B52,Abril!$I$3:$I$95)</f>
        <v>7</v>
      </c>
      <c r="V52" s="161">
        <f t="shared" si="26"/>
        <v>0</v>
      </c>
    </row>
    <row r="53" spans="2:22" ht="14.4" x14ac:dyDescent="0.3">
      <c r="B53" s="129">
        <v>1148198778</v>
      </c>
      <c r="C53" s="129" t="s">
        <v>1147</v>
      </c>
      <c r="D53" s="129" t="s">
        <v>1148</v>
      </c>
      <c r="E53" s="129" t="s">
        <v>1116</v>
      </c>
      <c r="F53" s="129" t="s">
        <v>1134</v>
      </c>
      <c r="G53" s="129" t="s">
        <v>1149</v>
      </c>
      <c r="H53" s="129" t="s">
        <v>300</v>
      </c>
      <c r="I53" s="129">
        <v>1</v>
      </c>
      <c r="J53" s="129">
        <v>2</v>
      </c>
      <c r="K53" s="254">
        <v>780</v>
      </c>
      <c r="L53" s="254"/>
      <c r="M53" s="254"/>
      <c r="N53" s="98">
        <f t="shared" si="2"/>
        <v>4</v>
      </c>
      <c r="O53" s="99">
        <f t="shared" si="23"/>
        <v>195</v>
      </c>
      <c r="P53" s="98">
        <v>1</v>
      </c>
      <c r="Q53" s="98">
        <f t="shared" si="4"/>
        <v>4</v>
      </c>
      <c r="R53" s="99">
        <f t="shared" si="24"/>
        <v>780</v>
      </c>
      <c r="S53" s="161">
        <f t="shared" si="25"/>
        <v>4</v>
      </c>
      <c r="T53" s="161">
        <f t="shared" si="7"/>
        <v>117</v>
      </c>
      <c r="U53" s="161">
        <f>SUMIF(Abril!$F$3:$F$95,B53,Abril!$I$3:$I$95)</f>
        <v>4</v>
      </c>
      <c r="V53" s="161">
        <f t="shared" si="26"/>
        <v>0</v>
      </c>
    </row>
    <row r="54" spans="2:22" ht="14.4" x14ac:dyDescent="0.3">
      <c r="B54" s="129">
        <v>1001929300</v>
      </c>
      <c r="C54" s="129" t="s">
        <v>1150</v>
      </c>
      <c r="D54" s="129" t="s">
        <v>1151</v>
      </c>
      <c r="E54" s="129" t="s">
        <v>1112</v>
      </c>
      <c r="F54" s="129" t="s">
        <v>1145</v>
      </c>
      <c r="G54" s="129" t="s">
        <v>1152</v>
      </c>
      <c r="H54" s="129" t="s">
        <v>300</v>
      </c>
      <c r="I54" s="129">
        <v>1</v>
      </c>
      <c r="J54" s="129">
        <v>2</v>
      </c>
      <c r="K54" s="254">
        <v>1000</v>
      </c>
      <c r="L54" s="254"/>
      <c r="M54" s="254"/>
      <c r="N54" s="98">
        <f t="shared" si="2"/>
        <v>5</v>
      </c>
      <c r="O54" s="99">
        <f t="shared" si="23"/>
        <v>200</v>
      </c>
      <c r="P54" s="98">
        <v>1</v>
      </c>
      <c r="Q54" s="98">
        <f t="shared" si="4"/>
        <v>5</v>
      </c>
      <c r="R54" s="99">
        <f t="shared" si="24"/>
        <v>1000</v>
      </c>
      <c r="S54" s="161">
        <f t="shared" si="25"/>
        <v>5</v>
      </c>
      <c r="T54" s="161">
        <f t="shared" si="7"/>
        <v>150</v>
      </c>
      <c r="U54" s="161">
        <f>SUMIF(Abril!$F$3:$F$95,B54,Abril!$I$3:$I$95)</f>
        <v>5</v>
      </c>
      <c r="V54" s="161">
        <f t="shared" si="26"/>
        <v>0</v>
      </c>
    </row>
    <row r="55" spans="2:22" ht="14.4" x14ac:dyDescent="0.3">
      <c r="B55" s="129">
        <v>1917453879</v>
      </c>
      <c r="C55" s="129" t="s">
        <v>1153</v>
      </c>
      <c r="D55" s="129" t="s">
        <v>1154</v>
      </c>
      <c r="E55" s="129" t="s">
        <v>1112</v>
      </c>
      <c r="F55" s="129" t="s">
        <v>1155</v>
      </c>
      <c r="G55" s="129" t="s">
        <v>1156</v>
      </c>
      <c r="H55" s="129" t="s">
        <v>300</v>
      </c>
      <c r="I55" s="129">
        <v>1</v>
      </c>
      <c r="J55" s="129">
        <v>2</v>
      </c>
      <c r="K55" s="254">
        <v>702</v>
      </c>
      <c r="L55" s="254"/>
      <c r="M55" s="254"/>
      <c r="N55" s="98">
        <f t="shared" si="2"/>
        <v>4</v>
      </c>
      <c r="O55" s="99">
        <f t="shared" si="23"/>
        <v>175.5</v>
      </c>
      <c r="P55" s="98">
        <v>1</v>
      </c>
      <c r="Q55" s="98">
        <f t="shared" si="4"/>
        <v>4</v>
      </c>
      <c r="R55" s="99">
        <f t="shared" si="24"/>
        <v>702</v>
      </c>
      <c r="S55" s="161">
        <f t="shared" si="25"/>
        <v>4</v>
      </c>
      <c r="T55" s="161">
        <f t="shared" si="7"/>
        <v>105.3</v>
      </c>
      <c r="U55" s="161">
        <f>SUMIF(Abril!$F$3:$F$95,B55,Abril!$I$3:$I$95)</f>
        <v>4</v>
      </c>
      <c r="V55" s="161">
        <f t="shared" si="26"/>
        <v>0</v>
      </c>
    </row>
    <row r="56" spans="2:22" ht="14.4" x14ac:dyDescent="0.3">
      <c r="B56" s="129">
        <v>1704381278</v>
      </c>
      <c r="C56" s="129" t="s">
        <v>1157</v>
      </c>
      <c r="D56" s="129" t="s">
        <v>1158</v>
      </c>
      <c r="E56" s="129" t="s">
        <v>1138</v>
      </c>
      <c r="F56" s="129" t="s">
        <v>1155</v>
      </c>
      <c r="G56" s="129" t="s">
        <v>1159</v>
      </c>
      <c r="H56" s="129" t="s">
        <v>300</v>
      </c>
      <c r="I56" s="129">
        <v>2</v>
      </c>
      <c r="J56" s="129">
        <v>4</v>
      </c>
      <c r="K56" s="254">
        <v>1170</v>
      </c>
      <c r="L56" s="254"/>
      <c r="M56" s="254"/>
      <c r="N56" s="98">
        <f t="shared" si="2"/>
        <v>3</v>
      </c>
      <c r="O56" s="99">
        <f t="shared" si="23"/>
        <v>195</v>
      </c>
      <c r="P56" s="98">
        <v>2</v>
      </c>
      <c r="Q56" s="98">
        <f t="shared" si="4"/>
        <v>6</v>
      </c>
      <c r="R56" s="99">
        <f t="shared" si="24"/>
        <v>1170</v>
      </c>
      <c r="S56" s="161">
        <f t="shared" si="25"/>
        <v>6</v>
      </c>
      <c r="T56" s="161">
        <f t="shared" si="7"/>
        <v>175.5</v>
      </c>
      <c r="U56" s="161">
        <f>SUMIF(Abril!$F$3:$F$95,B56,Abril!$I$3:$I$95)</f>
        <v>6</v>
      </c>
      <c r="V56" s="161">
        <f t="shared" si="26"/>
        <v>0</v>
      </c>
    </row>
    <row r="57" spans="2:22" ht="14.4" x14ac:dyDescent="0.3">
      <c r="B57" s="129">
        <v>1762316136</v>
      </c>
      <c r="C57" s="129" t="s">
        <v>1160</v>
      </c>
      <c r="D57" s="129"/>
      <c r="E57" s="129" t="s">
        <v>1127</v>
      </c>
      <c r="F57" s="129" t="s">
        <v>1161</v>
      </c>
      <c r="G57" s="129" t="s">
        <v>1162</v>
      </c>
      <c r="H57" s="129" t="s">
        <v>300</v>
      </c>
      <c r="I57" s="129">
        <v>1</v>
      </c>
      <c r="J57" s="129">
        <v>2</v>
      </c>
      <c r="K57" s="254">
        <v>1440</v>
      </c>
      <c r="L57" s="254"/>
      <c r="M57" s="254"/>
      <c r="N57" s="98">
        <f t="shared" si="2"/>
        <v>7</v>
      </c>
      <c r="O57" s="99">
        <f t="shared" si="23"/>
        <v>205.71428571428572</v>
      </c>
      <c r="P57" s="98">
        <v>1</v>
      </c>
      <c r="Q57" s="98">
        <f t="shared" si="4"/>
        <v>7</v>
      </c>
      <c r="R57" s="99">
        <f t="shared" si="24"/>
        <v>1440</v>
      </c>
      <c r="S57" s="161">
        <f t="shared" si="25"/>
        <v>7</v>
      </c>
      <c r="T57" s="161">
        <f t="shared" si="7"/>
        <v>216</v>
      </c>
      <c r="U57" s="161">
        <f>SUMIF(Abril!$F$3:$F$95,B57,Abril!$I$3:$I$95)</f>
        <v>7</v>
      </c>
      <c r="V57" s="161">
        <f t="shared" si="26"/>
        <v>0</v>
      </c>
    </row>
    <row r="58" spans="2:22" ht="14.4" x14ac:dyDescent="0.3">
      <c r="B58" s="129">
        <v>1696591802</v>
      </c>
      <c r="C58" s="129" t="s">
        <v>1163</v>
      </c>
      <c r="D58" s="129" t="s">
        <v>1164</v>
      </c>
      <c r="E58" s="129" t="s">
        <v>1134</v>
      </c>
      <c r="F58" s="129" t="s">
        <v>1165</v>
      </c>
      <c r="G58" s="129" t="s">
        <v>1166</v>
      </c>
      <c r="H58" s="129" t="s">
        <v>300</v>
      </c>
      <c r="I58" s="129">
        <v>1</v>
      </c>
      <c r="J58" s="129">
        <v>2</v>
      </c>
      <c r="K58" s="254">
        <v>635</v>
      </c>
      <c r="L58" s="254"/>
      <c r="M58" s="254"/>
      <c r="N58" s="98">
        <f t="shared" si="2"/>
        <v>3</v>
      </c>
      <c r="O58" s="99">
        <f t="shared" ref="O58:O68" si="27">K58/N58/P58*IF(H58="ok",1,0)</f>
        <v>211.66666666666666</v>
      </c>
      <c r="P58" s="98">
        <v>1</v>
      </c>
      <c r="Q58" s="98">
        <f t="shared" ref="Q58:Q68" si="28">N58*P58</f>
        <v>3</v>
      </c>
      <c r="R58" s="99">
        <f t="shared" ref="R58:R68" si="29">O58*Q58</f>
        <v>635</v>
      </c>
      <c r="S58" s="161">
        <f t="shared" ref="S58:S68" si="30">ROUND(K58/195,0)</f>
        <v>3</v>
      </c>
      <c r="T58" s="161">
        <f t="shared" si="7"/>
        <v>95.25</v>
      </c>
      <c r="U58" s="161">
        <f>SUMIF(Abril!$F$3:$F$95,B58,Abril!$I$3:$I$95)</f>
        <v>3</v>
      </c>
      <c r="V58" s="161">
        <f t="shared" si="26"/>
        <v>0</v>
      </c>
    </row>
    <row r="59" spans="2:22" ht="14.4" x14ac:dyDescent="0.3">
      <c r="B59" s="129">
        <v>1725809730</v>
      </c>
      <c r="C59" s="129" t="s">
        <v>1167</v>
      </c>
      <c r="D59" s="129"/>
      <c r="E59" s="129" t="s">
        <v>1134</v>
      </c>
      <c r="F59" s="129" t="s">
        <v>1155</v>
      </c>
      <c r="G59" s="129" t="s">
        <v>1168</v>
      </c>
      <c r="H59" s="129" t="s">
        <v>300</v>
      </c>
      <c r="I59" s="129">
        <v>1</v>
      </c>
      <c r="J59" s="129">
        <v>2</v>
      </c>
      <c r="K59" s="254">
        <v>195</v>
      </c>
      <c r="L59" s="254"/>
      <c r="M59" s="254"/>
      <c r="N59" s="98">
        <f t="shared" si="2"/>
        <v>1</v>
      </c>
      <c r="O59" s="99">
        <f t="shared" si="27"/>
        <v>195</v>
      </c>
      <c r="P59" s="98">
        <v>1</v>
      </c>
      <c r="Q59" s="98">
        <f t="shared" si="28"/>
        <v>1</v>
      </c>
      <c r="R59" s="99">
        <f t="shared" si="29"/>
        <v>195</v>
      </c>
      <c r="S59" s="161">
        <f t="shared" si="30"/>
        <v>1</v>
      </c>
      <c r="T59" s="161">
        <f t="shared" si="7"/>
        <v>29.25</v>
      </c>
      <c r="U59" s="161">
        <f>SUMIF(Abril!$F$3:$F$95,B59,Abril!$I$3:$I$95)</f>
        <v>1</v>
      </c>
      <c r="V59" s="161">
        <f t="shared" si="26"/>
        <v>0</v>
      </c>
    </row>
    <row r="60" spans="2:22" ht="14.4" x14ac:dyDescent="0.3">
      <c r="B60" s="129">
        <v>1742706287</v>
      </c>
      <c r="C60" s="129" t="s">
        <v>1169</v>
      </c>
      <c r="D60" s="129" t="s">
        <v>1170</v>
      </c>
      <c r="E60" s="129" t="s">
        <v>1134</v>
      </c>
      <c r="F60" s="129" t="s">
        <v>1165</v>
      </c>
      <c r="G60" s="129" t="s">
        <v>1171</v>
      </c>
      <c r="H60" s="129" t="s">
        <v>300</v>
      </c>
      <c r="I60" s="129">
        <v>1</v>
      </c>
      <c r="J60" s="129">
        <v>2</v>
      </c>
      <c r="K60" s="254">
        <v>588</v>
      </c>
      <c r="L60" s="254"/>
      <c r="M60" s="254"/>
      <c r="N60" s="98">
        <f t="shared" si="2"/>
        <v>3</v>
      </c>
      <c r="O60" s="99">
        <f t="shared" si="27"/>
        <v>196</v>
      </c>
      <c r="P60" s="98">
        <v>1</v>
      </c>
      <c r="Q60" s="98">
        <f t="shared" si="28"/>
        <v>3</v>
      </c>
      <c r="R60" s="99">
        <f t="shared" si="29"/>
        <v>588</v>
      </c>
      <c r="S60" s="161">
        <f t="shared" si="30"/>
        <v>3</v>
      </c>
      <c r="T60" s="161">
        <f t="shared" si="7"/>
        <v>88.2</v>
      </c>
      <c r="U60" s="161">
        <f>SUMIF(Abril!$F$3:$F$95,B60,Abril!$I$3:$I$95)</f>
        <v>3</v>
      </c>
      <c r="V60" s="161">
        <f t="shared" si="26"/>
        <v>0</v>
      </c>
    </row>
    <row r="61" spans="2:22" ht="14.4" x14ac:dyDescent="0.3">
      <c r="B61" s="129">
        <v>1769289279</v>
      </c>
      <c r="C61" s="129" t="s">
        <v>1172</v>
      </c>
      <c r="D61" s="129" t="s">
        <v>1173</v>
      </c>
      <c r="E61" s="129" t="s">
        <v>1134</v>
      </c>
      <c r="F61" s="129" t="s">
        <v>1155</v>
      </c>
      <c r="G61" s="129" t="s">
        <v>1174</v>
      </c>
      <c r="H61" s="129" t="s">
        <v>300</v>
      </c>
      <c r="I61" s="129">
        <v>1</v>
      </c>
      <c r="J61" s="129">
        <v>2</v>
      </c>
      <c r="K61" s="254">
        <v>195</v>
      </c>
      <c r="L61" s="254"/>
      <c r="M61" s="254"/>
      <c r="N61" s="98">
        <f t="shared" si="2"/>
        <v>1</v>
      </c>
      <c r="O61" s="99">
        <f t="shared" si="27"/>
        <v>195</v>
      </c>
      <c r="P61" s="98">
        <v>1</v>
      </c>
      <c r="Q61" s="98">
        <f t="shared" si="28"/>
        <v>1</v>
      </c>
      <c r="R61" s="99">
        <f t="shared" si="29"/>
        <v>195</v>
      </c>
      <c r="S61" s="161">
        <f t="shared" si="30"/>
        <v>1</v>
      </c>
      <c r="T61" s="161">
        <f t="shared" si="7"/>
        <v>29.25</v>
      </c>
      <c r="U61" s="161">
        <f>SUMIF(Abril!$F$3:$F$95,B61,Abril!$I$3:$I$95)</f>
        <v>1</v>
      </c>
      <c r="V61" s="161">
        <f t="shared" si="26"/>
        <v>0</v>
      </c>
    </row>
    <row r="62" spans="2:22" ht="14.4" x14ac:dyDescent="0.3">
      <c r="B62" s="129">
        <v>1357597818</v>
      </c>
      <c r="C62" s="129" t="s">
        <v>1175</v>
      </c>
      <c r="D62" s="129" t="s">
        <v>1176</v>
      </c>
      <c r="E62" s="129" t="s">
        <v>1155</v>
      </c>
      <c r="F62" s="129" t="s">
        <v>1177</v>
      </c>
      <c r="G62" s="129" t="s">
        <v>1178</v>
      </c>
      <c r="H62" s="129" t="s">
        <v>300</v>
      </c>
      <c r="I62" s="129">
        <v>1</v>
      </c>
      <c r="J62" s="129">
        <v>2</v>
      </c>
      <c r="K62" s="254">
        <v>585</v>
      </c>
      <c r="L62" s="254"/>
      <c r="M62" s="254"/>
      <c r="N62" s="98">
        <f t="shared" si="2"/>
        <v>3</v>
      </c>
      <c r="O62" s="99">
        <f t="shared" si="27"/>
        <v>195</v>
      </c>
      <c r="P62" s="98">
        <v>1</v>
      </c>
      <c r="Q62" s="98">
        <f t="shared" si="28"/>
        <v>3</v>
      </c>
      <c r="R62" s="99">
        <f t="shared" si="29"/>
        <v>585</v>
      </c>
      <c r="S62" s="161">
        <f t="shared" si="30"/>
        <v>3</v>
      </c>
      <c r="T62" s="161">
        <f t="shared" si="7"/>
        <v>87.75</v>
      </c>
      <c r="U62" s="161">
        <f>SUMIF(Abril!$F$3:$F$95,B62,Abril!$I$3:$I$95)</f>
        <v>3</v>
      </c>
      <c r="V62" s="161">
        <f t="shared" si="26"/>
        <v>0</v>
      </c>
    </row>
    <row r="63" spans="2:22" ht="14.4" x14ac:dyDescent="0.3">
      <c r="B63" s="129">
        <v>1503779312</v>
      </c>
      <c r="C63" s="129" t="s">
        <v>1179</v>
      </c>
      <c r="D63" s="129" t="s">
        <v>1180</v>
      </c>
      <c r="E63" s="129" t="s">
        <v>1155</v>
      </c>
      <c r="F63" s="129" t="s">
        <v>1145</v>
      </c>
      <c r="G63" s="129" t="s">
        <v>1181</v>
      </c>
      <c r="H63" s="129" t="s">
        <v>300</v>
      </c>
      <c r="I63" s="129">
        <v>1</v>
      </c>
      <c r="J63" s="129">
        <v>2</v>
      </c>
      <c r="K63" s="254">
        <v>220</v>
      </c>
      <c r="L63" s="254"/>
      <c r="M63" s="254"/>
      <c r="N63" s="98">
        <f t="shared" si="2"/>
        <v>1</v>
      </c>
      <c r="O63" s="99">
        <f t="shared" si="27"/>
        <v>220</v>
      </c>
      <c r="P63" s="98">
        <v>1</v>
      </c>
      <c r="Q63" s="98">
        <f t="shared" si="28"/>
        <v>1</v>
      </c>
      <c r="R63" s="99">
        <f t="shared" si="29"/>
        <v>220</v>
      </c>
      <c r="S63" s="161">
        <f t="shared" si="30"/>
        <v>1</v>
      </c>
      <c r="T63" s="161">
        <f t="shared" si="7"/>
        <v>33</v>
      </c>
      <c r="U63" s="161">
        <f>SUMIF(Abril!$F$3:$F$95,B63,Abril!$I$3:$I$95)</f>
        <v>1</v>
      </c>
      <c r="V63" s="161">
        <f t="shared" ref="V63:V68" si="31">Q63-U63</f>
        <v>0</v>
      </c>
    </row>
    <row r="64" spans="2:22" ht="14.4" x14ac:dyDescent="0.3">
      <c r="B64" s="129">
        <v>1512689213</v>
      </c>
      <c r="C64" s="129" t="s">
        <v>1182</v>
      </c>
      <c r="D64" s="129"/>
      <c r="E64" s="129" t="s">
        <v>1155</v>
      </c>
      <c r="F64" s="129" t="s">
        <v>1183</v>
      </c>
      <c r="G64" s="129" t="s">
        <v>1184</v>
      </c>
      <c r="H64" s="129" t="s">
        <v>300</v>
      </c>
      <c r="I64" s="129">
        <v>1</v>
      </c>
      <c r="J64" s="129">
        <v>2</v>
      </c>
      <c r="K64" s="254">
        <v>855</v>
      </c>
      <c r="L64" s="254"/>
      <c r="M64" s="254"/>
      <c r="N64" s="98">
        <f t="shared" si="2"/>
        <v>4</v>
      </c>
      <c r="O64" s="99">
        <f t="shared" si="27"/>
        <v>213.75</v>
      </c>
      <c r="P64" s="98">
        <v>1</v>
      </c>
      <c r="Q64" s="98">
        <f t="shared" si="28"/>
        <v>4</v>
      </c>
      <c r="R64" s="99">
        <f t="shared" si="29"/>
        <v>855</v>
      </c>
      <c r="S64" s="161">
        <f t="shared" si="30"/>
        <v>4</v>
      </c>
      <c r="T64" s="161">
        <f t="shared" si="7"/>
        <v>128.25</v>
      </c>
      <c r="U64" s="161">
        <f>SUMIF(Abril!$F$3:$F$95,B64,Abril!$I$3:$I$95)</f>
        <v>4</v>
      </c>
      <c r="V64" s="161">
        <f t="shared" si="31"/>
        <v>0</v>
      </c>
    </row>
    <row r="65" spans="2:22" ht="14.4" x14ac:dyDescent="0.3">
      <c r="B65" s="129">
        <v>1935264925</v>
      </c>
      <c r="C65" s="129" t="s">
        <v>1185</v>
      </c>
      <c r="D65" s="129" t="s">
        <v>1186</v>
      </c>
      <c r="E65" s="129" t="s">
        <v>1155</v>
      </c>
      <c r="F65" s="129" t="s">
        <v>1177</v>
      </c>
      <c r="G65" s="129" t="s">
        <v>1187</v>
      </c>
      <c r="H65" s="129" t="s">
        <v>300</v>
      </c>
      <c r="I65" s="129">
        <v>1</v>
      </c>
      <c r="J65" s="129">
        <v>2</v>
      </c>
      <c r="K65" s="254">
        <v>660</v>
      </c>
      <c r="L65" s="254"/>
      <c r="M65" s="254"/>
      <c r="N65" s="98">
        <f t="shared" si="2"/>
        <v>3</v>
      </c>
      <c r="O65" s="99">
        <f t="shared" si="27"/>
        <v>220</v>
      </c>
      <c r="P65" s="98">
        <v>1</v>
      </c>
      <c r="Q65" s="98">
        <f t="shared" si="28"/>
        <v>3</v>
      </c>
      <c r="R65" s="99">
        <f t="shared" si="29"/>
        <v>660</v>
      </c>
      <c r="S65" s="161">
        <f t="shared" si="30"/>
        <v>3</v>
      </c>
      <c r="T65" s="161">
        <f t="shared" si="7"/>
        <v>99</v>
      </c>
      <c r="U65" s="161">
        <f>SUMIF(Abril!$F$3:$F$95,B65,Abril!$I$3:$I$95)</f>
        <v>3</v>
      </c>
      <c r="V65" s="161">
        <f t="shared" si="31"/>
        <v>0</v>
      </c>
    </row>
    <row r="66" spans="2:22" ht="14.4" x14ac:dyDescent="0.3">
      <c r="B66" s="129">
        <v>1556803249</v>
      </c>
      <c r="C66" s="129" t="s">
        <v>1188</v>
      </c>
      <c r="D66" s="129" t="s">
        <v>1189</v>
      </c>
      <c r="E66" s="129" t="s">
        <v>1145</v>
      </c>
      <c r="F66" s="129" t="s">
        <v>1177</v>
      </c>
      <c r="G66" s="129" t="s">
        <v>1190</v>
      </c>
      <c r="H66" s="129" t="s">
        <v>300</v>
      </c>
      <c r="I66" s="129">
        <v>1</v>
      </c>
      <c r="J66" s="129">
        <v>2</v>
      </c>
      <c r="K66" s="254">
        <v>440</v>
      </c>
      <c r="L66" s="254"/>
      <c r="M66" s="254"/>
      <c r="N66" s="98">
        <f t="shared" si="2"/>
        <v>2</v>
      </c>
      <c r="O66" s="99">
        <f t="shared" si="27"/>
        <v>220</v>
      </c>
      <c r="P66" s="98">
        <v>1</v>
      </c>
      <c r="Q66" s="98">
        <f t="shared" si="28"/>
        <v>2</v>
      </c>
      <c r="R66" s="99">
        <f t="shared" si="29"/>
        <v>440</v>
      </c>
      <c r="S66" s="161">
        <f t="shared" si="30"/>
        <v>2</v>
      </c>
      <c r="T66" s="161">
        <f t="shared" si="7"/>
        <v>66</v>
      </c>
      <c r="U66" s="161">
        <f>SUMIF(Abril!$F$3:$F$95,B66,Abril!$I$3:$I$95)</f>
        <v>2</v>
      </c>
      <c r="V66" s="161">
        <f t="shared" si="31"/>
        <v>0</v>
      </c>
    </row>
    <row r="67" spans="2:22" ht="14.4" x14ac:dyDescent="0.3">
      <c r="B67" s="129">
        <v>2000770063</v>
      </c>
      <c r="C67" s="129" t="s">
        <v>1191</v>
      </c>
      <c r="D67" s="129" t="s">
        <v>1192</v>
      </c>
      <c r="E67" s="129" t="s">
        <v>1145</v>
      </c>
      <c r="F67" s="129" t="s">
        <v>1165</v>
      </c>
      <c r="G67" s="129" t="s">
        <v>1193</v>
      </c>
      <c r="H67" s="129" t="s">
        <v>300</v>
      </c>
      <c r="I67" s="129">
        <v>1</v>
      </c>
      <c r="J67" s="129">
        <v>2</v>
      </c>
      <c r="K67" s="254">
        <v>220</v>
      </c>
      <c r="L67" s="254"/>
      <c r="M67" s="254"/>
      <c r="N67" s="98">
        <f t="shared" ref="N67:N68" si="32">(F67-E67)</f>
        <v>1</v>
      </c>
      <c r="O67" s="99">
        <f t="shared" si="27"/>
        <v>220</v>
      </c>
      <c r="P67" s="98">
        <v>1</v>
      </c>
      <c r="Q67" s="98">
        <f t="shared" si="28"/>
        <v>1</v>
      </c>
      <c r="R67" s="99">
        <f t="shared" si="29"/>
        <v>220</v>
      </c>
      <c r="S67" s="161">
        <f t="shared" si="30"/>
        <v>1</v>
      </c>
      <c r="T67" s="161">
        <f t="shared" ref="T67:T68" si="33">K67*0.15</f>
        <v>33</v>
      </c>
      <c r="U67" s="161">
        <f>SUMIF(Abril!$F$3:$F$95,B67,Abril!$I$3:$I$95)</f>
        <v>1</v>
      </c>
      <c r="V67" s="161">
        <f t="shared" si="31"/>
        <v>0</v>
      </c>
    </row>
    <row r="68" spans="2:22" ht="14.4" x14ac:dyDescent="0.3">
      <c r="B68" s="129">
        <v>2003323868</v>
      </c>
      <c r="C68" s="129" t="s">
        <v>1194</v>
      </c>
      <c r="D68" s="129" t="s">
        <v>1195</v>
      </c>
      <c r="E68" s="129" t="s">
        <v>1165</v>
      </c>
      <c r="F68" s="129" t="s">
        <v>1196</v>
      </c>
      <c r="G68" s="129" t="s">
        <v>1197</v>
      </c>
      <c r="H68" s="129" t="s">
        <v>300</v>
      </c>
      <c r="I68" s="129">
        <v>1</v>
      </c>
      <c r="J68" s="129">
        <v>2</v>
      </c>
      <c r="K68" s="254">
        <v>805</v>
      </c>
      <c r="L68" s="254"/>
      <c r="M68" s="254"/>
      <c r="N68" s="98">
        <f t="shared" si="32"/>
        <v>4</v>
      </c>
      <c r="O68" s="99">
        <f t="shared" si="27"/>
        <v>201.25</v>
      </c>
      <c r="P68" s="98">
        <v>1</v>
      </c>
      <c r="Q68" s="98">
        <f t="shared" si="28"/>
        <v>4</v>
      </c>
      <c r="R68" s="99">
        <f t="shared" si="29"/>
        <v>805</v>
      </c>
      <c r="S68" s="161">
        <f t="shared" si="30"/>
        <v>4</v>
      </c>
      <c r="T68" s="161">
        <f t="shared" si="33"/>
        <v>120.75</v>
      </c>
      <c r="U68" s="161">
        <f>SUMIF(Abril!$F$3:$F$95,B68,Abril!$I$3:$I$95)</f>
        <v>4</v>
      </c>
      <c r="V68" s="161">
        <f t="shared" si="31"/>
        <v>0</v>
      </c>
    </row>
    <row r="69" spans="2:22" ht="14.4" x14ac:dyDescent="0.3">
      <c r="B69" s="129"/>
      <c r="C69" s="129"/>
      <c r="D69" s="129"/>
      <c r="E69" s="129"/>
      <c r="F69" s="129"/>
      <c r="G69" s="129"/>
      <c r="H69" s="129"/>
      <c r="I69" s="129"/>
      <c r="J69" s="129"/>
      <c r="K69" s="254"/>
      <c r="L69" s="254"/>
      <c r="M69" s="254"/>
      <c r="O69" s="99"/>
      <c r="R69" s="99"/>
    </row>
    <row r="70" spans="2:22" ht="14.4" x14ac:dyDescent="0.3">
      <c r="B70" s="129"/>
      <c r="C70" s="129"/>
      <c r="D70" s="129"/>
      <c r="E70" s="129"/>
      <c r="F70" s="129"/>
      <c r="G70" s="129"/>
      <c r="H70" s="129"/>
      <c r="I70" s="129"/>
      <c r="J70" s="129"/>
      <c r="K70" s="254"/>
      <c r="L70" s="254"/>
      <c r="M70" s="254"/>
      <c r="O70" s="99"/>
      <c r="R70" s="99"/>
    </row>
    <row r="71" spans="2:22" ht="14.4" x14ac:dyDescent="0.3">
      <c r="B71" s="129"/>
      <c r="C71" s="129"/>
      <c r="D71" s="129"/>
      <c r="E71" s="129"/>
      <c r="F71" s="129"/>
      <c r="G71" s="129"/>
      <c r="H71" s="129"/>
      <c r="I71" s="129"/>
      <c r="J71" s="129"/>
      <c r="K71" s="254"/>
      <c r="L71" s="254"/>
      <c r="M71" s="254"/>
      <c r="O71" s="99"/>
      <c r="R71" s="99"/>
    </row>
    <row r="72" spans="2:22" ht="14.4" x14ac:dyDescent="0.3">
      <c r="B72" s="129"/>
      <c r="C72" s="129"/>
      <c r="D72" s="129"/>
      <c r="E72" s="129"/>
      <c r="F72" s="129"/>
      <c r="G72" s="129"/>
      <c r="H72" s="129"/>
      <c r="I72" s="129"/>
      <c r="J72" s="129"/>
      <c r="K72" s="254"/>
      <c r="L72" s="254"/>
      <c r="M72" s="254"/>
      <c r="O72" s="99"/>
      <c r="R72" s="99"/>
    </row>
    <row r="73" spans="2:22" ht="14.4" x14ac:dyDescent="0.3">
      <c r="B73" s="129"/>
      <c r="C73" s="129"/>
      <c r="D73" s="129"/>
      <c r="E73" s="129"/>
      <c r="F73" s="129"/>
      <c r="G73" s="129"/>
      <c r="H73" s="129"/>
      <c r="I73" s="129"/>
      <c r="J73" s="129"/>
      <c r="K73" s="254"/>
      <c r="L73" s="254"/>
      <c r="M73" s="254"/>
      <c r="O73" s="99"/>
      <c r="R73" s="99"/>
    </row>
    <row r="74" spans="2:22" ht="14.4" x14ac:dyDescent="0.3">
      <c r="B74" s="129"/>
      <c r="C74" s="129"/>
      <c r="D74" s="129"/>
      <c r="E74" s="129"/>
      <c r="F74" s="129"/>
      <c r="G74" s="129"/>
      <c r="H74" s="129"/>
      <c r="I74" s="129"/>
      <c r="J74" s="129"/>
      <c r="K74" s="254"/>
      <c r="L74" s="254"/>
      <c r="M74" s="254"/>
      <c r="O74" s="99"/>
      <c r="R74" s="99"/>
    </row>
    <row r="75" spans="2:22" ht="14.4" x14ac:dyDescent="0.3">
      <c r="B75" s="129"/>
      <c r="C75" s="129"/>
      <c r="D75" s="129"/>
      <c r="E75" s="129"/>
      <c r="F75" s="129"/>
      <c r="G75" s="129"/>
      <c r="H75" s="129"/>
      <c r="I75" s="129"/>
      <c r="J75" s="129"/>
      <c r="K75" s="254"/>
      <c r="L75" s="254"/>
      <c r="M75" s="254"/>
      <c r="O75" s="99"/>
      <c r="R75" s="99"/>
    </row>
    <row r="76" spans="2:22" ht="14.4" x14ac:dyDescent="0.3">
      <c r="B76" s="129"/>
      <c r="C76" s="129"/>
      <c r="D76" s="129"/>
      <c r="E76" s="129"/>
      <c r="F76" s="129"/>
      <c r="G76" s="129"/>
      <c r="H76" s="129"/>
      <c r="I76" s="129"/>
      <c r="J76" s="129"/>
      <c r="K76" s="254"/>
      <c r="L76" s="254"/>
      <c r="M76" s="254"/>
      <c r="O76" s="99"/>
      <c r="R76" s="99"/>
    </row>
    <row r="77" spans="2:22" ht="14.4" x14ac:dyDescent="0.3">
      <c r="B77" s="129"/>
      <c r="C77" s="129"/>
      <c r="D77" s="129"/>
      <c r="E77" s="129"/>
      <c r="F77" s="129"/>
      <c r="G77" s="129"/>
      <c r="H77" s="129"/>
      <c r="I77" s="129"/>
      <c r="J77" s="129"/>
      <c r="K77" s="254"/>
      <c r="L77" s="254"/>
      <c r="M77" s="254"/>
      <c r="O77" s="99"/>
      <c r="R77" s="99"/>
    </row>
    <row r="78" spans="2:22" ht="14.4" x14ac:dyDescent="0.3">
      <c r="B78" s="129"/>
      <c r="C78" s="129"/>
      <c r="D78" s="129"/>
      <c r="E78" s="129"/>
      <c r="F78" s="129"/>
      <c r="G78" s="129"/>
      <c r="H78" s="129"/>
      <c r="I78" s="129"/>
      <c r="J78" s="129"/>
      <c r="K78" s="254"/>
      <c r="L78" s="254"/>
      <c r="M78" s="254"/>
      <c r="O78" s="99"/>
      <c r="R78" s="99"/>
    </row>
    <row r="79" spans="2:22" ht="14.4" x14ac:dyDescent="0.3">
      <c r="B79" s="129"/>
      <c r="C79" s="129"/>
      <c r="D79" s="129"/>
      <c r="E79" s="129"/>
      <c r="F79" s="129"/>
      <c r="G79" s="129"/>
      <c r="H79" s="129"/>
      <c r="I79" s="129"/>
      <c r="J79" s="129"/>
      <c r="K79" s="254"/>
      <c r="L79" s="254"/>
      <c r="M79" s="254"/>
      <c r="O79" s="99"/>
      <c r="R79" s="99"/>
    </row>
    <row r="80" spans="2:22" ht="14.4" x14ac:dyDescent="0.3">
      <c r="B80" s="129"/>
      <c r="C80" s="129"/>
      <c r="D80" s="129"/>
      <c r="E80" s="129"/>
      <c r="F80" s="129"/>
      <c r="G80" s="129"/>
      <c r="H80" s="129"/>
      <c r="I80" s="129"/>
      <c r="J80" s="129"/>
      <c r="K80" s="254"/>
      <c r="L80" s="254"/>
      <c r="M80" s="254"/>
      <c r="O80" s="99"/>
      <c r="R80" s="99"/>
    </row>
    <row r="81" spans="2:18" ht="14.4" x14ac:dyDescent="0.3">
      <c r="B81" s="129"/>
      <c r="C81" s="129"/>
      <c r="D81" s="129"/>
      <c r="E81" s="129"/>
      <c r="F81" s="129"/>
      <c r="G81" s="129"/>
      <c r="H81" s="129"/>
      <c r="I81" s="129"/>
      <c r="J81" s="129"/>
      <c r="K81" s="254"/>
      <c r="L81" s="254"/>
      <c r="M81" s="254"/>
      <c r="O81" s="99"/>
      <c r="R81" s="99"/>
    </row>
    <row r="82" spans="2:18" ht="14.4" x14ac:dyDescent="0.3">
      <c r="B82" s="129"/>
      <c r="C82" s="129"/>
      <c r="D82" s="129"/>
      <c r="E82" s="129"/>
      <c r="F82" s="129"/>
      <c r="G82" s="129"/>
      <c r="H82" s="129"/>
      <c r="I82" s="129"/>
      <c r="J82" s="129"/>
      <c r="K82" s="254"/>
      <c r="L82" s="254"/>
      <c r="M82" s="254"/>
      <c r="O82" s="99"/>
      <c r="R82" s="99"/>
    </row>
    <row r="83" spans="2:18" ht="14.4" x14ac:dyDescent="0.3">
      <c r="B83" s="129"/>
      <c r="C83" s="129"/>
      <c r="D83" s="129"/>
      <c r="E83" s="129"/>
      <c r="F83" s="129"/>
      <c r="G83" s="129"/>
      <c r="H83" s="129"/>
      <c r="I83" s="129"/>
      <c r="J83" s="129"/>
      <c r="K83" s="254"/>
      <c r="L83" s="254"/>
      <c r="M83" s="254"/>
      <c r="O83" s="99"/>
      <c r="R83" s="99"/>
    </row>
    <row r="84" spans="2:18" ht="14.4" x14ac:dyDescent="0.3">
      <c r="B84" s="129"/>
      <c r="C84" s="129"/>
      <c r="D84" s="129"/>
      <c r="E84" s="129"/>
      <c r="F84" s="129"/>
      <c r="G84" s="129"/>
      <c r="H84" s="129"/>
      <c r="I84" s="129"/>
      <c r="J84" s="129"/>
      <c r="K84" s="254"/>
      <c r="L84" s="254"/>
      <c r="M84" s="254"/>
      <c r="O84" s="99"/>
      <c r="R84" s="99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74"/>
      <c r="L85" s="174"/>
      <c r="M85" s="174"/>
      <c r="O85" s="99"/>
      <c r="R85" s="99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74"/>
      <c r="L86" s="174"/>
      <c r="M86" s="174"/>
      <c r="O86" s="99"/>
      <c r="R86" s="99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74"/>
      <c r="L87" s="174"/>
      <c r="M87" s="174"/>
      <c r="O87" s="99"/>
      <c r="R87" s="99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74"/>
      <c r="L88" s="174"/>
      <c r="M88" s="174"/>
      <c r="O88" s="99"/>
      <c r="R88" s="99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74"/>
      <c r="L89" s="174"/>
      <c r="M89" s="174"/>
      <c r="O89" s="99"/>
      <c r="R89" s="99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74"/>
      <c r="L90" s="174"/>
      <c r="M90" s="174"/>
      <c r="O90" s="99"/>
      <c r="R90" s="99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74"/>
      <c r="L91" s="174"/>
      <c r="M91" s="174"/>
      <c r="O91" s="99"/>
      <c r="R91" s="99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74"/>
      <c r="L92" s="174"/>
      <c r="M92" s="174"/>
      <c r="O92" s="99"/>
      <c r="R92" s="99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74"/>
      <c r="L93" s="174"/>
      <c r="M93" s="174"/>
      <c r="O93" s="99"/>
      <c r="R93" s="99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74"/>
      <c r="L94" s="174"/>
      <c r="M94" s="174"/>
      <c r="O94" s="99"/>
      <c r="R94" s="99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74"/>
      <c r="L95" s="174"/>
      <c r="M95" s="174"/>
      <c r="O95" s="99"/>
      <c r="R95" s="99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74"/>
      <c r="L96" s="174"/>
      <c r="M96" s="174"/>
      <c r="O96" s="99"/>
      <c r="R96" s="99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74"/>
      <c r="L97" s="174"/>
      <c r="M97" s="174"/>
      <c r="O97" s="99"/>
      <c r="R97" s="99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74"/>
      <c r="L98" s="174"/>
      <c r="M98" s="174"/>
      <c r="O98" s="99"/>
      <c r="R98" s="99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74"/>
      <c r="L99" s="174"/>
      <c r="M99" s="174"/>
      <c r="O99" s="99"/>
      <c r="R99" s="99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74"/>
      <c r="L100" s="174"/>
      <c r="M100" s="174"/>
      <c r="O100" s="99"/>
      <c r="R100" s="99"/>
    </row>
    <row r="101" spans="2:21" x14ac:dyDescent="0.3">
      <c r="B101" s="108"/>
      <c r="C101" s="109"/>
      <c r="D101" s="109"/>
      <c r="E101" s="108"/>
      <c r="F101" s="108"/>
      <c r="G101" s="108"/>
      <c r="H101" s="108"/>
      <c r="I101" s="108"/>
      <c r="J101" s="108"/>
      <c r="K101" s="110">
        <f>SUM(K2:K100)</f>
        <v>42422</v>
      </c>
      <c r="L101" s="110"/>
      <c r="M101" s="110"/>
      <c r="N101" s="108"/>
      <c r="O101" s="108"/>
      <c r="P101" s="108"/>
      <c r="Q101" s="108">
        <f>SUM(Q2:Q100)</f>
        <v>210</v>
      </c>
      <c r="R101" s="137">
        <f>SUM(R2:R100)</f>
        <v>42030</v>
      </c>
      <c r="S101" s="161">
        <f>SUM(S2:S100)</f>
        <v>215</v>
      </c>
      <c r="U101" s="161">
        <f>SUM(U2:U100)</f>
        <v>216</v>
      </c>
    </row>
    <row r="102" spans="2:21" x14ac:dyDescent="0.3">
      <c r="R102" s="99">
        <f>R101/Q101</f>
        <v>200.14285714285714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74"/>
      <c r="L104" s="174"/>
      <c r="M104" s="174"/>
      <c r="O104" s="99"/>
      <c r="R104" s="99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74"/>
      <c r="L105" s="174"/>
      <c r="M105" s="174"/>
      <c r="O105" s="99"/>
      <c r="R105" s="99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74"/>
      <c r="L106" s="174"/>
      <c r="M106" s="174"/>
      <c r="O106" s="99"/>
      <c r="R106" s="99"/>
    </row>
  </sheetData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topLeftCell="D1" workbookViewId="0">
      <selection activeCell="V42" sqref="I42:V46"/>
    </sheetView>
  </sheetViews>
  <sheetFormatPr baseColWidth="10" defaultRowHeight="14.4" x14ac:dyDescent="0.3"/>
  <cols>
    <col min="2" max="2" width="16.77734375" customWidth="1"/>
    <col min="5" max="5" width="19.6640625" customWidth="1"/>
    <col min="6" max="6" width="16.21875" customWidth="1"/>
    <col min="7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77734375" customWidth="1"/>
  </cols>
  <sheetData>
    <row r="1" spans="1:28" ht="15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55">
        <v>1631465</v>
      </c>
      <c r="B2" s="256">
        <v>42851</v>
      </c>
      <c r="C2" s="255" t="s">
        <v>311</v>
      </c>
      <c r="D2" s="255" t="s">
        <v>1451</v>
      </c>
      <c r="E2" s="255" t="s">
        <v>1452</v>
      </c>
      <c r="F2" s="256">
        <v>42853</v>
      </c>
      <c r="G2" s="256">
        <v>42855</v>
      </c>
      <c r="H2" s="255" t="s">
        <v>1453</v>
      </c>
      <c r="I2" s="255">
        <v>2</v>
      </c>
      <c r="J2" s="255">
        <v>2</v>
      </c>
      <c r="K2" s="255">
        <v>1</v>
      </c>
      <c r="L2" s="196">
        <f t="shared" ref="L2:L26" si="0">I2*K2</f>
        <v>2</v>
      </c>
      <c r="M2" s="257">
        <v>418</v>
      </c>
      <c r="N2" s="255">
        <v>0</v>
      </c>
      <c r="O2" s="257">
        <v>418</v>
      </c>
      <c r="P2" s="257">
        <v>0</v>
      </c>
      <c r="Q2" s="257">
        <v>418</v>
      </c>
      <c r="R2" s="255"/>
      <c r="S2" s="255" t="s">
        <v>339</v>
      </c>
      <c r="T2" s="255" t="s">
        <v>313</v>
      </c>
      <c r="U2" s="255">
        <v>957935495</v>
      </c>
      <c r="V2" s="255" t="s">
        <v>314</v>
      </c>
      <c r="W2" s="255"/>
      <c r="X2" s="255" t="s">
        <v>315</v>
      </c>
      <c r="Y2" s="255" t="s">
        <v>315</v>
      </c>
      <c r="Z2" s="255"/>
      <c r="AA2" s="255"/>
      <c r="AB2" s="6">
        <f>SUMIF(Abril!$F$4:$F$95,Buuteeq!A2,Abril!$I$4:$I$95)</f>
        <v>2</v>
      </c>
    </row>
    <row r="3" spans="1:28" ht="15" x14ac:dyDescent="0.25">
      <c r="A3" s="255">
        <v>1620088</v>
      </c>
      <c r="B3" s="256">
        <v>42845</v>
      </c>
      <c r="C3" s="255" t="s">
        <v>311</v>
      </c>
      <c r="D3" s="255" t="s">
        <v>1454</v>
      </c>
      <c r="E3" s="255" t="s">
        <v>1455</v>
      </c>
      <c r="F3" s="256">
        <v>42849</v>
      </c>
      <c r="G3" s="256">
        <v>42850</v>
      </c>
      <c r="H3" s="255" t="s">
        <v>1453</v>
      </c>
      <c r="I3" s="255">
        <v>1</v>
      </c>
      <c r="J3" s="255">
        <v>2</v>
      </c>
      <c r="K3" s="255">
        <v>1</v>
      </c>
      <c r="L3" s="196">
        <f t="shared" si="0"/>
        <v>1</v>
      </c>
      <c r="M3" s="257">
        <v>185.25</v>
      </c>
      <c r="N3" s="255">
        <v>0</v>
      </c>
      <c r="O3" s="257">
        <v>185.25</v>
      </c>
      <c r="P3" s="257">
        <v>0</v>
      </c>
      <c r="Q3" s="257">
        <v>185.25</v>
      </c>
      <c r="R3" s="255"/>
      <c r="S3" s="255" t="s">
        <v>340</v>
      </c>
      <c r="T3" s="255" t="s">
        <v>316</v>
      </c>
      <c r="U3" s="255" t="s">
        <v>317</v>
      </c>
      <c r="V3" s="255" t="s">
        <v>318</v>
      </c>
      <c r="W3" s="255"/>
      <c r="X3" s="255" t="s">
        <v>319</v>
      </c>
      <c r="Y3" s="255" t="s">
        <v>320</v>
      </c>
      <c r="Z3" s="255"/>
      <c r="AA3" s="255"/>
      <c r="AB3" s="6">
        <f>SUMIF(Abril!$F$4:$F$95,Buuteeq!A3,Abril!$I$4:$I$95)</f>
        <v>1</v>
      </c>
    </row>
    <row r="4" spans="1:28" s="179" customFormat="1" x14ac:dyDescent="0.3">
      <c r="A4" s="255">
        <v>1595411</v>
      </c>
      <c r="B4" s="256">
        <v>42830</v>
      </c>
      <c r="C4" s="255" t="s">
        <v>311</v>
      </c>
      <c r="D4" s="255" t="s">
        <v>1456</v>
      </c>
      <c r="E4" s="255" t="s">
        <v>1457</v>
      </c>
      <c r="F4" s="256">
        <v>42830</v>
      </c>
      <c r="G4" s="256">
        <v>42831</v>
      </c>
      <c r="H4" s="255" t="s">
        <v>1453</v>
      </c>
      <c r="I4" s="255">
        <v>1</v>
      </c>
      <c r="J4" s="255">
        <v>2</v>
      </c>
      <c r="K4" s="255">
        <v>1</v>
      </c>
      <c r="L4" s="196">
        <f t="shared" si="0"/>
        <v>1</v>
      </c>
      <c r="M4" s="257">
        <v>171</v>
      </c>
      <c r="N4" s="255">
        <v>0</v>
      </c>
      <c r="O4" s="257">
        <v>171</v>
      </c>
      <c r="P4" s="257">
        <v>0</v>
      </c>
      <c r="Q4" s="257">
        <v>171</v>
      </c>
      <c r="R4" s="255"/>
      <c r="S4" s="255" t="s">
        <v>341</v>
      </c>
      <c r="T4" s="255" t="s">
        <v>321</v>
      </c>
      <c r="U4" s="255">
        <v>554192144848</v>
      </c>
      <c r="V4" s="255" t="s">
        <v>322</v>
      </c>
      <c r="W4" s="255"/>
      <c r="X4" s="255" t="s">
        <v>323</v>
      </c>
      <c r="Y4" s="255" t="s">
        <v>324</v>
      </c>
      <c r="Z4" s="255">
        <v>80030000</v>
      </c>
      <c r="AA4" s="255"/>
      <c r="AB4" s="6">
        <f>SUMIF(Abril!$F$4:$F$95,Buuteeq!A4,Abril!$I$4:$I$95)</f>
        <v>1</v>
      </c>
    </row>
    <row r="5" spans="1:28" s="179" customFormat="1" x14ac:dyDescent="0.3">
      <c r="A5" s="255">
        <v>1569029</v>
      </c>
      <c r="B5" s="256">
        <v>42815</v>
      </c>
      <c r="C5" s="255" t="s">
        <v>311</v>
      </c>
      <c r="D5" s="255" t="s">
        <v>1458</v>
      </c>
      <c r="E5" s="255" t="s">
        <v>1459</v>
      </c>
      <c r="F5" s="256">
        <v>42838</v>
      </c>
      <c r="G5" s="256">
        <v>42840</v>
      </c>
      <c r="H5" s="255" t="s">
        <v>1460</v>
      </c>
      <c r="I5" s="255">
        <v>2</v>
      </c>
      <c r="J5" s="255">
        <v>2</v>
      </c>
      <c r="K5" s="255">
        <v>1</v>
      </c>
      <c r="L5" s="196">
        <f t="shared" si="0"/>
        <v>2</v>
      </c>
      <c r="M5" s="257">
        <v>418</v>
      </c>
      <c r="N5" s="255">
        <v>0</v>
      </c>
      <c r="O5" s="257">
        <v>418</v>
      </c>
      <c r="P5" s="257">
        <v>0</v>
      </c>
      <c r="Q5" s="257">
        <v>418</v>
      </c>
      <c r="R5" s="255"/>
      <c r="S5" s="255" t="s">
        <v>342</v>
      </c>
      <c r="T5" s="255" t="s">
        <v>313</v>
      </c>
      <c r="U5" s="255">
        <v>5511986872972</v>
      </c>
      <c r="V5" s="255" t="s">
        <v>325</v>
      </c>
      <c r="W5" s="255"/>
      <c r="X5" s="255" t="s">
        <v>326</v>
      </c>
      <c r="Y5" s="255" t="s">
        <v>326</v>
      </c>
      <c r="Z5" s="255"/>
      <c r="AA5" s="255"/>
      <c r="AB5" s="6">
        <f>SUMIF(Abril!$F$4:$F$95,Buuteeq!A5,Abril!$I$4:$I$95)</f>
        <v>2</v>
      </c>
    </row>
    <row r="6" spans="1:28" s="205" customFormat="1" x14ac:dyDescent="0.3">
      <c r="A6" s="272">
        <v>1557237</v>
      </c>
      <c r="B6" s="314">
        <v>42808</v>
      </c>
      <c r="C6" s="272" t="s">
        <v>311</v>
      </c>
      <c r="D6" s="272" t="s">
        <v>1461</v>
      </c>
      <c r="E6" s="272" t="s">
        <v>1462</v>
      </c>
      <c r="F6" s="314">
        <v>42832</v>
      </c>
      <c r="G6" s="314">
        <v>42834</v>
      </c>
      <c r="H6" s="272" t="s">
        <v>1463</v>
      </c>
      <c r="I6" s="272">
        <v>2</v>
      </c>
      <c r="J6" s="272">
        <v>6</v>
      </c>
      <c r="K6" s="272">
        <v>0</v>
      </c>
      <c r="L6" s="274">
        <f t="shared" si="0"/>
        <v>0</v>
      </c>
      <c r="M6" s="274">
        <v>1068.75</v>
      </c>
      <c r="N6" s="272">
        <v>0</v>
      </c>
      <c r="O6" s="274">
        <v>1068.75</v>
      </c>
      <c r="P6" s="274">
        <v>0</v>
      </c>
      <c r="Q6" s="274">
        <v>1068.75</v>
      </c>
      <c r="R6" s="272"/>
      <c r="S6" s="272" t="s">
        <v>343</v>
      </c>
      <c r="T6" s="272" t="s">
        <v>327</v>
      </c>
      <c r="U6" s="272">
        <v>5511992506512</v>
      </c>
      <c r="V6" s="272" t="s">
        <v>328</v>
      </c>
      <c r="W6" s="272" t="s">
        <v>329</v>
      </c>
      <c r="X6" s="272" t="s">
        <v>330</v>
      </c>
      <c r="Y6" s="272" t="s">
        <v>331</v>
      </c>
      <c r="Z6" s="272">
        <v>5734140</v>
      </c>
      <c r="AA6" s="272"/>
      <c r="AB6" s="272">
        <f>SUMIF(Abril!$F$4:$F$95,Buuteeq!A6,Abril!$I$4:$I$95)</f>
        <v>0</v>
      </c>
    </row>
    <row r="7" spans="1:28" s="205" customFormat="1" ht="15" x14ac:dyDescent="0.25">
      <c r="A7" s="255">
        <v>1557234</v>
      </c>
      <c r="B7" s="256">
        <v>42808</v>
      </c>
      <c r="C7" s="255" t="s">
        <v>311</v>
      </c>
      <c r="D7" s="255" t="s">
        <v>1464</v>
      </c>
      <c r="E7" s="255" t="s">
        <v>1465</v>
      </c>
      <c r="F7" s="256">
        <v>42833</v>
      </c>
      <c r="G7" s="256">
        <v>42839</v>
      </c>
      <c r="H7" s="255" t="s">
        <v>1453</v>
      </c>
      <c r="I7" s="255">
        <v>6</v>
      </c>
      <c r="J7" s="255">
        <v>2</v>
      </c>
      <c r="K7" s="255">
        <v>1</v>
      </c>
      <c r="L7" s="196">
        <f t="shared" si="0"/>
        <v>6</v>
      </c>
      <c r="M7" s="257">
        <v>1135.25</v>
      </c>
      <c r="N7" s="255">
        <v>0</v>
      </c>
      <c r="O7" s="257">
        <v>1135.25</v>
      </c>
      <c r="P7" s="257">
        <v>0</v>
      </c>
      <c r="Q7" s="257">
        <v>1135.25</v>
      </c>
      <c r="R7" s="255"/>
      <c r="S7" s="255" t="s">
        <v>344</v>
      </c>
      <c r="T7" s="255" t="s">
        <v>332</v>
      </c>
      <c r="U7" s="255">
        <v>5531999012828</v>
      </c>
      <c r="V7" s="255" t="s">
        <v>333</v>
      </c>
      <c r="W7" s="255"/>
      <c r="X7" s="255" t="s">
        <v>334</v>
      </c>
      <c r="Y7" s="255" t="s">
        <v>335</v>
      </c>
      <c r="Z7" s="255" t="s">
        <v>336</v>
      </c>
      <c r="AA7" s="255"/>
      <c r="AB7" s="6">
        <f>SUMIF(Abril!$F$4:$F$95,Buuteeq!A7,Abril!$I$4:$I$95)</f>
        <v>6</v>
      </c>
    </row>
    <row r="8" spans="1:28" s="205" customFormat="1" x14ac:dyDescent="0.3">
      <c r="A8" s="255">
        <v>1548768</v>
      </c>
      <c r="B8" s="256">
        <v>42803</v>
      </c>
      <c r="C8" s="255" t="s">
        <v>311</v>
      </c>
      <c r="D8" s="255" t="s">
        <v>1466</v>
      </c>
      <c r="E8" s="255" t="s">
        <v>1467</v>
      </c>
      <c r="F8" s="256">
        <v>42826</v>
      </c>
      <c r="G8" s="256">
        <v>42829</v>
      </c>
      <c r="H8" s="255" t="s">
        <v>1453</v>
      </c>
      <c r="I8" s="255">
        <v>3</v>
      </c>
      <c r="J8" s="255">
        <v>2</v>
      </c>
      <c r="K8" s="255">
        <v>1</v>
      </c>
      <c r="L8" s="196">
        <f t="shared" si="0"/>
        <v>3</v>
      </c>
      <c r="M8" s="257">
        <v>555.75</v>
      </c>
      <c r="N8" s="255">
        <v>0</v>
      </c>
      <c r="O8" s="257">
        <v>555.75</v>
      </c>
      <c r="P8" s="257">
        <v>0</v>
      </c>
      <c r="Q8" s="257">
        <v>555.75</v>
      </c>
      <c r="R8" s="255"/>
      <c r="S8" s="255" t="s">
        <v>345</v>
      </c>
      <c r="T8" s="255"/>
      <c r="U8" s="255"/>
      <c r="V8" s="255"/>
      <c r="W8" s="255"/>
      <c r="X8" s="255"/>
      <c r="Y8" s="255"/>
      <c r="Z8" s="255"/>
      <c r="AA8" s="255"/>
      <c r="AB8" s="6">
        <f>SUMIF(Abril!$F$4:$F$95,Buuteeq!A8,Abril!$I$4:$I$95)</f>
        <v>3</v>
      </c>
    </row>
    <row r="9" spans="1:28" s="205" customFormat="1" ht="15" x14ac:dyDescent="0.25">
      <c r="A9" s="255">
        <v>1548030</v>
      </c>
      <c r="B9" s="256">
        <v>42803</v>
      </c>
      <c r="C9" s="255" t="s">
        <v>311</v>
      </c>
      <c r="D9" s="255" t="s">
        <v>1468</v>
      </c>
      <c r="E9" s="255" t="s">
        <v>1469</v>
      </c>
      <c r="F9" s="256">
        <v>42844</v>
      </c>
      <c r="G9" s="256">
        <v>42847</v>
      </c>
      <c r="H9" s="255" t="s">
        <v>1453</v>
      </c>
      <c r="I9" s="255">
        <v>3</v>
      </c>
      <c r="J9" s="255">
        <v>2</v>
      </c>
      <c r="K9" s="255">
        <v>1</v>
      </c>
      <c r="L9" s="196">
        <f t="shared" si="0"/>
        <v>3</v>
      </c>
      <c r="M9" s="257">
        <v>555.75</v>
      </c>
      <c r="N9" s="255">
        <v>0</v>
      </c>
      <c r="O9" s="257">
        <v>555.75</v>
      </c>
      <c r="P9" s="257">
        <v>0</v>
      </c>
      <c r="Q9" s="257">
        <v>555.75</v>
      </c>
      <c r="R9" s="255"/>
      <c r="S9" s="255" t="s">
        <v>346</v>
      </c>
      <c r="T9" s="255"/>
      <c r="U9" s="255"/>
      <c r="V9" s="255"/>
      <c r="W9" s="255"/>
      <c r="X9" s="255"/>
      <c r="Y9" s="255"/>
      <c r="Z9" s="255"/>
      <c r="AA9" s="255"/>
      <c r="AB9" s="6">
        <f>SUMIF(Abril!$F$4:$F$95,Buuteeq!A9,Abril!$I$4:$I$95)</f>
        <v>3</v>
      </c>
    </row>
    <row r="10" spans="1:28" s="205" customFormat="1" x14ac:dyDescent="0.3">
      <c r="A10" s="255">
        <v>1353277</v>
      </c>
      <c r="B10" s="256">
        <v>42675</v>
      </c>
      <c r="C10" s="255" t="s">
        <v>311</v>
      </c>
      <c r="D10" s="255" t="s">
        <v>1470</v>
      </c>
      <c r="E10" s="255" t="s">
        <v>1471</v>
      </c>
      <c r="F10" s="256">
        <v>42843</v>
      </c>
      <c r="G10" s="256">
        <v>42846</v>
      </c>
      <c r="H10" s="255" t="s">
        <v>1460</v>
      </c>
      <c r="I10" s="255">
        <v>3</v>
      </c>
      <c r="J10" s="255">
        <v>1</v>
      </c>
      <c r="K10" s="255">
        <v>1</v>
      </c>
      <c r="L10" s="196">
        <f t="shared" si="0"/>
        <v>3</v>
      </c>
      <c r="M10" s="257">
        <v>555.75</v>
      </c>
      <c r="N10" s="255">
        <v>0</v>
      </c>
      <c r="O10" s="257">
        <v>555.75</v>
      </c>
      <c r="P10" s="257">
        <v>0</v>
      </c>
      <c r="Q10" s="257">
        <v>555.75</v>
      </c>
      <c r="R10" s="255"/>
      <c r="S10" s="255" t="s">
        <v>347</v>
      </c>
      <c r="T10" s="255"/>
      <c r="U10" s="255"/>
      <c r="V10" s="255"/>
      <c r="W10" s="255"/>
      <c r="X10" s="255"/>
      <c r="Y10" s="255"/>
      <c r="Z10" s="255"/>
      <c r="AA10" s="255"/>
      <c r="AB10" s="6">
        <f>SUMIF(Abril!$F$4:$F$95,Buuteeq!A10,Abril!$I$4:$I$95)</f>
        <v>3</v>
      </c>
    </row>
    <row r="11" spans="1:28" s="205" customFormat="1" ht="15" x14ac:dyDescent="0.25">
      <c r="A11" s="255">
        <v>1302102</v>
      </c>
      <c r="B11" s="256">
        <v>42641</v>
      </c>
      <c r="C11" s="255" t="s">
        <v>311</v>
      </c>
      <c r="D11" s="255" t="s">
        <v>1472</v>
      </c>
      <c r="E11" s="255" t="s">
        <v>1473</v>
      </c>
      <c r="F11" s="256">
        <v>42828</v>
      </c>
      <c r="G11" s="256">
        <v>42831</v>
      </c>
      <c r="H11" s="255" t="s">
        <v>1453</v>
      </c>
      <c r="I11" s="255">
        <v>3</v>
      </c>
      <c r="J11" s="255">
        <v>2</v>
      </c>
      <c r="K11" s="255">
        <v>1</v>
      </c>
      <c r="L11" s="196">
        <f t="shared" si="0"/>
        <v>3</v>
      </c>
      <c r="M11" s="257">
        <v>558.6</v>
      </c>
      <c r="N11" s="255">
        <v>0</v>
      </c>
      <c r="O11" s="257">
        <v>558.6</v>
      </c>
      <c r="P11" s="257">
        <v>0</v>
      </c>
      <c r="Q11" s="257">
        <v>558.6</v>
      </c>
      <c r="R11" s="255"/>
      <c r="S11" s="255" t="s">
        <v>348</v>
      </c>
      <c r="T11" s="255"/>
      <c r="U11" s="255"/>
      <c r="V11" s="255"/>
      <c r="W11" s="255"/>
      <c r="X11" s="255"/>
      <c r="Y11" s="255"/>
      <c r="Z11" s="255"/>
      <c r="AA11" s="255"/>
      <c r="AB11" s="6">
        <f>SUMIF(Abril!$F$4:$F$95,Buuteeq!A11,Abril!$I$4:$I$95)</f>
        <v>3</v>
      </c>
    </row>
    <row r="12" spans="1:28" s="205" customFormat="1" ht="15" x14ac:dyDescent="0.25">
      <c r="A12" s="255"/>
      <c r="B12" s="256"/>
      <c r="C12" s="255"/>
      <c r="D12" s="255"/>
      <c r="E12" s="255"/>
      <c r="F12" s="256"/>
      <c r="G12" s="256"/>
      <c r="H12" s="255"/>
      <c r="I12" s="255"/>
      <c r="J12" s="255"/>
      <c r="K12" s="255"/>
      <c r="L12" s="196">
        <f t="shared" si="0"/>
        <v>0</v>
      </c>
      <c r="M12" s="257"/>
      <c r="N12" s="255"/>
      <c r="O12" s="257"/>
      <c r="P12" s="257"/>
      <c r="Q12" s="257"/>
      <c r="R12" s="255"/>
      <c r="S12" s="255" t="s">
        <v>312</v>
      </c>
      <c r="T12" s="255"/>
      <c r="U12" s="255"/>
      <c r="V12" s="255"/>
      <c r="W12" s="255"/>
      <c r="X12" s="255"/>
      <c r="Y12" s="255"/>
      <c r="Z12" s="255"/>
      <c r="AA12" s="255"/>
      <c r="AB12" s="6">
        <f>SUMIF(Abril!$F$4:$F$95,Buuteeq!A12,Abril!$I$4:$I$95)</f>
        <v>0</v>
      </c>
    </row>
    <row r="13" spans="1:28" s="205" customFormat="1" ht="15" x14ac:dyDescent="0.25">
      <c r="A13" s="255"/>
      <c r="B13" s="256"/>
      <c r="C13" s="255"/>
      <c r="D13" s="255"/>
      <c r="E13" s="255"/>
      <c r="F13" s="256"/>
      <c r="G13" s="256"/>
      <c r="H13" s="255"/>
      <c r="I13" s="255"/>
      <c r="J13" s="255"/>
      <c r="K13" s="255"/>
      <c r="L13" s="196">
        <f t="shared" si="0"/>
        <v>0</v>
      </c>
      <c r="M13" s="257"/>
      <c r="N13" s="255"/>
      <c r="O13" s="257"/>
      <c r="P13" s="257"/>
      <c r="Q13" s="257"/>
      <c r="R13" s="255"/>
      <c r="S13" s="255" t="s">
        <v>312</v>
      </c>
      <c r="T13" s="255"/>
      <c r="U13" s="255"/>
      <c r="V13" s="255"/>
      <c r="W13" s="255"/>
      <c r="X13" s="255"/>
      <c r="Y13" s="255"/>
      <c r="Z13" s="255"/>
      <c r="AA13" s="255"/>
      <c r="AB13" s="6">
        <f>SUMIF(Abril!$F$4:$F$95,Buuteeq!A13,Abril!$I$4:$I$95)</f>
        <v>0</v>
      </c>
    </row>
    <row r="14" spans="1:28" s="252" customFormat="1" ht="15" x14ac:dyDescent="0.25">
      <c r="A14" s="255"/>
      <c r="B14" s="256"/>
      <c r="C14" s="255"/>
      <c r="D14" s="255"/>
      <c r="E14" s="255"/>
      <c r="F14" s="256"/>
      <c r="G14" s="256"/>
      <c r="H14" s="255"/>
      <c r="I14" s="255"/>
      <c r="J14" s="255"/>
      <c r="K14" s="255"/>
      <c r="L14" s="196">
        <f t="shared" si="0"/>
        <v>0</v>
      </c>
      <c r="M14" s="257"/>
      <c r="N14" s="255"/>
      <c r="O14" s="257"/>
      <c r="P14" s="257"/>
      <c r="Q14" s="257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6"/>
    </row>
    <row r="15" spans="1:28" s="252" customFormat="1" ht="15" x14ac:dyDescent="0.25">
      <c r="A15" s="255"/>
      <c r="B15" s="256"/>
      <c r="C15" s="255"/>
      <c r="D15" s="255"/>
      <c r="E15" s="255"/>
      <c r="F15" s="256"/>
      <c r="G15" s="256"/>
      <c r="H15" s="255"/>
      <c r="I15" s="255"/>
      <c r="J15" s="255"/>
      <c r="K15" s="255"/>
      <c r="L15" s="196">
        <f t="shared" si="0"/>
        <v>0</v>
      </c>
      <c r="M15" s="257"/>
      <c r="N15" s="255"/>
      <c r="O15" s="257"/>
      <c r="P15" s="257"/>
      <c r="Q15" s="257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6"/>
    </row>
    <row r="16" spans="1:28" s="252" customFormat="1" ht="15" x14ac:dyDescent="0.25">
      <c r="A16" s="255"/>
      <c r="B16" s="256"/>
      <c r="C16" s="255"/>
      <c r="D16" s="255"/>
      <c r="E16" s="255"/>
      <c r="F16" s="256"/>
      <c r="G16" s="256"/>
      <c r="H16" s="255"/>
      <c r="I16" s="255"/>
      <c r="J16" s="255"/>
      <c r="K16" s="255"/>
      <c r="L16" s="196">
        <f t="shared" si="0"/>
        <v>0</v>
      </c>
      <c r="M16" s="257"/>
      <c r="N16" s="255"/>
      <c r="O16" s="257"/>
      <c r="P16" s="257"/>
      <c r="Q16" s="257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6"/>
    </row>
    <row r="17" spans="1:28" s="252" customFormat="1" ht="15" x14ac:dyDescent="0.25">
      <c r="A17" s="255"/>
      <c r="B17" s="256"/>
      <c r="C17" s="255"/>
      <c r="D17" s="255"/>
      <c r="E17" s="255"/>
      <c r="F17" s="256"/>
      <c r="G17" s="256"/>
      <c r="H17" s="255"/>
      <c r="I17" s="255"/>
      <c r="J17" s="255"/>
      <c r="K17" s="255"/>
      <c r="L17" s="196">
        <f t="shared" si="0"/>
        <v>0</v>
      </c>
      <c r="M17" s="257"/>
      <c r="N17" s="255"/>
      <c r="O17" s="257"/>
      <c r="P17" s="257"/>
      <c r="Q17" s="257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6"/>
    </row>
    <row r="18" spans="1:28" s="252" customFormat="1" ht="15" x14ac:dyDescent="0.25">
      <c r="A18" s="255"/>
      <c r="B18" s="256"/>
      <c r="C18" s="255"/>
      <c r="D18" s="255"/>
      <c r="E18" s="255"/>
      <c r="F18" s="256"/>
      <c r="G18" s="256"/>
      <c r="H18" s="255"/>
      <c r="I18" s="255"/>
      <c r="J18" s="255"/>
      <c r="K18" s="255"/>
      <c r="L18" s="196">
        <f t="shared" si="0"/>
        <v>0</v>
      </c>
      <c r="M18" s="257"/>
      <c r="N18" s="255"/>
      <c r="O18" s="257"/>
      <c r="P18" s="257"/>
      <c r="Q18" s="257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6"/>
    </row>
    <row r="19" spans="1:28" s="252" customFormat="1" x14ac:dyDescent="0.3">
      <c r="A19" s="255"/>
      <c r="B19" s="256"/>
      <c r="C19" s="255"/>
      <c r="D19" s="255"/>
      <c r="E19" s="255"/>
      <c r="F19" s="256"/>
      <c r="G19" s="256"/>
      <c r="H19" s="255"/>
      <c r="I19" s="255"/>
      <c r="J19" s="255"/>
      <c r="K19" s="255"/>
      <c r="L19" s="196">
        <f t="shared" si="0"/>
        <v>0</v>
      </c>
      <c r="M19" s="257"/>
      <c r="N19" s="255"/>
      <c r="O19" s="257"/>
      <c r="P19" s="257"/>
      <c r="Q19" s="257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6"/>
    </row>
    <row r="20" spans="1:28" s="252" customFormat="1" x14ac:dyDescent="0.3">
      <c r="A20" s="255"/>
      <c r="B20" s="256"/>
      <c r="C20" s="255"/>
      <c r="D20" s="255"/>
      <c r="E20" s="255"/>
      <c r="F20" s="256"/>
      <c r="G20" s="256"/>
      <c r="H20" s="255"/>
      <c r="I20" s="255"/>
      <c r="J20" s="255"/>
      <c r="K20" s="255"/>
      <c r="L20" s="196">
        <f t="shared" si="0"/>
        <v>0</v>
      </c>
      <c r="M20" s="257"/>
      <c r="N20" s="255"/>
      <c r="O20" s="257"/>
      <c r="P20" s="257"/>
      <c r="Q20" s="257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6"/>
    </row>
    <row r="21" spans="1:28" s="252" customFormat="1" x14ac:dyDescent="0.3">
      <c r="A21" s="255"/>
      <c r="B21" s="256"/>
      <c r="C21" s="255"/>
      <c r="D21" s="255"/>
      <c r="E21" s="255"/>
      <c r="F21" s="256"/>
      <c r="G21" s="256"/>
      <c r="H21" s="255"/>
      <c r="I21" s="255"/>
      <c r="J21" s="255"/>
      <c r="K21" s="255"/>
      <c r="L21" s="196">
        <f t="shared" si="0"/>
        <v>0</v>
      </c>
      <c r="M21" s="257"/>
      <c r="N21" s="255"/>
      <c r="O21" s="257"/>
      <c r="P21" s="257"/>
      <c r="Q21" s="257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6"/>
    </row>
    <row r="22" spans="1:28" s="252" customFormat="1" x14ac:dyDescent="0.3">
      <c r="A22" s="255"/>
      <c r="B22" s="256"/>
      <c r="C22" s="255"/>
      <c r="D22" s="255"/>
      <c r="E22" s="255"/>
      <c r="F22" s="256"/>
      <c r="G22" s="256"/>
      <c r="H22" s="255"/>
      <c r="I22" s="255"/>
      <c r="J22" s="255"/>
      <c r="K22" s="255"/>
      <c r="L22" s="196">
        <f t="shared" si="0"/>
        <v>0</v>
      </c>
      <c r="M22" s="257"/>
      <c r="N22" s="255"/>
      <c r="O22" s="257"/>
      <c r="P22" s="257"/>
      <c r="Q22" s="257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6"/>
    </row>
    <row r="23" spans="1:28" s="252" customFormat="1" x14ac:dyDescent="0.3">
      <c r="A23" s="255"/>
      <c r="B23" s="256"/>
      <c r="C23" s="255"/>
      <c r="D23" s="255"/>
      <c r="E23" s="255"/>
      <c r="F23" s="256"/>
      <c r="G23" s="256"/>
      <c r="H23" s="255"/>
      <c r="I23" s="255"/>
      <c r="J23" s="255"/>
      <c r="K23" s="255"/>
      <c r="L23" s="196">
        <f t="shared" si="0"/>
        <v>0</v>
      </c>
      <c r="M23" s="257"/>
      <c r="N23" s="255"/>
      <c r="O23" s="257"/>
      <c r="P23" s="257"/>
      <c r="Q23" s="257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6"/>
    </row>
    <row r="24" spans="1:28" s="252" customFormat="1" x14ac:dyDescent="0.3">
      <c r="A24" s="255"/>
      <c r="B24" s="256"/>
      <c r="C24" s="255"/>
      <c r="D24" s="255"/>
      <c r="E24" s="255"/>
      <c r="F24" s="256"/>
      <c r="G24" s="256"/>
      <c r="H24" s="255"/>
      <c r="I24" s="255"/>
      <c r="J24" s="255"/>
      <c r="K24" s="255"/>
      <c r="L24" s="196">
        <f t="shared" si="0"/>
        <v>0</v>
      </c>
      <c r="M24" s="257"/>
      <c r="N24" s="255"/>
      <c r="O24" s="257"/>
      <c r="P24" s="257"/>
      <c r="Q24" s="257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6"/>
    </row>
    <row r="25" spans="1:28" s="252" customFormat="1" x14ac:dyDescent="0.3">
      <c r="A25" s="255"/>
      <c r="B25" s="256"/>
      <c r="C25" s="255"/>
      <c r="D25" s="255"/>
      <c r="E25" s="255"/>
      <c r="F25" s="256"/>
      <c r="G25" s="256"/>
      <c r="H25" s="255"/>
      <c r="I25" s="255"/>
      <c r="J25" s="255"/>
      <c r="K25" s="255"/>
      <c r="L25" s="196">
        <f t="shared" si="0"/>
        <v>0</v>
      </c>
      <c r="M25" s="257"/>
      <c r="N25" s="255"/>
      <c r="O25" s="257"/>
      <c r="P25" s="257"/>
      <c r="Q25" s="257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6"/>
    </row>
    <row r="26" spans="1:28" s="252" customFormat="1" x14ac:dyDescent="0.3">
      <c r="A26" s="255"/>
      <c r="B26" s="256"/>
      <c r="C26" s="255"/>
      <c r="D26" s="255"/>
      <c r="E26" s="255"/>
      <c r="F26" s="256"/>
      <c r="G26" s="256"/>
      <c r="H26" s="255"/>
      <c r="I26" s="255"/>
      <c r="J26" s="255"/>
      <c r="K26" s="255"/>
      <c r="L26" s="196">
        <f t="shared" si="0"/>
        <v>0</v>
      </c>
      <c r="M26" s="257"/>
      <c r="N26" s="255"/>
      <c r="O26" s="257"/>
      <c r="P26" s="257"/>
      <c r="Q26" s="257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6"/>
    </row>
    <row r="27" spans="1:28" s="252" customFormat="1" x14ac:dyDescent="0.3">
      <c r="A27" s="255"/>
      <c r="B27" s="256"/>
      <c r="C27" s="255"/>
      <c r="D27" s="255"/>
      <c r="E27" s="255"/>
      <c r="F27" s="256"/>
      <c r="G27" s="256"/>
      <c r="H27" s="255"/>
      <c r="I27" s="255"/>
      <c r="J27" s="255"/>
      <c r="K27" s="255"/>
      <c r="L27" s="196"/>
      <c r="M27" s="257"/>
      <c r="N27" s="255"/>
      <c r="O27" s="257"/>
      <c r="P27" s="257"/>
      <c r="Q27" s="257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6"/>
    </row>
    <row r="28" spans="1:28" s="252" customFormat="1" x14ac:dyDescent="0.3">
      <c r="A28" s="255"/>
      <c r="B28" s="256"/>
      <c r="C28" s="255"/>
      <c r="D28" s="255"/>
      <c r="E28" s="255"/>
      <c r="F28" s="256"/>
      <c r="G28" s="256"/>
      <c r="H28" s="255"/>
      <c r="I28" s="255"/>
      <c r="J28" s="255"/>
      <c r="K28" s="255"/>
      <c r="L28" s="196"/>
      <c r="M28" s="257"/>
      <c r="N28" s="255"/>
      <c r="O28" s="257"/>
      <c r="P28" s="257"/>
      <c r="Q28" s="257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6"/>
    </row>
    <row r="29" spans="1:28" s="252" customFormat="1" x14ac:dyDescent="0.3">
      <c r="A29" s="255"/>
      <c r="B29" s="256"/>
      <c r="C29" s="255"/>
      <c r="D29" s="255"/>
      <c r="E29" s="255"/>
      <c r="F29" s="256"/>
      <c r="G29" s="256"/>
      <c r="H29" s="255"/>
      <c r="I29" s="255"/>
      <c r="J29" s="255"/>
      <c r="K29" s="255"/>
      <c r="L29" s="196"/>
      <c r="M29" s="257"/>
      <c r="N29" s="255"/>
      <c r="O29" s="257"/>
      <c r="P29" s="257"/>
      <c r="Q29" s="257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6"/>
    </row>
    <row r="30" spans="1:28" s="252" customFormat="1" x14ac:dyDescent="0.3">
      <c r="A30" s="255"/>
      <c r="B30" s="256"/>
      <c r="C30" s="255"/>
      <c r="D30" s="255"/>
      <c r="E30" s="255"/>
      <c r="F30" s="256"/>
      <c r="G30" s="256"/>
      <c r="H30" s="255"/>
      <c r="I30" s="255"/>
      <c r="J30" s="255"/>
      <c r="K30" s="255"/>
      <c r="L30" s="196"/>
      <c r="M30" s="257"/>
      <c r="N30" s="255"/>
      <c r="O30" s="257"/>
      <c r="P30" s="257"/>
      <c r="Q30" s="257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6"/>
    </row>
    <row r="31" spans="1:28" s="252" customFormat="1" x14ac:dyDescent="0.3">
      <c r="A31" s="255"/>
      <c r="B31" s="256"/>
      <c r="C31" s="255"/>
      <c r="D31" s="255"/>
      <c r="E31" s="255"/>
      <c r="F31" s="256"/>
      <c r="G31" s="256"/>
      <c r="H31" s="255"/>
      <c r="I31" s="255"/>
      <c r="J31" s="255"/>
      <c r="K31" s="255"/>
      <c r="L31" s="196"/>
      <c r="M31" s="257"/>
      <c r="N31" s="255"/>
      <c r="O31" s="257"/>
      <c r="P31" s="257"/>
      <c r="Q31" s="257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6"/>
    </row>
    <row r="32" spans="1:28" s="205" customFormat="1" x14ac:dyDescent="0.3">
      <c r="A32" s="161"/>
      <c r="B32" s="118"/>
      <c r="C32" s="161"/>
      <c r="D32" s="161"/>
      <c r="E32" s="161"/>
      <c r="F32" s="118"/>
      <c r="G32" s="118"/>
      <c r="H32" s="161"/>
      <c r="I32" s="161"/>
      <c r="J32" s="161"/>
      <c r="K32" s="161"/>
      <c r="L32" s="196"/>
      <c r="M32" s="196"/>
      <c r="N32" s="161"/>
      <c r="O32" s="196"/>
      <c r="P32" s="196"/>
      <c r="Q32" s="196"/>
      <c r="R32" s="161"/>
      <c r="AB32" s="6">
        <f>SUMIF(Abril!$F$4:$F$95,Buuteeq!A32,Abril!$I$4:$I$95)</f>
        <v>0</v>
      </c>
    </row>
    <row r="33" spans="1:28" s="179" customFormat="1" x14ac:dyDescent="0.3">
      <c r="A33" s="161"/>
      <c r="B33" s="118"/>
      <c r="C33" s="161"/>
      <c r="D33" s="161"/>
      <c r="E33" s="161"/>
      <c r="F33" s="118"/>
      <c r="G33" s="118"/>
      <c r="H33" s="161"/>
      <c r="I33" s="161"/>
      <c r="J33" s="161"/>
      <c r="K33" s="161"/>
      <c r="L33" s="196"/>
      <c r="M33" s="100"/>
      <c r="N33" s="161"/>
      <c r="O33" s="100"/>
      <c r="P33" s="100"/>
      <c r="Q33" s="100"/>
      <c r="R33" s="161"/>
      <c r="AB33" s="6">
        <f>SUMIF(Abril!$F$4:$F$95,Buuteeq!A33,Abril!$I$4:$I$95)</f>
        <v>0</v>
      </c>
    </row>
    <row r="34" spans="1:28" s="179" customFormat="1" x14ac:dyDescent="0.3">
      <c r="A34" s="161"/>
      <c r="B34" s="118"/>
      <c r="C34" s="161"/>
      <c r="D34" s="161"/>
      <c r="E34" s="161"/>
      <c r="F34" s="118"/>
      <c r="G34" s="118"/>
      <c r="H34" s="161"/>
      <c r="I34" s="161"/>
      <c r="J34" s="161"/>
      <c r="K34" s="161"/>
      <c r="L34" s="196"/>
      <c r="M34" s="100"/>
      <c r="N34" s="161"/>
      <c r="O34" s="100"/>
      <c r="P34" s="100"/>
      <c r="Q34" s="100"/>
      <c r="R34" s="161"/>
      <c r="S34" s="179" t="s">
        <v>234</v>
      </c>
      <c r="T34" s="179" t="s">
        <v>235</v>
      </c>
      <c r="U34" s="179">
        <v>5585988067301</v>
      </c>
      <c r="V34" s="179" t="s">
        <v>236</v>
      </c>
      <c r="X34" s="179" t="s">
        <v>237</v>
      </c>
      <c r="Y34" s="179" t="s">
        <v>238</v>
      </c>
      <c r="Z34" s="179">
        <v>60110345</v>
      </c>
      <c r="AB34" s="6">
        <f>SUMIF(Abril!$F$4:$F$95,Buuteeq!A34,Abril!$I$4:$I$95)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26</v>
      </c>
      <c r="J35" s="12">
        <f t="shared" si="1"/>
        <v>23</v>
      </c>
      <c r="K35" s="12">
        <f t="shared" si="1"/>
        <v>9</v>
      </c>
      <c r="L35" s="12">
        <f t="shared" si="1"/>
        <v>24</v>
      </c>
      <c r="M35" s="12">
        <f t="shared" si="1"/>
        <v>5622.1</v>
      </c>
      <c r="N35" s="12">
        <f t="shared" si="1"/>
        <v>0</v>
      </c>
      <c r="O35" s="12">
        <f t="shared" si="1"/>
        <v>5622.1</v>
      </c>
      <c r="P35" s="12">
        <f t="shared" si="1"/>
        <v>0</v>
      </c>
      <c r="Q35" s="12">
        <f t="shared" si="1"/>
        <v>5622.1</v>
      </c>
      <c r="AB35">
        <f>SUM(AB2:AB34)</f>
        <v>24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57"/>
      <c r="B37" s="157"/>
      <c r="C37" s="157"/>
      <c r="D37" s="157"/>
      <c r="E37" s="157"/>
      <c r="F37" s="157"/>
      <c r="G37" s="3"/>
      <c r="M37"/>
      <c r="N37"/>
      <c r="O37"/>
      <c r="P37"/>
      <c r="Q37" s="5"/>
    </row>
    <row r="38" spans="1:28" x14ac:dyDescent="0.3">
      <c r="A38" s="157"/>
      <c r="B38" s="118"/>
      <c r="C38" s="161"/>
      <c r="D38" s="161"/>
      <c r="E38" s="161"/>
      <c r="F38" s="118"/>
      <c r="G38" s="118"/>
      <c r="H38" s="161"/>
      <c r="I38" s="161"/>
      <c r="J38" s="161"/>
      <c r="K38" s="161"/>
      <c r="L38" s="196"/>
      <c r="M38" s="196"/>
      <c r="N38" s="161"/>
      <c r="O38" s="196"/>
      <c r="P38" s="196"/>
      <c r="Q38" s="196"/>
    </row>
    <row r="42" spans="1:28" x14ac:dyDescent="0.3">
      <c r="F42" s="273"/>
      <c r="G42" s="273"/>
    </row>
    <row r="43" spans="1:28" x14ac:dyDescent="0.3">
      <c r="F43" s="273"/>
      <c r="G43" s="273"/>
    </row>
    <row r="44" spans="1:28" x14ac:dyDescent="0.3">
      <c r="F44" s="273"/>
      <c r="G44" s="273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zoomScale="90" zoomScaleNormal="90" workbookViewId="0">
      <selection activeCell="V42" sqref="I42:V46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77734375" customWidth="1"/>
    <col min="4" max="4" width="14.77734375" customWidth="1"/>
    <col min="5" max="5" width="40.6640625" customWidth="1"/>
    <col min="6" max="6" width="39.2187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ht="15" x14ac:dyDescent="0.25">
      <c r="A1" s="65"/>
      <c r="B1" s="65"/>
      <c r="C1" s="65"/>
      <c r="D1" s="65"/>
      <c r="E1" s="65"/>
      <c r="F1" s="65"/>
      <c r="G1" s="65"/>
      <c r="H1" s="65"/>
      <c r="I1" s="4"/>
    </row>
    <row r="3" spans="1:10" ht="15" x14ac:dyDescent="0.25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79" customFormat="1" x14ac:dyDescent="0.3">
      <c r="A5" s="255">
        <v>807954993</v>
      </c>
      <c r="B5" s="255" t="s">
        <v>1212</v>
      </c>
      <c r="C5" s="258">
        <v>42826</v>
      </c>
      <c r="D5" s="258">
        <v>42827</v>
      </c>
      <c r="E5" s="255" t="s">
        <v>1213</v>
      </c>
      <c r="F5" s="255" t="s">
        <v>301</v>
      </c>
      <c r="G5" s="255" t="s">
        <v>1214</v>
      </c>
      <c r="H5" s="255" t="s">
        <v>338</v>
      </c>
      <c r="I5" s="161">
        <f>D5-C5</f>
        <v>1</v>
      </c>
      <c r="J5" s="6">
        <f>SUMIF(Abril!$F$4:$F$95,A5,Abril!$I$4:$I$95)</f>
        <v>1</v>
      </c>
    </row>
    <row r="6" spans="1:10" x14ac:dyDescent="0.3">
      <c r="A6" s="255">
        <v>807954994</v>
      </c>
      <c r="B6" s="255" t="s">
        <v>1215</v>
      </c>
      <c r="C6" s="258">
        <v>42826</v>
      </c>
      <c r="D6" s="258">
        <v>42827</v>
      </c>
      <c r="E6" s="255" t="s">
        <v>1213</v>
      </c>
      <c r="F6" s="255" t="s">
        <v>301</v>
      </c>
      <c r="G6" s="255" t="s">
        <v>1216</v>
      </c>
      <c r="H6" s="255" t="s">
        <v>338</v>
      </c>
      <c r="I6" s="161">
        <f t="shared" ref="I6:I20" si="0">D6-C6</f>
        <v>1</v>
      </c>
      <c r="J6" s="6">
        <f>SUMIF(Abril!$F$4:$F$95,A6,Abril!$I$4:$I$95)</f>
        <v>1</v>
      </c>
    </row>
    <row r="7" spans="1:10" x14ac:dyDescent="0.3">
      <c r="A7" s="255">
        <v>819611186</v>
      </c>
      <c r="B7" s="255" t="s">
        <v>1223</v>
      </c>
      <c r="C7" s="258">
        <v>42829</v>
      </c>
      <c r="D7" s="258">
        <v>42832</v>
      </c>
      <c r="E7" s="255" t="s">
        <v>1224</v>
      </c>
      <c r="F7" s="255" t="s">
        <v>302</v>
      </c>
      <c r="G7" s="255" t="s">
        <v>1225</v>
      </c>
      <c r="H7" s="255" t="s">
        <v>338</v>
      </c>
      <c r="I7" s="161">
        <f t="shared" si="0"/>
        <v>3</v>
      </c>
      <c r="J7" s="6">
        <f>SUMIF(Abril!$F$4:$F$95,A7,Abril!$I$4:$I$95)</f>
        <v>3</v>
      </c>
    </row>
    <row r="8" spans="1:10" x14ac:dyDescent="0.3">
      <c r="A8" s="255">
        <v>819611287</v>
      </c>
      <c r="B8" s="255" t="s">
        <v>1226</v>
      </c>
      <c r="C8" s="258">
        <v>42829</v>
      </c>
      <c r="D8" s="258">
        <v>42832</v>
      </c>
      <c r="E8" s="255" t="s">
        <v>1224</v>
      </c>
      <c r="F8" s="255" t="s">
        <v>302</v>
      </c>
      <c r="G8" s="255" t="s">
        <v>1227</v>
      </c>
      <c r="H8" s="255" t="s">
        <v>338</v>
      </c>
      <c r="I8" s="161">
        <f t="shared" si="0"/>
        <v>3</v>
      </c>
      <c r="J8" s="6">
        <f>SUMIF(Abril!$F$4:$F$95,A8,Abril!$I$4:$I$95)</f>
        <v>3</v>
      </c>
    </row>
    <row r="9" spans="1:10" x14ac:dyDescent="0.3">
      <c r="A9" s="255">
        <v>811258516</v>
      </c>
      <c r="B9" s="255" t="s">
        <v>1217</v>
      </c>
      <c r="C9" s="258">
        <v>42835</v>
      </c>
      <c r="D9" s="258">
        <v>42837</v>
      </c>
      <c r="E9" s="255" t="s">
        <v>1218</v>
      </c>
      <c r="F9" s="255" t="s">
        <v>302</v>
      </c>
      <c r="G9" s="255" t="s">
        <v>1219</v>
      </c>
      <c r="H9" s="255" t="s">
        <v>338</v>
      </c>
      <c r="I9" s="161">
        <f t="shared" si="0"/>
        <v>2</v>
      </c>
      <c r="J9" s="315">
        <f>SUMIF(Abril!$F$4:$F$95,A9,Abril!$I$4:$I$95)</f>
        <v>0</v>
      </c>
    </row>
    <row r="10" spans="1:10" x14ac:dyDescent="0.3">
      <c r="A10" s="255">
        <v>825154947</v>
      </c>
      <c r="B10" s="255" t="s">
        <v>1231</v>
      </c>
      <c r="C10" s="258">
        <v>42839</v>
      </c>
      <c r="D10" s="258">
        <v>42840</v>
      </c>
      <c r="E10" s="255" t="s">
        <v>1232</v>
      </c>
      <c r="F10" s="255" t="s">
        <v>301</v>
      </c>
      <c r="G10" s="255" t="s">
        <v>1233</v>
      </c>
      <c r="H10" s="255" t="s">
        <v>338</v>
      </c>
      <c r="I10" s="161">
        <f t="shared" si="0"/>
        <v>1</v>
      </c>
      <c r="J10" s="6">
        <f>SUMIF(Abril!$F$4:$F$95,A10,Abril!$I$4:$I$95)</f>
        <v>1</v>
      </c>
    </row>
    <row r="11" spans="1:10" x14ac:dyDescent="0.3">
      <c r="A11" s="255">
        <v>761505635</v>
      </c>
      <c r="B11" s="255" t="s">
        <v>1198</v>
      </c>
      <c r="C11" s="258">
        <v>42840</v>
      </c>
      <c r="D11" s="258">
        <v>42843</v>
      </c>
      <c r="E11" s="255" t="s">
        <v>1199</v>
      </c>
      <c r="F11" s="255" t="s">
        <v>302</v>
      </c>
      <c r="G11" s="255" t="s">
        <v>1200</v>
      </c>
      <c r="H11" s="255" t="s">
        <v>338</v>
      </c>
      <c r="I11" s="161">
        <f t="shared" si="0"/>
        <v>3</v>
      </c>
      <c r="J11" s="6">
        <f>SUMIF(Abril!$F$4:$F$95,A11,Abril!$I$4:$I$95)</f>
        <v>3</v>
      </c>
    </row>
    <row r="12" spans="1:10" x14ac:dyDescent="0.3">
      <c r="A12" s="255">
        <v>778889660</v>
      </c>
      <c r="B12" s="255" t="s">
        <v>1201</v>
      </c>
      <c r="C12" s="258">
        <v>42840</v>
      </c>
      <c r="D12" s="258">
        <v>42843</v>
      </c>
      <c r="E12" s="255" t="s">
        <v>1202</v>
      </c>
      <c r="F12" s="255" t="s">
        <v>302</v>
      </c>
      <c r="G12" s="255" t="s">
        <v>1203</v>
      </c>
      <c r="H12" s="255" t="s">
        <v>338</v>
      </c>
      <c r="I12" s="161">
        <f t="shared" si="0"/>
        <v>3</v>
      </c>
      <c r="J12" s="6">
        <f>SUMIF(Abril!$F$4:$F$95,A12,Abril!$I$4:$I$95)</f>
        <v>3</v>
      </c>
    </row>
    <row r="13" spans="1:10" x14ac:dyDescent="0.3">
      <c r="A13" s="255">
        <v>783161929</v>
      </c>
      <c r="B13" s="255" t="s">
        <v>1209</v>
      </c>
      <c r="C13" s="258">
        <v>42846</v>
      </c>
      <c r="D13" s="258">
        <v>42847</v>
      </c>
      <c r="E13" s="255" t="s">
        <v>1210</v>
      </c>
      <c r="F13" s="255" t="s">
        <v>301</v>
      </c>
      <c r="G13" s="255" t="s">
        <v>1211</v>
      </c>
      <c r="H13" s="255" t="s">
        <v>338</v>
      </c>
      <c r="I13" s="161">
        <f t="shared" si="0"/>
        <v>1</v>
      </c>
      <c r="J13" s="6">
        <f>SUMIF(Abril!$F$4:$F$95,A13,Abril!$I$4:$I$95)</f>
        <v>1</v>
      </c>
    </row>
    <row r="14" spans="1:10" x14ac:dyDescent="0.3">
      <c r="A14" s="255">
        <v>813736390</v>
      </c>
      <c r="B14" s="255" t="s">
        <v>1220</v>
      </c>
      <c r="C14" s="258">
        <v>42847</v>
      </c>
      <c r="D14" s="258">
        <v>42848</v>
      </c>
      <c r="E14" s="255" t="s">
        <v>1221</v>
      </c>
      <c r="F14" s="255" t="s">
        <v>301</v>
      </c>
      <c r="G14" s="255" t="s">
        <v>1222</v>
      </c>
      <c r="H14" s="255" t="s">
        <v>338</v>
      </c>
      <c r="I14" s="161">
        <f t="shared" si="0"/>
        <v>1</v>
      </c>
      <c r="J14" s="6">
        <f>SUMIF(Abril!$F$4:$F$95,A14,Abril!$I$4:$I$95)</f>
        <v>1</v>
      </c>
    </row>
    <row r="15" spans="1:10" x14ac:dyDescent="0.3">
      <c r="A15" s="255">
        <v>780356194</v>
      </c>
      <c r="B15" s="255" t="s">
        <v>1204</v>
      </c>
      <c r="C15" s="258">
        <v>42848</v>
      </c>
      <c r="D15" s="258">
        <v>42852</v>
      </c>
      <c r="E15" s="255" t="s">
        <v>1205</v>
      </c>
      <c r="F15" s="255" t="s">
        <v>301</v>
      </c>
      <c r="G15" s="255" t="s">
        <v>1206</v>
      </c>
      <c r="H15" s="255" t="s">
        <v>338</v>
      </c>
      <c r="I15" s="161">
        <f t="shared" si="0"/>
        <v>4</v>
      </c>
      <c r="J15" s="6">
        <f>SUMIF(Abril!$F$4:$F$95,A15,Abril!$I$4:$I$95)</f>
        <v>4</v>
      </c>
    </row>
    <row r="16" spans="1:10" x14ac:dyDescent="0.3">
      <c r="A16" s="255">
        <v>780356196</v>
      </c>
      <c r="B16" s="255" t="s">
        <v>1207</v>
      </c>
      <c r="C16" s="258">
        <v>42848</v>
      </c>
      <c r="D16" s="258">
        <v>42852</v>
      </c>
      <c r="E16" s="255" t="s">
        <v>1205</v>
      </c>
      <c r="F16" s="255" t="s">
        <v>301</v>
      </c>
      <c r="G16" s="255" t="s">
        <v>1208</v>
      </c>
      <c r="H16" s="255" t="s">
        <v>338</v>
      </c>
      <c r="I16" s="161">
        <f t="shared" si="0"/>
        <v>4</v>
      </c>
      <c r="J16" s="308">
        <f>SUMIF(Abril!$F$4:$F$95,A16,Abril!$I$4:$I$95)</f>
        <v>4</v>
      </c>
    </row>
    <row r="17" spans="1:11" x14ac:dyDescent="0.3">
      <c r="A17" s="255">
        <v>823423187</v>
      </c>
      <c r="B17" s="255" t="s">
        <v>1228</v>
      </c>
      <c r="C17" s="258">
        <v>42855</v>
      </c>
      <c r="D17" s="258">
        <v>42860</v>
      </c>
      <c r="E17" s="255" t="s">
        <v>1229</v>
      </c>
      <c r="F17" s="255" t="s">
        <v>301</v>
      </c>
      <c r="G17" s="255" t="s">
        <v>1230</v>
      </c>
      <c r="H17" s="255" t="s">
        <v>338</v>
      </c>
      <c r="I17" s="161">
        <f t="shared" si="0"/>
        <v>5</v>
      </c>
      <c r="J17" s="315">
        <f>SUMIF(Abril!$F$4:$F$95,A17,Abril!$I$4:$I$95)</f>
        <v>5</v>
      </c>
    </row>
    <row r="18" spans="1:11" ht="15" x14ac:dyDescent="0.25">
      <c r="A18" s="255"/>
      <c r="B18" s="255"/>
      <c r="C18" s="258"/>
      <c r="D18" s="258"/>
      <c r="E18" s="255"/>
      <c r="F18" s="255"/>
      <c r="G18" s="255"/>
      <c r="H18" s="255"/>
      <c r="I18" s="161">
        <f t="shared" si="0"/>
        <v>0</v>
      </c>
      <c r="J18" s="6">
        <f>SUMIF(Abril!$F$4:$F$95,A18,Abril!$I$4:$I$95)</f>
        <v>0</v>
      </c>
    </row>
    <row r="19" spans="1:11" x14ac:dyDescent="0.3">
      <c r="C19" s="152"/>
      <c r="D19" s="152"/>
      <c r="I19" s="161">
        <f t="shared" si="0"/>
        <v>0</v>
      </c>
      <c r="J19" s="6">
        <f>SUMIF(Abril!$F$4:$F$95,A19,Abril!$I$4:$I$95)</f>
        <v>0</v>
      </c>
    </row>
    <row r="20" spans="1:11" x14ac:dyDescent="0.3">
      <c r="C20" s="152"/>
      <c r="D20" s="152"/>
      <c r="I20" s="161">
        <f t="shared" si="0"/>
        <v>0</v>
      </c>
      <c r="J20" s="6">
        <f>SUMIF(Abril!$F$4:$F$95,A20,Abril!$I$4:$I$95)</f>
        <v>0</v>
      </c>
    </row>
    <row r="21" spans="1:11" x14ac:dyDescent="0.3">
      <c r="I21" s="161">
        <f t="shared" ref="I21:I23" si="1">D21-C21</f>
        <v>0</v>
      </c>
      <c r="J21" s="6">
        <f>SUMIF(Abril!$F$4:$F$95,A21,Abril!$I$4:$I$95)</f>
        <v>0</v>
      </c>
    </row>
    <row r="22" spans="1:11" x14ac:dyDescent="0.3">
      <c r="I22" s="161">
        <f t="shared" si="1"/>
        <v>0</v>
      </c>
      <c r="J22" s="6">
        <f>SUMIF(Abril!$F$4:$F$95,A22,Abril!$I$4:$I$95)</f>
        <v>0</v>
      </c>
    </row>
    <row r="23" spans="1:11" x14ac:dyDescent="0.3">
      <c r="I23" s="161">
        <f t="shared" si="1"/>
        <v>0</v>
      </c>
      <c r="J23" s="6">
        <f>SUMIF(Abril!$F$4:$F$95,A23,Abril!$I$4:$I$95)</f>
        <v>0</v>
      </c>
    </row>
    <row r="24" spans="1:11" x14ac:dyDescent="0.3">
      <c r="I24" s="175">
        <f>SUM(I5:I23)</f>
        <v>32</v>
      </c>
      <c r="J24" s="175">
        <f>SUM(J5:J23)</f>
        <v>30</v>
      </c>
      <c r="K24" s="130">
        <f>SUM(K6:K20)</f>
        <v>0</v>
      </c>
    </row>
  </sheetData>
  <sortState ref="A5:H17">
    <sortCondition ref="C5:C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64"/>
  <sheetViews>
    <sheetView zoomScale="85" zoomScaleNormal="85" workbookViewId="0">
      <selection activeCell="F469" sqref="F469"/>
    </sheetView>
  </sheetViews>
  <sheetFormatPr baseColWidth="10" defaultRowHeight="14.4" x14ac:dyDescent="0.3"/>
  <cols>
    <col min="1" max="1" width="15.21875" style="70" customWidth="1"/>
    <col min="2" max="2" width="24.109375" style="70" customWidth="1"/>
    <col min="3" max="3" width="11.77734375" style="70" customWidth="1"/>
    <col min="4" max="4" width="9.33203125" style="70" customWidth="1"/>
    <col min="5" max="5" width="21.33203125" style="70" customWidth="1"/>
    <col min="6" max="6" width="9.88671875" style="70" customWidth="1"/>
    <col min="7" max="7" width="21.21875" style="70" customWidth="1"/>
    <col min="8" max="8" width="13.33203125" style="70" customWidth="1"/>
    <col min="9" max="9" width="18.88671875" style="202" customWidth="1"/>
    <col min="10" max="10" width="15.21875" style="202" customWidth="1"/>
    <col min="11" max="11" width="13.33203125" style="70" customWidth="1"/>
    <col min="12" max="12" width="21" style="202" customWidth="1"/>
    <col min="13" max="13" width="14.33203125" style="70" customWidth="1"/>
    <col min="14" max="14" width="14.77734375" style="70" customWidth="1"/>
    <col min="15" max="15" width="5.33203125" style="70" customWidth="1"/>
    <col min="16" max="16" width="9.33203125" style="70" customWidth="1"/>
    <col min="17" max="17" width="12.88671875" style="70" customWidth="1"/>
    <col min="18" max="18" width="14.77734375" style="70" customWidth="1"/>
    <col min="19" max="19" width="13.33203125" style="70" customWidth="1"/>
    <col min="20" max="20" width="7.33203125" style="70" customWidth="1"/>
    <col min="21" max="21" width="10.21875" style="70" customWidth="1"/>
    <col min="22" max="22" width="11.88671875" style="70" customWidth="1"/>
    <col min="23" max="23" width="18.33203125" style="70" customWidth="1"/>
    <col min="24" max="35" width="7.33203125" style="70" customWidth="1"/>
    <col min="36" max="228" width="9.109375" style="70" customWidth="1"/>
    <col min="229" max="229" width="30.109375" style="70" customWidth="1"/>
    <col min="230" max="230" width="52.109375" style="70" customWidth="1"/>
    <col min="231" max="231" width="47.77734375" style="70" customWidth="1"/>
    <col min="232" max="232" width="13.33203125" style="70" customWidth="1"/>
    <col min="233" max="233" width="9.88671875" style="70" customWidth="1"/>
    <col min="234" max="234" width="17.109375" style="70" customWidth="1"/>
    <col min="235" max="235" width="9.109375" style="70" customWidth="1"/>
    <col min="236" max="236" width="10.88671875" style="70" customWidth="1"/>
    <col min="237" max="237" width="11.21875" style="70" customWidth="1"/>
    <col min="238" max="238" width="16.33203125" style="70" customWidth="1"/>
    <col min="239" max="239" width="8.21875" style="70" customWidth="1"/>
    <col min="240" max="240" width="10.33203125" style="70" customWidth="1"/>
    <col min="241" max="241" width="11.21875" style="70" customWidth="1"/>
    <col min="242" max="242" width="9.77734375" style="70" customWidth="1"/>
    <col min="243" max="484" width="9.109375" style="70" customWidth="1"/>
    <col min="485" max="485" width="30.109375" style="70" customWidth="1"/>
    <col min="486" max="486" width="52.109375" style="70" customWidth="1"/>
    <col min="487" max="487" width="47.77734375" style="70" customWidth="1"/>
    <col min="488" max="488" width="13.33203125" style="70" customWidth="1"/>
    <col min="489" max="489" width="9.88671875" style="70" customWidth="1"/>
    <col min="490" max="490" width="17.109375" style="70" customWidth="1"/>
    <col min="491" max="491" width="9.109375" style="70" customWidth="1"/>
    <col min="492" max="492" width="10.88671875" style="70" customWidth="1"/>
    <col min="493" max="493" width="11.21875" style="70" customWidth="1"/>
    <col min="494" max="494" width="16.33203125" style="70" customWidth="1"/>
    <col min="495" max="495" width="8.21875" style="70" customWidth="1"/>
    <col min="496" max="496" width="10.33203125" style="70" customWidth="1"/>
    <col min="497" max="497" width="11.21875" style="70" customWidth="1"/>
    <col min="498" max="498" width="9.77734375" style="70" customWidth="1"/>
    <col min="499" max="740" width="9.109375" style="70" customWidth="1"/>
    <col min="741" max="741" width="30.109375" style="70" customWidth="1"/>
    <col min="742" max="742" width="52.109375" style="70" customWidth="1"/>
    <col min="743" max="743" width="47.77734375" style="70" customWidth="1"/>
    <col min="744" max="744" width="13.33203125" style="70" customWidth="1"/>
    <col min="745" max="745" width="9.88671875" style="70" customWidth="1"/>
    <col min="746" max="746" width="17.109375" style="70" customWidth="1"/>
    <col min="747" max="747" width="9.109375" style="70" customWidth="1"/>
    <col min="748" max="748" width="10.88671875" style="70" customWidth="1"/>
    <col min="749" max="749" width="11.21875" style="70" customWidth="1"/>
    <col min="750" max="750" width="16.33203125" style="70" customWidth="1"/>
    <col min="751" max="751" width="8.21875" style="70" customWidth="1"/>
    <col min="752" max="752" width="10.33203125" style="70" customWidth="1"/>
    <col min="753" max="753" width="11.21875" style="70" customWidth="1"/>
    <col min="754" max="754" width="9.77734375" style="70" customWidth="1"/>
    <col min="755" max="996" width="9.109375" style="70" customWidth="1"/>
    <col min="997" max="997" width="30.109375" style="70" customWidth="1"/>
    <col min="998" max="998" width="52.109375" style="70" customWidth="1"/>
    <col min="999" max="999" width="47.77734375" style="70" customWidth="1"/>
    <col min="1000" max="1000" width="13.33203125" style="70" customWidth="1"/>
    <col min="1001" max="1001" width="9.88671875" style="70" customWidth="1"/>
    <col min="1002" max="1002" width="17.109375" style="70" customWidth="1"/>
    <col min="1003" max="1003" width="9.109375" style="70" customWidth="1"/>
    <col min="1004" max="1004" width="10.88671875" style="70" customWidth="1"/>
    <col min="1005" max="1005" width="11.21875" style="70" customWidth="1"/>
    <col min="1006" max="1006" width="16.33203125" style="70" customWidth="1"/>
    <col min="1007" max="1007" width="8.21875" style="70" customWidth="1"/>
    <col min="1008" max="1008" width="10.33203125" style="70" customWidth="1"/>
    <col min="1009" max="1009" width="11.21875" style="70" customWidth="1"/>
    <col min="1010" max="1010" width="9.77734375" style="70" customWidth="1"/>
    <col min="1011" max="1252" width="9.109375" style="70" customWidth="1"/>
    <col min="1253" max="1253" width="30.109375" style="70" customWidth="1"/>
    <col min="1254" max="1254" width="52.109375" style="70" customWidth="1"/>
    <col min="1255" max="1255" width="47.77734375" style="70" customWidth="1"/>
    <col min="1256" max="1256" width="13.33203125" style="70" customWidth="1"/>
    <col min="1257" max="1257" width="9.88671875" style="70" customWidth="1"/>
    <col min="1258" max="1258" width="17.109375" style="70" customWidth="1"/>
    <col min="1259" max="1259" width="9.109375" style="70" customWidth="1"/>
    <col min="1260" max="1260" width="10.88671875" style="70" customWidth="1"/>
    <col min="1261" max="1261" width="11.21875" style="70" customWidth="1"/>
    <col min="1262" max="1262" width="16.33203125" style="70" customWidth="1"/>
    <col min="1263" max="1263" width="8.21875" style="70" customWidth="1"/>
    <col min="1264" max="1264" width="10.33203125" style="70" customWidth="1"/>
    <col min="1265" max="1265" width="11.21875" style="70" customWidth="1"/>
    <col min="1266" max="1266" width="9.77734375" style="70" customWidth="1"/>
    <col min="1267" max="1508" width="9.109375" style="70" customWidth="1"/>
    <col min="1509" max="1509" width="30.109375" style="70" customWidth="1"/>
    <col min="1510" max="1510" width="52.109375" style="70" customWidth="1"/>
    <col min="1511" max="1511" width="47.77734375" style="70" customWidth="1"/>
    <col min="1512" max="1512" width="13.33203125" style="70" customWidth="1"/>
    <col min="1513" max="1513" width="9.88671875" style="70" customWidth="1"/>
    <col min="1514" max="1514" width="17.109375" style="70" customWidth="1"/>
    <col min="1515" max="1515" width="9.109375" style="70" customWidth="1"/>
    <col min="1516" max="1516" width="10.88671875" style="70" customWidth="1"/>
    <col min="1517" max="1517" width="11.21875" style="70" customWidth="1"/>
    <col min="1518" max="1518" width="16.33203125" style="70" customWidth="1"/>
    <col min="1519" max="1519" width="8.21875" style="70" customWidth="1"/>
    <col min="1520" max="1520" width="10.33203125" style="70" customWidth="1"/>
    <col min="1521" max="1521" width="11.21875" style="70" customWidth="1"/>
    <col min="1522" max="1522" width="9.77734375" style="70" customWidth="1"/>
    <col min="1523" max="1764" width="9.109375" style="70" customWidth="1"/>
    <col min="1765" max="1765" width="30.109375" style="70" customWidth="1"/>
    <col min="1766" max="1766" width="52.109375" style="70" customWidth="1"/>
    <col min="1767" max="1767" width="47.77734375" style="70" customWidth="1"/>
    <col min="1768" max="1768" width="13.33203125" style="70" customWidth="1"/>
    <col min="1769" max="1769" width="9.88671875" style="70" customWidth="1"/>
    <col min="1770" max="1770" width="17.109375" style="70" customWidth="1"/>
    <col min="1771" max="1771" width="9.109375" style="70" customWidth="1"/>
    <col min="1772" max="1772" width="10.88671875" style="70" customWidth="1"/>
    <col min="1773" max="1773" width="11.21875" style="70" customWidth="1"/>
    <col min="1774" max="1774" width="16.33203125" style="70" customWidth="1"/>
    <col min="1775" max="1775" width="8.21875" style="70" customWidth="1"/>
    <col min="1776" max="1776" width="10.33203125" style="70" customWidth="1"/>
    <col min="1777" max="1777" width="11.21875" style="70" customWidth="1"/>
    <col min="1778" max="1778" width="9.77734375" style="70" customWidth="1"/>
    <col min="1779" max="2020" width="9.109375" style="70" customWidth="1"/>
    <col min="2021" max="2021" width="30.109375" style="70" customWidth="1"/>
    <col min="2022" max="2022" width="52.109375" style="70" customWidth="1"/>
    <col min="2023" max="2023" width="47.77734375" style="70" customWidth="1"/>
    <col min="2024" max="2024" width="13.33203125" style="70" customWidth="1"/>
    <col min="2025" max="2025" width="9.88671875" style="70" customWidth="1"/>
    <col min="2026" max="2026" width="17.109375" style="70" customWidth="1"/>
    <col min="2027" max="2027" width="9.109375" style="70" customWidth="1"/>
    <col min="2028" max="2028" width="10.88671875" style="70" customWidth="1"/>
    <col min="2029" max="2029" width="11.21875" style="70" customWidth="1"/>
    <col min="2030" max="2030" width="16.33203125" style="70" customWidth="1"/>
    <col min="2031" max="2031" width="8.21875" style="70" customWidth="1"/>
    <col min="2032" max="2032" width="10.33203125" style="70" customWidth="1"/>
    <col min="2033" max="2033" width="11.21875" style="70" customWidth="1"/>
    <col min="2034" max="2034" width="9.77734375" style="70" customWidth="1"/>
    <col min="2035" max="2276" width="9.109375" style="70" customWidth="1"/>
    <col min="2277" max="2277" width="30.109375" style="70" customWidth="1"/>
    <col min="2278" max="2278" width="52.109375" style="70" customWidth="1"/>
    <col min="2279" max="2279" width="47.77734375" style="70" customWidth="1"/>
    <col min="2280" max="2280" width="13.33203125" style="70" customWidth="1"/>
    <col min="2281" max="2281" width="9.88671875" style="70" customWidth="1"/>
    <col min="2282" max="2282" width="17.109375" style="70" customWidth="1"/>
    <col min="2283" max="2283" width="9.109375" style="70" customWidth="1"/>
    <col min="2284" max="2284" width="10.88671875" style="70" customWidth="1"/>
    <col min="2285" max="2285" width="11.21875" style="70" customWidth="1"/>
    <col min="2286" max="2286" width="16.33203125" style="70" customWidth="1"/>
    <col min="2287" max="2287" width="8.21875" style="70" customWidth="1"/>
    <col min="2288" max="2288" width="10.33203125" style="70" customWidth="1"/>
    <col min="2289" max="2289" width="11.21875" style="70" customWidth="1"/>
    <col min="2290" max="2290" width="9.77734375" style="70" customWidth="1"/>
    <col min="2291" max="2532" width="9.109375" style="70" customWidth="1"/>
    <col min="2533" max="2533" width="30.109375" style="70" customWidth="1"/>
    <col min="2534" max="2534" width="52.109375" style="70" customWidth="1"/>
    <col min="2535" max="2535" width="47.77734375" style="70" customWidth="1"/>
    <col min="2536" max="2536" width="13.33203125" style="70" customWidth="1"/>
    <col min="2537" max="2537" width="9.88671875" style="70" customWidth="1"/>
    <col min="2538" max="2538" width="17.109375" style="70" customWidth="1"/>
    <col min="2539" max="2539" width="9.109375" style="70" customWidth="1"/>
    <col min="2540" max="2540" width="10.88671875" style="70" customWidth="1"/>
    <col min="2541" max="2541" width="11.21875" style="70" customWidth="1"/>
    <col min="2542" max="2542" width="16.33203125" style="70" customWidth="1"/>
    <col min="2543" max="2543" width="8.21875" style="70" customWidth="1"/>
    <col min="2544" max="2544" width="10.33203125" style="70" customWidth="1"/>
    <col min="2545" max="2545" width="11.21875" style="70" customWidth="1"/>
    <col min="2546" max="2546" width="9.77734375" style="70" customWidth="1"/>
    <col min="2547" max="2788" width="9.109375" style="70" customWidth="1"/>
    <col min="2789" max="2789" width="30.109375" style="70" customWidth="1"/>
    <col min="2790" max="2790" width="52.109375" style="70" customWidth="1"/>
    <col min="2791" max="2791" width="47.77734375" style="70" customWidth="1"/>
    <col min="2792" max="2792" width="13.33203125" style="70" customWidth="1"/>
    <col min="2793" max="2793" width="9.88671875" style="70" customWidth="1"/>
    <col min="2794" max="2794" width="17.109375" style="70" customWidth="1"/>
    <col min="2795" max="2795" width="9.109375" style="70" customWidth="1"/>
    <col min="2796" max="2796" width="10.88671875" style="70" customWidth="1"/>
    <col min="2797" max="2797" width="11.21875" style="70" customWidth="1"/>
    <col min="2798" max="2798" width="16.33203125" style="70" customWidth="1"/>
    <col min="2799" max="2799" width="8.21875" style="70" customWidth="1"/>
    <col min="2800" max="2800" width="10.33203125" style="70" customWidth="1"/>
    <col min="2801" max="2801" width="11.21875" style="70" customWidth="1"/>
    <col min="2802" max="2802" width="9.77734375" style="70" customWidth="1"/>
    <col min="2803" max="3044" width="9.109375" style="70" customWidth="1"/>
    <col min="3045" max="3045" width="30.109375" style="70" customWidth="1"/>
    <col min="3046" max="3046" width="52.109375" style="70" customWidth="1"/>
    <col min="3047" max="3047" width="47.77734375" style="70" customWidth="1"/>
    <col min="3048" max="3048" width="13.33203125" style="70" customWidth="1"/>
    <col min="3049" max="3049" width="9.88671875" style="70" customWidth="1"/>
    <col min="3050" max="3050" width="17.109375" style="70" customWidth="1"/>
    <col min="3051" max="3051" width="9.109375" style="70" customWidth="1"/>
    <col min="3052" max="3052" width="10.88671875" style="70" customWidth="1"/>
    <col min="3053" max="3053" width="11.21875" style="70" customWidth="1"/>
    <col min="3054" max="3054" width="16.33203125" style="70" customWidth="1"/>
    <col min="3055" max="3055" width="8.21875" style="70" customWidth="1"/>
    <col min="3056" max="3056" width="10.33203125" style="70" customWidth="1"/>
    <col min="3057" max="3057" width="11.21875" style="70" customWidth="1"/>
    <col min="3058" max="3058" width="9.77734375" style="70" customWidth="1"/>
    <col min="3059" max="3300" width="9.109375" style="70" customWidth="1"/>
    <col min="3301" max="3301" width="30.109375" style="70" customWidth="1"/>
    <col min="3302" max="3302" width="52.109375" style="70" customWidth="1"/>
    <col min="3303" max="3303" width="47.77734375" style="70" customWidth="1"/>
    <col min="3304" max="3304" width="13.33203125" style="70" customWidth="1"/>
    <col min="3305" max="3305" width="9.88671875" style="70" customWidth="1"/>
    <col min="3306" max="3306" width="17.109375" style="70" customWidth="1"/>
    <col min="3307" max="3307" width="9.109375" style="70" customWidth="1"/>
    <col min="3308" max="3308" width="10.88671875" style="70" customWidth="1"/>
    <col min="3309" max="3309" width="11.21875" style="70" customWidth="1"/>
    <col min="3310" max="3310" width="16.33203125" style="70" customWidth="1"/>
    <col min="3311" max="3311" width="8.21875" style="70" customWidth="1"/>
    <col min="3312" max="3312" width="10.33203125" style="70" customWidth="1"/>
    <col min="3313" max="3313" width="11.21875" style="70" customWidth="1"/>
    <col min="3314" max="3314" width="9.77734375" style="70" customWidth="1"/>
    <col min="3315" max="3556" width="9.109375" style="70" customWidth="1"/>
    <col min="3557" max="3557" width="30.109375" style="70" customWidth="1"/>
    <col min="3558" max="3558" width="52.109375" style="70" customWidth="1"/>
    <col min="3559" max="3559" width="47.77734375" style="70" customWidth="1"/>
    <col min="3560" max="3560" width="13.33203125" style="70" customWidth="1"/>
    <col min="3561" max="3561" width="9.88671875" style="70" customWidth="1"/>
    <col min="3562" max="3562" width="17.109375" style="70" customWidth="1"/>
    <col min="3563" max="3563" width="9.109375" style="70" customWidth="1"/>
    <col min="3564" max="3564" width="10.88671875" style="70" customWidth="1"/>
    <col min="3565" max="3565" width="11.21875" style="70" customWidth="1"/>
    <col min="3566" max="3566" width="16.33203125" style="70" customWidth="1"/>
    <col min="3567" max="3567" width="8.21875" style="70" customWidth="1"/>
    <col min="3568" max="3568" width="10.33203125" style="70" customWidth="1"/>
    <col min="3569" max="3569" width="11.21875" style="70" customWidth="1"/>
    <col min="3570" max="3570" width="9.77734375" style="70" customWidth="1"/>
    <col min="3571" max="3812" width="9.109375" style="70" customWidth="1"/>
    <col min="3813" max="3813" width="30.109375" style="70" customWidth="1"/>
    <col min="3814" max="3814" width="52.109375" style="70" customWidth="1"/>
    <col min="3815" max="3815" width="47.77734375" style="70" customWidth="1"/>
    <col min="3816" max="3816" width="13.33203125" style="70" customWidth="1"/>
    <col min="3817" max="3817" width="9.88671875" style="70" customWidth="1"/>
    <col min="3818" max="3818" width="17.109375" style="70" customWidth="1"/>
    <col min="3819" max="3819" width="9.109375" style="70" customWidth="1"/>
    <col min="3820" max="3820" width="10.88671875" style="70" customWidth="1"/>
    <col min="3821" max="3821" width="11.21875" style="70" customWidth="1"/>
    <col min="3822" max="3822" width="16.33203125" style="70" customWidth="1"/>
    <col min="3823" max="3823" width="8.21875" style="70" customWidth="1"/>
    <col min="3824" max="3824" width="10.33203125" style="70" customWidth="1"/>
    <col min="3825" max="3825" width="11.21875" style="70" customWidth="1"/>
    <col min="3826" max="3826" width="9.77734375" style="70" customWidth="1"/>
    <col min="3827" max="4068" width="9.109375" style="70" customWidth="1"/>
    <col min="4069" max="4069" width="30.109375" style="70" customWidth="1"/>
    <col min="4070" max="4070" width="52.109375" style="70" customWidth="1"/>
    <col min="4071" max="4071" width="47.77734375" style="70" customWidth="1"/>
    <col min="4072" max="4072" width="13.33203125" style="70" customWidth="1"/>
    <col min="4073" max="4073" width="9.88671875" style="70" customWidth="1"/>
    <col min="4074" max="4074" width="17.109375" style="70" customWidth="1"/>
    <col min="4075" max="4075" width="9.109375" style="70" customWidth="1"/>
    <col min="4076" max="4076" width="10.88671875" style="70" customWidth="1"/>
    <col min="4077" max="4077" width="11.21875" style="70" customWidth="1"/>
    <col min="4078" max="4078" width="16.33203125" style="70" customWidth="1"/>
    <col min="4079" max="4079" width="8.21875" style="70" customWidth="1"/>
    <col min="4080" max="4080" width="10.33203125" style="70" customWidth="1"/>
    <col min="4081" max="4081" width="11.21875" style="70" customWidth="1"/>
    <col min="4082" max="4082" width="9.77734375" style="70" customWidth="1"/>
    <col min="4083" max="4324" width="9.109375" style="70" customWidth="1"/>
    <col min="4325" max="4325" width="30.109375" style="70" customWidth="1"/>
    <col min="4326" max="4326" width="52.109375" style="70" customWidth="1"/>
    <col min="4327" max="4327" width="47.77734375" style="70" customWidth="1"/>
    <col min="4328" max="4328" width="13.33203125" style="70" customWidth="1"/>
    <col min="4329" max="4329" width="9.88671875" style="70" customWidth="1"/>
    <col min="4330" max="4330" width="17.109375" style="70" customWidth="1"/>
    <col min="4331" max="4331" width="9.109375" style="70" customWidth="1"/>
    <col min="4332" max="4332" width="10.88671875" style="70" customWidth="1"/>
    <col min="4333" max="4333" width="11.21875" style="70" customWidth="1"/>
    <col min="4334" max="4334" width="16.33203125" style="70" customWidth="1"/>
    <col min="4335" max="4335" width="8.21875" style="70" customWidth="1"/>
    <col min="4336" max="4336" width="10.33203125" style="70" customWidth="1"/>
    <col min="4337" max="4337" width="11.21875" style="70" customWidth="1"/>
    <col min="4338" max="4338" width="9.77734375" style="70" customWidth="1"/>
    <col min="4339" max="4580" width="9.109375" style="70" customWidth="1"/>
    <col min="4581" max="4581" width="30.109375" style="70" customWidth="1"/>
    <col min="4582" max="4582" width="52.109375" style="70" customWidth="1"/>
    <col min="4583" max="4583" width="47.77734375" style="70" customWidth="1"/>
    <col min="4584" max="4584" width="13.33203125" style="70" customWidth="1"/>
    <col min="4585" max="4585" width="9.88671875" style="70" customWidth="1"/>
    <col min="4586" max="4586" width="17.109375" style="70" customWidth="1"/>
    <col min="4587" max="4587" width="9.109375" style="70" customWidth="1"/>
    <col min="4588" max="4588" width="10.88671875" style="70" customWidth="1"/>
    <col min="4589" max="4589" width="11.21875" style="70" customWidth="1"/>
    <col min="4590" max="4590" width="16.33203125" style="70" customWidth="1"/>
    <col min="4591" max="4591" width="8.21875" style="70" customWidth="1"/>
    <col min="4592" max="4592" width="10.33203125" style="70" customWidth="1"/>
    <col min="4593" max="4593" width="11.21875" style="70" customWidth="1"/>
    <col min="4594" max="4594" width="9.77734375" style="70" customWidth="1"/>
    <col min="4595" max="4836" width="9.109375" style="70" customWidth="1"/>
    <col min="4837" max="4837" width="30.109375" style="70" customWidth="1"/>
    <col min="4838" max="4838" width="52.109375" style="70" customWidth="1"/>
    <col min="4839" max="4839" width="47.77734375" style="70" customWidth="1"/>
    <col min="4840" max="4840" width="13.33203125" style="70" customWidth="1"/>
    <col min="4841" max="4841" width="9.88671875" style="70" customWidth="1"/>
    <col min="4842" max="4842" width="17.109375" style="70" customWidth="1"/>
    <col min="4843" max="4843" width="9.109375" style="70" customWidth="1"/>
    <col min="4844" max="4844" width="10.88671875" style="70" customWidth="1"/>
    <col min="4845" max="4845" width="11.21875" style="70" customWidth="1"/>
    <col min="4846" max="4846" width="16.33203125" style="70" customWidth="1"/>
    <col min="4847" max="4847" width="8.21875" style="70" customWidth="1"/>
    <col min="4848" max="4848" width="10.33203125" style="70" customWidth="1"/>
    <col min="4849" max="4849" width="11.21875" style="70" customWidth="1"/>
    <col min="4850" max="4850" width="9.77734375" style="70" customWidth="1"/>
    <col min="4851" max="5092" width="9.109375" style="70" customWidth="1"/>
    <col min="5093" max="5093" width="30.109375" style="70" customWidth="1"/>
    <col min="5094" max="5094" width="52.109375" style="70" customWidth="1"/>
    <col min="5095" max="5095" width="47.77734375" style="70" customWidth="1"/>
    <col min="5096" max="5096" width="13.33203125" style="70" customWidth="1"/>
    <col min="5097" max="5097" width="9.88671875" style="70" customWidth="1"/>
    <col min="5098" max="5098" width="17.109375" style="70" customWidth="1"/>
    <col min="5099" max="5099" width="9.109375" style="70" customWidth="1"/>
    <col min="5100" max="5100" width="10.88671875" style="70" customWidth="1"/>
    <col min="5101" max="5101" width="11.21875" style="70" customWidth="1"/>
    <col min="5102" max="5102" width="16.33203125" style="70" customWidth="1"/>
    <col min="5103" max="5103" width="8.21875" style="70" customWidth="1"/>
    <col min="5104" max="5104" width="10.33203125" style="70" customWidth="1"/>
    <col min="5105" max="5105" width="11.21875" style="70" customWidth="1"/>
    <col min="5106" max="5106" width="9.77734375" style="70" customWidth="1"/>
    <col min="5107" max="5348" width="9.109375" style="70" customWidth="1"/>
    <col min="5349" max="5349" width="30.109375" style="70" customWidth="1"/>
    <col min="5350" max="5350" width="52.109375" style="70" customWidth="1"/>
    <col min="5351" max="5351" width="47.77734375" style="70" customWidth="1"/>
    <col min="5352" max="5352" width="13.33203125" style="70" customWidth="1"/>
    <col min="5353" max="5353" width="9.88671875" style="70" customWidth="1"/>
    <col min="5354" max="5354" width="17.109375" style="70" customWidth="1"/>
    <col min="5355" max="5355" width="9.109375" style="70" customWidth="1"/>
    <col min="5356" max="5356" width="10.88671875" style="70" customWidth="1"/>
    <col min="5357" max="5357" width="11.21875" style="70" customWidth="1"/>
    <col min="5358" max="5358" width="16.33203125" style="70" customWidth="1"/>
    <col min="5359" max="5359" width="8.21875" style="70" customWidth="1"/>
    <col min="5360" max="5360" width="10.33203125" style="70" customWidth="1"/>
    <col min="5361" max="5361" width="11.21875" style="70" customWidth="1"/>
    <col min="5362" max="5362" width="9.77734375" style="70" customWidth="1"/>
    <col min="5363" max="5604" width="9.109375" style="70" customWidth="1"/>
    <col min="5605" max="5605" width="30.109375" style="70" customWidth="1"/>
    <col min="5606" max="5606" width="52.109375" style="70" customWidth="1"/>
    <col min="5607" max="5607" width="47.77734375" style="70" customWidth="1"/>
    <col min="5608" max="5608" width="13.33203125" style="70" customWidth="1"/>
    <col min="5609" max="5609" width="9.88671875" style="70" customWidth="1"/>
    <col min="5610" max="5610" width="17.109375" style="70" customWidth="1"/>
    <col min="5611" max="5611" width="9.109375" style="70" customWidth="1"/>
    <col min="5612" max="5612" width="10.88671875" style="70" customWidth="1"/>
    <col min="5613" max="5613" width="11.21875" style="70" customWidth="1"/>
    <col min="5614" max="5614" width="16.33203125" style="70" customWidth="1"/>
    <col min="5615" max="5615" width="8.21875" style="70" customWidth="1"/>
    <col min="5616" max="5616" width="10.33203125" style="70" customWidth="1"/>
    <col min="5617" max="5617" width="11.21875" style="70" customWidth="1"/>
    <col min="5618" max="5618" width="9.77734375" style="70" customWidth="1"/>
    <col min="5619" max="5860" width="9.109375" style="70" customWidth="1"/>
    <col min="5861" max="5861" width="30.109375" style="70" customWidth="1"/>
    <col min="5862" max="5862" width="52.109375" style="70" customWidth="1"/>
    <col min="5863" max="5863" width="47.77734375" style="70" customWidth="1"/>
    <col min="5864" max="5864" width="13.33203125" style="70" customWidth="1"/>
    <col min="5865" max="5865" width="9.88671875" style="70" customWidth="1"/>
    <col min="5866" max="5866" width="17.109375" style="70" customWidth="1"/>
    <col min="5867" max="5867" width="9.109375" style="70" customWidth="1"/>
    <col min="5868" max="5868" width="10.88671875" style="70" customWidth="1"/>
    <col min="5869" max="5869" width="11.21875" style="70" customWidth="1"/>
    <col min="5870" max="5870" width="16.33203125" style="70" customWidth="1"/>
    <col min="5871" max="5871" width="8.21875" style="70" customWidth="1"/>
    <col min="5872" max="5872" width="10.33203125" style="70" customWidth="1"/>
    <col min="5873" max="5873" width="11.21875" style="70" customWidth="1"/>
    <col min="5874" max="5874" width="9.77734375" style="70" customWidth="1"/>
    <col min="5875" max="6116" width="9.109375" style="70" customWidth="1"/>
    <col min="6117" max="6117" width="30.109375" style="70" customWidth="1"/>
    <col min="6118" max="6118" width="52.109375" style="70" customWidth="1"/>
    <col min="6119" max="6119" width="47.77734375" style="70" customWidth="1"/>
    <col min="6120" max="6120" width="13.33203125" style="70" customWidth="1"/>
    <col min="6121" max="6121" width="9.88671875" style="70" customWidth="1"/>
    <col min="6122" max="6122" width="17.109375" style="70" customWidth="1"/>
    <col min="6123" max="6123" width="9.109375" style="70" customWidth="1"/>
    <col min="6124" max="6124" width="10.88671875" style="70" customWidth="1"/>
    <col min="6125" max="6125" width="11.21875" style="70" customWidth="1"/>
    <col min="6126" max="6126" width="16.33203125" style="70" customWidth="1"/>
    <col min="6127" max="6127" width="8.21875" style="70" customWidth="1"/>
    <col min="6128" max="6128" width="10.33203125" style="70" customWidth="1"/>
    <col min="6129" max="6129" width="11.21875" style="70" customWidth="1"/>
    <col min="6130" max="6130" width="9.77734375" style="70" customWidth="1"/>
    <col min="6131" max="6372" width="9.109375" style="70" customWidth="1"/>
    <col min="6373" max="6373" width="30.109375" style="70" customWidth="1"/>
    <col min="6374" max="6374" width="52.109375" style="70" customWidth="1"/>
    <col min="6375" max="6375" width="47.77734375" style="70" customWidth="1"/>
    <col min="6376" max="6376" width="13.33203125" style="70" customWidth="1"/>
    <col min="6377" max="6377" width="9.88671875" style="70" customWidth="1"/>
    <col min="6378" max="6378" width="17.109375" style="70" customWidth="1"/>
    <col min="6379" max="6379" width="9.109375" style="70" customWidth="1"/>
    <col min="6380" max="6380" width="10.88671875" style="70" customWidth="1"/>
    <col min="6381" max="6381" width="11.21875" style="70" customWidth="1"/>
    <col min="6382" max="6382" width="16.33203125" style="70" customWidth="1"/>
    <col min="6383" max="6383" width="8.21875" style="70" customWidth="1"/>
    <col min="6384" max="6384" width="10.33203125" style="70" customWidth="1"/>
    <col min="6385" max="6385" width="11.21875" style="70" customWidth="1"/>
    <col min="6386" max="6386" width="9.77734375" style="70" customWidth="1"/>
    <col min="6387" max="6628" width="9.109375" style="70" customWidth="1"/>
    <col min="6629" max="6629" width="30.109375" style="70" customWidth="1"/>
    <col min="6630" max="6630" width="52.109375" style="70" customWidth="1"/>
    <col min="6631" max="6631" width="47.77734375" style="70" customWidth="1"/>
    <col min="6632" max="6632" width="13.33203125" style="70" customWidth="1"/>
    <col min="6633" max="6633" width="9.88671875" style="70" customWidth="1"/>
    <col min="6634" max="6634" width="17.109375" style="70" customWidth="1"/>
    <col min="6635" max="6635" width="9.109375" style="70" customWidth="1"/>
    <col min="6636" max="6636" width="10.88671875" style="70" customWidth="1"/>
    <col min="6637" max="6637" width="11.21875" style="70" customWidth="1"/>
    <col min="6638" max="6638" width="16.33203125" style="70" customWidth="1"/>
    <col min="6639" max="6639" width="8.21875" style="70" customWidth="1"/>
    <col min="6640" max="6640" width="10.33203125" style="70" customWidth="1"/>
    <col min="6641" max="6641" width="11.21875" style="70" customWidth="1"/>
    <col min="6642" max="6642" width="9.77734375" style="70" customWidth="1"/>
    <col min="6643" max="6884" width="9.109375" style="70" customWidth="1"/>
    <col min="6885" max="6885" width="30.109375" style="70" customWidth="1"/>
    <col min="6886" max="6886" width="52.109375" style="70" customWidth="1"/>
    <col min="6887" max="6887" width="47.77734375" style="70" customWidth="1"/>
    <col min="6888" max="6888" width="13.33203125" style="70" customWidth="1"/>
    <col min="6889" max="6889" width="9.88671875" style="70" customWidth="1"/>
    <col min="6890" max="6890" width="17.109375" style="70" customWidth="1"/>
    <col min="6891" max="6891" width="9.109375" style="70" customWidth="1"/>
    <col min="6892" max="6892" width="10.88671875" style="70" customWidth="1"/>
    <col min="6893" max="6893" width="11.21875" style="70" customWidth="1"/>
    <col min="6894" max="6894" width="16.33203125" style="70" customWidth="1"/>
    <col min="6895" max="6895" width="8.21875" style="70" customWidth="1"/>
    <col min="6896" max="6896" width="10.33203125" style="70" customWidth="1"/>
    <col min="6897" max="6897" width="11.21875" style="70" customWidth="1"/>
    <col min="6898" max="6898" width="9.77734375" style="70" customWidth="1"/>
    <col min="6899" max="7140" width="9.109375" style="70" customWidth="1"/>
    <col min="7141" max="7141" width="30.109375" style="70" customWidth="1"/>
    <col min="7142" max="7142" width="52.109375" style="70" customWidth="1"/>
    <col min="7143" max="7143" width="47.77734375" style="70" customWidth="1"/>
    <col min="7144" max="7144" width="13.33203125" style="70" customWidth="1"/>
    <col min="7145" max="7145" width="9.88671875" style="70" customWidth="1"/>
    <col min="7146" max="7146" width="17.109375" style="70" customWidth="1"/>
    <col min="7147" max="7147" width="9.109375" style="70" customWidth="1"/>
    <col min="7148" max="7148" width="10.88671875" style="70" customWidth="1"/>
    <col min="7149" max="7149" width="11.21875" style="70" customWidth="1"/>
    <col min="7150" max="7150" width="16.33203125" style="70" customWidth="1"/>
    <col min="7151" max="7151" width="8.21875" style="70" customWidth="1"/>
    <col min="7152" max="7152" width="10.33203125" style="70" customWidth="1"/>
    <col min="7153" max="7153" width="11.21875" style="70" customWidth="1"/>
    <col min="7154" max="7154" width="9.77734375" style="70" customWidth="1"/>
    <col min="7155" max="7396" width="9.109375" style="70" customWidth="1"/>
    <col min="7397" max="7397" width="30.109375" style="70" customWidth="1"/>
    <col min="7398" max="7398" width="52.109375" style="70" customWidth="1"/>
    <col min="7399" max="7399" width="47.77734375" style="70" customWidth="1"/>
    <col min="7400" max="7400" width="13.33203125" style="70" customWidth="1"/>
    <col min="7401" max="7401" width="9.88671875" style="70" customWidth="1"/>
    <col min="7402" max="7402" width="17.109375" style="70" customWidth="1"/>
    <col min="7403" max="7403" width="9.109375" style="70" customWidth="1"/>
    <col min="7404" max="7404" width="10.88671875" style="70" customWidth="1"/>
    <col min="7405" max="7405" width="11.21875" style="70" customWidth="1"/>
    <col min="7406" max="7406" width="16.33203125" style="70" customWidth="1"/>
    <col min="7407" max="7407" width="8.21875" style="70" customWidth="1"/>
    <col min="7408" max="7408" width="10.33203125" style="70" customWidth="1"/>
    <col min="7409" max="7409" width="11.21875" style="70" customWidth="1"/>
    <col min="7410" max="7410" width="9.77734375" style="70" customWidth="1"/>
    <col min="7411" max="7652" width="9.109375" style="70" customWidth="1"/>
    <col min="7653" max="7653" width="30.109375" style="70" customWidth="1"/>
    <col min="7654" max="7654" width="52.109375" style="70" customWidth="1"/>
    <col min="7655" max="7655" width="47.77734375" style="70" customWidth="1"/>
    <col min="7656" max="7656" width="13.33203125" style="70" customWidth="1"/>
    <col min="7657" max="7657" width="9.88671875" style="70" customWidth="1"/>
    <col min="7658" max="7658" width="17.109375" style="70" customWidth="1"/>
    <col min="7659" max="7659" width="9.109375" style="70" customWidth="1"/>
    <col min="7660" max="7660" width="10.88671875" style="70" customWidth="1"/>
    <col min="7661" max="7661" width="11.21875" style="70" customWidth="1"/>
    <col min="7662" max="7662" width="16.33203125" style="70" customWidth="1"/>
    <col min="7663" max="7663" width="8.21875" style="70" customWidth="1"/>
    <col min="7664" max="7664" width="10.33203125" style="70" customWidth="1"/>
    <col min="7665" max="7665" width="11.21875" style="70" customWidth="1"/>
    <col min="7666" max="7666" width="9.77734375" style="70" customWidth="1"/>
    <col min="7667" max="7908" width="9.109375" style="70" customWidth="1"/>
    <col min="7909" max="7909" width="30.109375" style="70" customWidth="1"/>
    <col min="7910" max="7910" width="52.109375" style="70" customWidth="1"/>
    <col min="7911" max="7911" width="47.77734375" style="70" customWidth="1"/>
    <col min="7912" max="7912" width="13.33203125" style="70" customWidth="1"/>
    <col min="7913" max="7913" width="9.88671875" style="70" customWidth="1"/>
    <col min="7914" max="7914" width="17.109375" style="70" customWidth="1"/>
    <col min="7915" max="7915" width="9.109375" style="70" customWidth="1"/>
    <col min="7916" max="7916" width="10.88671875" style="70" customWidth="1"/>
    <col min="7917" max="7917" width="11.21875" style="70" customWidth="1"/>
    <col min="7918" max="7918" width="16.33203125" style="70" customWidth="1"/>
    <col min="7919" max="7919" width="8.21875" style="70" customWidth="1"/>
    <col min="7920" max="7920" width="10.33203125" style="70" customWidth="1"/>
    <col min="7921" max="7921" width="11.21875" style="70" customWidth="1"/>
    <col min="7922" max="7922" width="9.77734375" style="70" customWidth="1"/>
    <col min="7923" max="8164" width="9.109375" style="70" customWidth="1"/>
    <col min="8165" max="8165" width="30.109375" style="70" customWidth="1"/>
    <col min="8166" max="8166" width="52.109375" style="70" customWidth="1"/>
    <col min="8167" max="8167" width="47.77734375" style="70" customWidth="1"/>
    <col min="8168" max="8168" width="13.33203125" style="70" customWidth="1"/>
    <col min="8169" max="8169" width="9.88671875" style="70" customWidth="1"/>
    <col min="8170" max="8170" width="17.109375" style="70" customWidth="1"/>
    <col min="8171" max="8171" width="9.109375" style="70" customWidth="1"/>
    <col min="8172" max="8172" width="10.88671875" style="70" customWidth="1"/>
    <col min="8173" max="8173" width="11.21875" style="70" customWidth="1"/>
    <col min="8174" max="8174" width="16.33203125" style="70" customWidth="1"/>
    <col min="8175" max="8175" width="8.21875" style="70" customWidth="1"/>
    <col min="8176" max="8176" width="10.33203125" style="70" customWidth="1"/>
    <col min="8177" max="8177" width="11.21875" style="70" customWidth="1"/>
    <col min="8178" max="8178" width="9.77734375" style="70" customWidth="1"/>
    <col min="8179" max="8420" width="9.109375" style="70" customWidth="1"/>
    <col min="8421" max="8421" width="30.109375" style="70" customWidth="1"/>
    <col min="8422" max="8422" width="52.109375" style="70" customWidth="1"/>
    <col min="8423" max="8423" width="47.77734375" style="70" customWidth="1"/>
    <col min="8424" max="8424" width="13.33203125" style="70" customWidth="1"/>
    <col min="8425" max="8425" width="9.88671875" style="70" customWidth="1"/>
    <col min="8426" max="8426" width="17.109375" style="70" customWidth="1"/>
    <col min="8427" max="8427" width="9.109375" style="70" customWidth="1"/>
    <col min="8428" max="8428" width="10.88671875" style="70" customWidth="1"/>
    <col min="8429" max="8429" width="11.21875" style="70" customWidth="1"/>
    <col min="8430" max="8430" width="16.33203125" style="70" customWidth="1"/>
    <col min="8431" max="8431" width="8.21875" style="70" customWidth="1"/>
    <col min="8432" max="8432" width="10.33203125" style="70" customWidth="1"/>
    <col min="8433" max="8433" width="11.21875" style="70" customWidth="1"/>
    <col min="8434" max="8434" width="9.77734375" style="70" customWidth="1"/>
    <col min="8435" max="8676" width="9.109375" style="70" customWidth="1"/>
    <col min="8677" max="8677" width="30.109375" style="70" customWidth="1"/>
    <col min="8678" max="8678" width="52.109375" style="70" customWidth="1"/>
    <col min="8679" max="8679" width="47.77734375" style="70" customWidth="1"/>
    <col min="8680" max="8680" width="13.33203125" style="70" customWidth="1"/>
    <col min="8681" max="8681" width="9.88671875" style="70" customWidth="1"/>
    <col min="8682" max="8682" width="17.109375" style="70" customWidth="1"/>
    <col min="8683" max="8683" width="9.109375" style="70" customWidth="1"/>
    <col min="8684" max="8684" width="10.88671875" style="70" customWidth="1"/>
    <col min="8685" max="8685" width="11.21875" style="70" customWidth="1"/>
    <col min="8686" max="8686" width="16.33203125" style="70" customWidth="1"/>
    <col min="8687" max="8687" width="8.21875" style="70" customWidth="1"/>
    <col min="8688" max="8688" width="10.33203125" style="70" customWidth="1"/>
    <col min="8689" max="8689" width="11.21875" style="70" customWidth="1"/>
    <col min="8690" max="8690" width="9.77734375" style="70" customWidth="1"/>
    <col min="8691" max="8932" width="9.109375" style="70" customWidth="1"/>
    <col min="8933" max="8933" width="30.109375" style="70" customWidth="1"/>
    <col min="8934" max="8934" width="52.109375" style="70" customWidth="1"/>
    <col min="8935" max="8935" width="47.77734375" style="70" customWidth="1"/>
    <col min="8936" max="8936" width="13.33203125" style="70" customWidth="1"/>
    <col min="8937" max="8937" width="9.88671875" style="70" customWidth="1"/>
    <col min="8938" max="8938" width="17.109375" style="70" customWidth="1"/>
    <col min="8939" max="8939" width="9.109375" style="70" customWidth="1"/>
    <col min="8940" max="8940" width="10.88671875" style="70" customWidth="1"/>
    <col min="8941" max="8941" width="11.21875" style="70" customWidth="1"/>
    <col min="8942" max="8942" width="16.33203125" style="70" customWidth="1"/>
    <col min="8943" max="8943" width="8.21875" style="70" customWidth="1"/>
    <col min="8944" max="8944" width="10.33203125" style="70" customWidth="1"/>
    <col min="8945" max="8945" width="11.21875" style="70" customWidth="1"/>
    <col min="8946" max="8946" width="9.77734375" style="70" customWidth="1"/>
    <col min="8947" max="9188" width="9.109375" style="70" customWidth="1"/>
    <col min="9189" max="9189" width="30.109375" style="70" customWidth="1"/>
    <col min="9190" max="9190" width="52.109375" style="70" customWidth="1"/>
    <col min="9191" max="9191" width="47.77734375" style="70" customWidth="1"/>
    <col min="9192" max="9192" width="13.33203125" style="70" customWidth="1"/>
    <col min="9193" max="9193" width="9.88671875" style="70" customWidth="1"/>
    <col min="9194" max="9194" width="17.109375" style="70" customWidth="1"/>
    <col min="9195" max="9195" width="9.109375" style="70" customWidth="1"/>
    <col min="9196" max="9196" width="10.88671875" style="70" customWidth="1"/>
    <col min="9197" max="9197" width="11.21875" style="70" customWidth="1"/>
    <col min="9198" max="9198" width="16.33203125" style="70" customWidth="1"/>
    <col min="9199" max="9199" width="8.21875" style="70" customWidth="1"/>
    <col min="9200" max="9200" width="10.33203125" style="70" customWidth="1"/>
    <col min="9201" max="9201" width="11.21875" style="70" customWidth="1"/>
    <col min="9202" max="9202" width="9.77734375" style="70" customWidth="1"/>
    <col min="9203" max="9444" width="9.109375" style="70" customWidth="1"/>
    <col min="9445" max="9445" width="30.109375" style="70" customWidth="1"/>
    <col min="9446" max="9446" width="52.109375" style="70" customWidth="1"/>
    <col min="9447" max="9447" width="47.77734375" style="70" customWidth="1"/>
    <col min="9448" max="9448" width="13.33203125" style="70" customWidth="1"/>
    <col min="9449" max="9449" width="9.88671875" style="70" customWidth="1"/>
    <col min="9450" max="9450" width="17.109375" style="70" customWidth="1"/>
    <col min="9451" max="9451" width="9.109375" style="70" customWidth="1"/>
    <col min="9452" max="9452" width="10.88671875" style="70" customWidth="1"/>
    <col min="9453" max="9453" width="11.21875" style="70" customWidth="1"/>
    <col min="9454" max="9454" width="16.33203125" style="70" customWidth="1"/>
    <col min="9455" max="9455" width="8.21875" style="70" customWidth="1"/>
    <col min="9456" max="9456" width="10.33203125" style="70" customWidth="1"/>
    <col min="9457" max="9457" width="11.21875" style="70" customWidth="1"/>
    <col min="9458" max="9458" width="9.77734375" style="70" customWidth="1"/>
    <col min="9459" max="9700" width="9.109375" style="70" customWidth="1"/>
    <col min="9701" max="9701" width="30.109375" style="70" customWidth="1"/>
    <col min="9702" max="9702" width="52.109375" style="70" customWidth="1"/>
    <col min="9703" max="9703" width="47.77734375" style="70" customWidth="1"/>
    <col min="9704" max="9704" width="13.33203125" style="70" customWidth="1"/>
    <col min="9705" max="9705" width="9.88671875" style="70" customWidth="1"/>
    <col min="9706" max="9706" width="17.109375" style="70" customWidth="1"/>
    <col min="9707" max="9707" width="9.109375" style="70" customWidth="1"/>
    <col min="9708" max="9708" width="10.88671875" style="70" customWidth="1"/>
    <col min="9709" max="9709" width="11.21875" style="70" customWidth="1"/>
    <col min="9710" max="9710" width="16.33203125" style="70" customWidth="1"/>
    <col min="9711" max="9711" width="8.21875" style="70" customWidth="1"/>
    <col min="9712" max="9712" width="10.33203125" style="70" customWidth="1"/>
    <col min="9713" max="9713" width="11.21875" style="70" customWidth="1"/>
    <col min="9714" max="9714" width="9.77734375" style="70" customWidth="1"/>
    <col min="9715" max="9956" width="9.109375" style="70" customWidth="1"/>
    <col min="9957" max="9957" width="30.109375" style="70" customWidth="1"/>
    <col min="9958" max="9958" width="52.109375" style="70" customWidth="1"/>
    <col min="9959" max="9959" width="47.77734375" style="70" customWidth="1"/>
    <col min="9960" max="9960" width="13.33203125" style="70" customWidth="1"/>
    <col min="9961" max="9961" width="9.88671875" style="70" customWidth="1"/>
    <col min="9962" max="9962" width="17.109375" style="70" customWidth="1"/>
    <col min="9963" max="9963" width="9.109375" style="70" customWidth="1"/>
    <col min="9964" max="9964" width="10.88671875" style="70" customWidth="1"/>
    <col min="9965" max="9965" width="11.21875" style="70" customWidth="1"/>
    <col min="9966" max="9966" width="16.33203125" style="70" customWidth="1"/>
    <col min="9967" max="9967" width="8.21875" style="70" customWidth="1"/>
    <col min="9968" max="9968" width="10.33203125" style="70" customWidth="1"/>
    <col min="9969" max="9969" width="11.21875" style="70" customWidth="1"/>
    <col min="9970" max="9970" width="9.77734375" style="70" customWidth="1"/>
    <col min="9971" max="10212" width="9.109375" style="70" customWidth="1"/>
    <col min="10213" max="10213" width="30.109375" style="70" customWidth="1"/>
    <col min="10214" max="10214" width="52.109375" style="70" customWidth="1"/>
    <col min="10215" max="10215" width="47.77734375" style="70" customWidth="1"/>
    <col min="10216" max="10216" width="13.33203125" style="70" customWidth="1"/>
    <col min="10217" max="10217" width="9.88671875" style="70" customWidth="1"/>
    <col min="10218" max="10218" width="17.109375" style="70" customWidth="1"/>
    <col min="10219" max="10219" width="9.109375" style="70" customWidth="1"/>
    <col min="10220" max="10220" width="10.88671875" style="70" customWidth="1"/>
    <col min="10221" max="10221" width="11.21875" style="70" customWidth="1"/>
    <col min="10222" max="10222" width="16.33203125" style="70" customWidth="1"/>
    <col min="10223" max="10223" width="8.21875" style="70" customWidth="1"/>
    <col min="10224" max="10224" width="10.33203125" style="70" customWidth="1"/>
    <col min="10225" max="10225" width="11.21875" style="70" customWidth="1"/>
    <col min="10226" max="10226" width="9.77734375" style="70" customWidth="1"/>
    <col min="10227" max="10468" width="9.109375" style="70" customWidth="1"/>
    <col min="10469" max="10469" width="30.109375" style="70" customWidth="1"/>
    <col min="10470" max="10470" width="52.109375" style="70" customWidth="1"/>
    <col min="10471" max="10471" width="47.77734375" style="70" customWidth="1"/>
    <col min="10472" max="10472" width="13.33203125" style="70" customWidth="1"/>
    <col min="10473" max="10473" width="9.88671875" style="70" customWidth="1"/>
    <col min="10474" max="10474" width="17.109375" style="70" customWidth="1"/>
    <col min="10475" max="10475" width="9.109375" style="70" customWidth="1"/>
    <col min="10476" max="10476" width="10.88671875" style="70" customWidth="1"/>
    <col min="10477" max="10477" width="11.21875" style="70" customWidth="1"/>
    <col min="10478" max="10478" width="16.33203125" style="70" customWidth="1"/>
    <col min="10479" max="10479" width="8.21875" style="70" customWidth="1"/>
    <col min="10480" max="10480" width="10.33203125" style="70" customWidth="1"/>
    <col min="10481" max="10481" width="11.21875" style="70" customWidth="1"/>
    <col min="10482" max="10482" width="9.77734375" style="70" customWidth="1"/>
    <col min="10483" max="10724" width="9.109375" style="70" customWidth="1"/>
    <col min="10725" max="10725" width="30.109375" style="70" customWidth="1"/>
    <col min="10726" max="10726" width="52.109375" style="70" customWidth="1"/>
    <col min="10727" max="10727" width="47.77734375" style="70" customWidth="1"/>
    <col min="10728" max="10728" width="13.33203125" style="70" customWidth="1"/>
    <col min="10729" max="10729" width="9.88671875" style="70" customWidth="1"/>
    <col min="10730" max="10730" width="17.109375" style="70" customWidth="1"/>
    <col min="10731" max="10731" width="9.109375" style="70" customWidth="1"/>
    <col min="10732" max="10732" width="10.88671875" style="70" customWidth="1"/>
    <col min="10733" max="10733" width="11.21875" style="70" customWidth="1"/>
    <col min="10734" max="10734" width="16.33203125" style="70" customWidth="1"/>
    <col min="10735" max="10735" width="8.21875" style="70" customWidth="1"/>
    <col min="10736" max="10736" width="10.33203125" style="70" customWidth="1"/>
    <col min="10737" max="10737" width="11.21875" style="70" customWidth="1"/>
    <col min="10738" max="10738" width="9.77734375" style="70" customWidth="1"/>
    <col min="10739" max="10980" width="9.109375" style="70" customWidth="1"/>
    <col min="10981" max="10981" width="30.109375" style="70" customWidth="1"/>
    <col min="10982" max="10982" width="52.109375" style="70" customWidth="1"/>
    <col min="10983" max="10983" width="47.77734375" style="70" customWidth="1"/>
    <col min="10984" max="10984" width="13.33203125" style="70" customWidth="1"/>
    <col min="10985" max="10985" width="9.88671875" style="70" customWidth="1"/>
    <col min="10986" max="10986" width="17.109375" style="70" customWidth="1"/>
    <col min="10987" max="10987" width="9.109375" style="70" customWidth="1"/>
    <col min="10988" max="10988" width="10.88671875" style="70" customWidth="1"/>
    <col min="10989" max="10989" width="11.21875" style="70" customWidth="1"/>
    <col min="10990" max="10990" width="16.33203125" style="70" customWidth="1"/>
    <col min="10991" max="10991" width="8.21875" style="70" customWidth="1"/>
    <col min="10992" max="10992" width="10.33203125" style="70" customWidth="1"/>
    <col min="10993" max="10993" width="11.21875" style="70" customWidth="1"/>
    <col min="10994" max="10994" width="9.77734375" style="70" customWidth="1"/>
    <col min="10995" max="11236" width="9.109375" style="70" customWidth="1"/>
    <col min="11237" max="11237" width="30.109375" style="70" customWidth="1"/>
    <col min="11238" max="11238" width="52.109375" style="70" customWidth="1"/>
    <col min="11239" max="11239" width="47.77734375" style="70" customWidth="1"/>
    <col min="11240" max="11240" width="13.33203125" style="70" customWidth="1"/>
    <col min="11241" max="11241" width="9.88671875" style="70" customWidth="1"/>
    <col min="11242" max="11242" width="17.109375" style="70" customWidth="1"/>
    <col min="11243" max="11243" width="9.109375" style="70" customWidth="1"/>
    <col min="11244" max="11244" width="10.88671875" style="70" customWidth="1"/>
    <col min="11245" max="11245" width="11.21875" style="70" customWidth="1"/>
    <col min="11246" max="11246" width="16.33203125" style="70" customWidth="1"/>
    <col min="11247" max="11247" width="8.21875" style="70" customWidth="1"/>
    <col min="11248" max="11248" width="10.33203125" style="70" customWidth="1"/>
    <col min="11249" max="11249" width="11.21875" style="70" customWidth="1"/>
    <col min="11250" max="11250" width="9.77734375" style="70" customWidth="1"/>
    <col min="11251" max="11492" width="9.109375" style="70" customWidth="1"/>
    <col min="11493" max="11493" width="30.109375" style="70" customWidth="1"/>
    <col min="11494" max="11494" width="52.109375" style="70" customWidth="1"/>
    <col min="11495" max="11495" width="47.77734375" style="70" customWidth="1"/>
    <col min="11496" max="11496" width="13.33203125" style="70" customWidth="1"/>
    <col min="11497" max="11497" width="9.88671875" style="70" customWidth="1"/>
    <col min="11498" max="11498" width="17.109375" style="70" customWidth="1"/>
    <col min="11499" max="11499" width="9.109375" style="70" customWidth="1"/>
    <col min="11500" max="11500" width="10.88671875" style="70" customWidth="1"/>
    <col min="11501" max="11501" width="11.21875" style="70" customWidth="1"/>
    <col min="11502" max="11502" width="16.33203125" style="70" customWidth="1"/>
    <col min="11503" max="11503" width="8.21875" style="70" customWidth="1"/>
    <col min="11504" max="11504" width="10.33203125" style="70" customWidth="1"/>
    <col min="11505" max="11505" width="11.21875" style="70" customWidth="1"/>
    <col min="11506" max="11506" width="9.77734375" style="70" customWidth="1"/>
    <col min="11507" max="11748" width="9.109375" style="70" customWidth="1"/>
    <col min="11749" max="11749" width="30.109375" style="70" customWidth="1"/>
    <col min="11750" max="11750" width="52.109375" style="70" customWidth="1"/>
    <col min="11751" max="11751" width="47.77734375" style="70" customWidth="1"/>
    <col min="11752" max="11752" width="13.33203125" style="70" customWidth="1"/>
    <col min="11753" max="11753" width="9.88671875" style="70" customWidth="1"/>
    <col min="11754" max="11754" width="17.109375" style="70" customWidth="1"/>
    <col min="11755" max="11755" width="9.109375" style="70" customWidth="1"/>
    <col min="11756" max="11756" width="10.88671875" style="70" customWidth="1"/>
    <col min="11757" max="11757" width="11.21875" style="70" customWidth="1"/>
    <col min="11758" max="11758" width="16.33203125" style="70" customWidth="1"/>
    <col min="11759" max="11759" width="8.21875" style="70" customWidth="1"/>
    <col min="11760" max="11760" width="10.33203125" style="70" customWidth="1"/>
    <col min="11761" max="11761" width="11.21875" style="70" customWidth="1"/>
    <col min="11762" max="11762" width="9.77734375" style="70" customWidth="1"/>
    <col min="11763" max="12004" width="9.109375" style="70" customWidth="1"/>
    <col min="12005" max="12005" width="30.109375" style="70" customWidth="1"/>
    <col min="12006" max="12006" width="52.109375" style="70" customWidth="1"/>
    <col min="12007" max="12007" width="47.77734375" style="70" customWidth="1"/>
    <col min="12008" max="12008" width="13.33203125" style="70" customWidth="1"/>
    <col min="12009" max="12009" width="9.88671875" style="70" customWidth="1"/>
    <col min="12010" max="12010" width="17.109375" style="70" customWidth="1"/>
    <col min="12011" max="12011" width="9.109375" style="70" customWidth="1"/>
    <col min="12012" max="12012" width="10.88671875" style="70" customWidth="1"/>
    <col min="12013" max="12013" width="11.21875" style="70" customWidth="1"/>
    <col min="12014" max="12014" width="16.33203125" style="70" customWidth="1"/>
    <col min="12015" max="12015" width="8.21875" style="70" customWidth="1"/>
    <col min="12016" max="12016" width="10.33203125" style="70" customWidth="1"/>
    <col min="12017" max="12017" width="11.21875" style="70" customWidth="1"/>
    <col min="12018" max="12018" width="9.77734375" style="70" customWidth="1"/>
    <col min="12019" max="12260" width="9.109375" style="70" customWidth="1"/>
    <col min="12261" max="12261" width="30.109375" style="70" customWidth="1"/>
    <col min="12262" max="12262" width="52.109375" style="70" customWidth="1"/>
    <col min="12263" max="12263" width="47.77734375" style="70" customWidth="1"/>
    <col min="12264" max="12264" width="13.33203125" style="70" customWidth="1"/>
    <col min="12265" max="12265" width="9.88671875" style="70" customWidth="1"/>
    <col min="12266" max="12266" width="17.109375" style="70" customWidth="1"/>
    <col min="12267" max="12267" width="9.109375" style="70" customWidth="1"/>
    <col min="12268" max="12268" width="10.88671875" style="70" customWidth="1"/>
    <col min="12269" max="12269" width="11.21875" style="70" customWidth="1"/>
    <col min="12270" max="12270" width="16.33203125" style="70" customWidth="1"/>
    <col min="12271" max="12271" width="8.21875" style="70" customWidth="1"/>
    <col min="12272" max="12272" width="10.33203125" style="70" customWidth="1"/>
    <col min="12273" max="12273" width="11.21875" style="70" customWidth="1"/>
    <col min="12274" max="12274" width="9.77734375" style="70" customWidth="1"/>
    <col min="12275" max="12516" width="9.109375" style="70" customWidth="1"/>
    <col min="12517" max="12517" width="30.109375" style="70" customWidth="1"/>
    <col min="12518" max="12518" width="52.109375" style="70" customWidth="1"/>
    <col min="12519" max="12519" width="47.77734375" style="70" customWidth="1"/>
    <col min="12520" max="12520" width="13.33203125" style="70" customWidth="1"/>
    <col min="12521" max="12521" width="9.88671875" style="70" customWidth="1"/>
    <col min="12522" max="12522" width="17.109375" style="70" customWidth="1"/>
    <col min="12523" max="12523" width="9.109375" style="70" customWidth="1"/>
    <col min="12524" max="12524" width="10.88671875" style="70" customWidth="1"/>
    <col min="12525" max="12525" width="11.21875" style="70" customWidth="1"/>
    <col min="12526" max="12526" width="16.33203125" style="70" customWidth="1"/>
    <col min="12527" max="12527" width="8.21875" style="70" customWidth="1"/>
    <col min="12528" max="12528" width="10.33203125" style="70" customWidth="1"/>
    <col min="12529" max="12529" width="11.21875" style="70" customWidth="1"/>
    <col min="12530" max="12530" width="9.77734375" style="70" customWidth="1"/>
    <col min="12531" max="12772" width="9.109375" style="70" customWidth="1"/>
    <col min="12773" max="12773" width="30.109375" style="70" customWidth="1"/>
    <col min="12774" max="12774" width="52.109375" style="70" customWidth="1"/>
    <col min="12775" max="12775" width="47.77734375" style="70" customWidth="1"/>
    <col min="12776" max="12776" width="13.33203125" style="70" customWidth="1"/>
    <col min="12777" max="12777" width="9.88671875" style="70" customWidth="1"/>
    <col min="12778" max="12778" width="17.109375" style="70" customWidth="1"/>
    <col min="12779" max="12779" width="9.109375" style="70" customWidth="1"/>
    <col min="12780" max="12780" width="10.88671875" style="70" customWidth="1"/>
    <col min="12781" max="12781" width="11.21875" style="70" customWidth="1"/>
    <col min="12782" max="12782" width="16.33203125" style="70" customWidth="1"/>
    <col min="12783" max="12783" width="8.21875" style="70" customWidth="1"/>
    <col min="12784" max="12784" width="10.33203125" style="70" customWidth="1"/>
    <col min="12785" max="12785" width="11.21875" style="70" customWidth="1"/>
    <col min="12786" max="12786" width="9.77734375" style="70" customWidth="1"/>
    <col min="12787" max="13028" width="9.109375" style="70" customWidth="1"/>
    <col min="13029" max="13029" width="30.109375" style="70" customWidth="1"/>
    <col min="13030" max="13030" width="52.109375" style="70" customWidth="1"/>
    <col min="13031" max="13031" width="47.77734375" style="70" customWidth="1"/>
    <col min="13032" max="13032" width="13.33203125" style="70" customWidth="1"/>
    <col min="13033" max="13033" width="9.88671875" style="70" customWidth="1"/>
    <col min="13034" max="13034" width="17.109375" style="70" customWidth="1"/>
    <col min="13035" max="13035" width="9.109375" style="70" customWidth="1"/>
    <col min="13036" max="13036" width="10.88671875" style="70" customWidth="1"/>
    <col min="13037" max="13037" width="11.21875" style="70" customWidth="1"/>
    <col min="13038" max="13038" width="16.33203125" style="70" customWidth="1"/>
    <col min="13039" max="13039" width="8.21875" style="70" customWidth="1"/>
    <col min="13040" max="13040" width="10.33203125" style="70" customWidth="1"/>
    <col min="13041" max="13041" width="11.21875" style="70" customWidth="1"/>
    <col min="13042" max="13042" width="9.77734375" style="70" customWidth="1"/>
    <col min="13043" max="13284" width="9.109375" style="70" customWidth="1"/>
    <col min="13285" max="13285" width="30.109375" style="70" customWidth="1"/>
    <col min="13286" max="13286" width="52.109375" style="70" customWidth="1"/>
    <col min="13287" max="13287" width="47.77734375" style="70" customWidth="1"/>
    <col min="13288" max="13288" width="13.33203125" style="70" customWidth="1"/>
    <col min="13289" max="13289" width="9.88671875" style="70" customWidth="1"/>
    <col min="13290" max="13290" width="17.109375" style="70" customWidth="1"/>
    <col min="13291" max="13291" width="9.109375" style="70" customWidth="1"/>
    <col min="13292" max="13292" width="10.88671875" style="70" customWidth="1"/>
    <col min="13293" max="13293" width="11.21875" style="70" customWidth="1"/>
    <col min="13294" max="13294" width="16.33203125" style="70" customWidth="1"/>
    <col min="13295" max="13295" width="8.21875" style="70" customWidth="1"/>
    <col min="13296" max="13296" width="10.33203125" style="70" customWidth="1"/>
    <col min="13297" max="13297" width="11.21875" style="70" customWidth="1"/>
    <col min="13298" max="13298" width="9.77734375" style="70" customWidth="1"/>
    <col min="13299" max="13540" width="9.109375" style="70" customWidth="1"/>
    <col min="13541" max="13541" width="30.109375" style="70" customWidth="1"/>
    <col min="13542" max="13542" width="52.109375" style="70" customWidth="1"/>
    <col min="13543" max="13543" width="47.77734375" style="70" customWidth="1"/>
    <col min="13544" max="13544" width="13.33203125" style="70" customWidth="1"/>
    <col min="13545" max="13545" width="9.88671875" style="70" customWidth="1"/>
    <col min="13546" max="13546" width="17.109375" style="70" customWidth="1"/>
    <col min="13547" max="13547" width="9.109375" style="70" customWidth="1"/>
    <col min="13548" max="13548" width="10.88671875" style="70" customWidth="1"/>
    <col min="13549" max="13549" width="11.21875" style="70" customWidth="1"/>
    <col min="13550" max="13550" width="16.33203125" style="70" customWidth="1"/>
    <col min="13551" max="13551" width="8.21875" style="70" customWidth="1"/>
    <col min="13552" max="13552" width="10.33203125" style="70" customWidth="1"/>
    <col min="13553" max="13553" width="11.21875" style="70" customWidth="1"/>
    <col min="13554" max="13554" width="9.77734375" style="70" customWidth="1"/>
    <col min="13555" max="13796" width="9.109375" style="70" customWidth="1"/>
    <col min="13797" max="13797" width="30.109375" style="70" customWidth="1"/>
    <col min="13798" max="13798" width="52.109375" style="70" customWidth="1"/>
    <col min="13799" max="13799" width="47.77734375" style="70" customWidth="1"/>
    <col min="13800" max="13800" width="13.33203125" style="70" customWidth="1"/>
    <col min="13801" max="13801" width="9.88671875" style="70" customWidth="1"/>
    <col min="13802" max="13802" width="17.109375" style="70" customWidth="1"/>
    <col min="13803" max="13803" width="9.109375" style="70" customWidth="1"/>
    <col min="13804" max="13804" width="10.88671875" style="70" customWidth="1"/>
    <col min="13805" max="13805" width="11.21875" style="70" customWidth="1"/>
    <col min="13806" max="13806" width="16.33203125" style="70" customWidth="1"/>
    <col min="13807" max="13807" width="8.21875" style="70" customWidth="1"/>
    <col min="13808" max="13808" width="10.33203125" style="70" customWidth="1"/>
    <col min="13809" max="13809" width="11.21875" style="70" customWidth="1"/>
    <col min="13810" max="13810" width="9.77734375" style="70" customWidth="1"/>
    <col min="13811" max="14052" width="9.109375" style="70" customWidth="1"/>
    <col min="14053" max="14053" width="30.109375" style="70" customWidth="1"/>
    <col min="14054" max="14054" width="52.109375" style="70" customWidth="1"/>
    <col min="14055" max="14055" width="47.77734375" style="70" customWidth="1"/>
    <col min="14056" max="14056" width="13.33203125" style="70" customWidth="1"/>
    <col min="14057" max="14057" width="9.88671875" style="70" customWidth="1"/>
    <col min="14058" max="14058" width="17.109375" style="70" customWidth="1"/>
    <col min="14059" max="14059" width="9.109375" style="70" customWidth="1"/>
    <col min="14060" max="14060" width="10.88671875" style="70" customWidth="1"/>
    <col min="14061" max="14061" width="11.21875" style="70" customWidth="1"/>
    <col min="14062" max="14062" width="16.33203125" style="70" customWidth="1"/>
    <col min="14063" max="14063" width="8.21875" style="70" customWidth="1"/>
    <col min="14064" max="14064" width="10.33203125" style="70" customWidth="1"/>
    <col min="14065" max="14065" width="11.21875" style="70" customWidth="1"/>
    <col min="14066" max="14066" width="9.77734375" style="70" customWidth="1"/>
    <col min="14067" max="14308" width="9.109375" style="70" customWidth="1"/>
    <col min="14309" max="14309" width="30.109375" style="70" customWidth="1"/>
    <col min="14310" max="14310" width="52.109375" style="70" customWidth="1"/>
    <col min="14311" max="14311" width="47.77734375" style="70" customWidth="1"/>
    <col min="14312" max="14312" width="13.33203125" style="70" customWidth="1"/>
    <col min="14313" max="14313" width="9.88671875" style="70" customWidth="1"/>
    <col min="14314" max="14314" width="17.109375" style="70" customWidth="1"/>
    <col min="14315" max="14315" width="9.109375" style="70" customWidth="1"/>
    <col min="14316" max="14316" width="10.88671875" style="70" customWidth="1"/>
    <col min="14317" max="14317" width="11.21875" style="70" customWidth="1"/>
    <col min="14318" max="14318" width="16.33203125" style="70" customWidth="1"/>
    <col min="14319" max="14319" width="8.21875" style="70" customWidth="1"/>
    <col min="14320" max="14320" width="10.33203125" style="70" customWidth="1"/>
    <col min="14321" max="14321" width="11.21875" style="70" customWidth="1"/>
    <col min="14322" max="14322" width="9.77734375" style="70" customWidth="1"/>
    <col min="14323" max="14564" width="9.109375" style="70" customWidth="1"/>
    <col min="14565" max="14565" width="30.109375" style="70" customWidth="1"/>
    <col min="14566" max="14566" width="52.109375" style="70" customWidth="1"/>
    <col min="14567" max="14567" width="47.77734375" style="70" customWidth="1"/>
    <col min="14568" max="14568" width="13.33203125" style="70" customWidth="1"/>
    <col min="14569" max="14569" width="9.88671875" style="70" customWidth="1"/>
    <col min="14570" max="14570" width="17.109375" style="70" customWidth="1"/>
    <col min="14571" max="14571" width="9.109375" style="70" customWidth="1"/>
    <col min="14572" max="14572" width="10.88671875" style="70" customWidth="1"/>
    <col min="14573" max="14573" width="11.21875" style="70" customWidth="1"/>
    <col min="14574" max="14574" width="16.33203125" style="70" customWidth="1"/>
    <col min="14575" max="14575" width="8.21875" style="70" customWidth="1"/>
    <col min="14576" max="14576" width="10.33203125" style="70" customWidth="1"/>
    <col min="14577" max="14577" width="11.21875" style="70" customWidth="1"/>
    <col min="14578" max="14578" width="9.77734375" style="70" customWidth="1"/>
    <col min="14579" max="14820" width="9.109375" style="70" customWidth="1"/>
    <col min="14821" max="14821" width="30.109375" style="70" customWidth="1"/>
    <col min="14822" max="14822" width="52.109375" style="70" customWidth="1"/>
    <col min="14823" max="14823" width="47.77734375" style="70" customWidth="1"/>
    <col min="14824" max="14824" width="13.33203125" style="70" customWidth="1"/>
    <col min="14825" max="14825" width="9.88671875" style="70" customWidth="1"/>
    <col min="14826" max="14826" width="17.109375" style="70" customWidth="1"/>
    <col min="14827" max="14827" width="9.109375" style="70" customWidth="1"/>
    <col min="14828" max="14828" width="10.88671875" style="70" customWidth="1"/>
    <col min="14829" max="14829" width="11.21875" style="70" customWidth="1"/>
    <col min="14830" max="14830" width="16.33203125" style="70" customWidth="1"/>
    <col min="14831" max="14831" width="8.21875" style="70" customWidth="1"/>
    <col min="14832" max="14832" width="10.33203125" style="70" customWidth="1"/>
    <col min="14833" max="14833" width="11.21875" style="70" customWidth="1"/>
    <col min="14834" max="14834" width="9.77734375" style="70" customWidth="1"/>
    <col min="14835" max="15076" width="9.109375" style="70" customWidth="1"/>
    <col min="15077" max="15077" width="30.109375" style="70" customWidth="1"/>
    <col min="15078" max="15078" width="52.109375" style="70" customWidth="1"/>
    <col min="15079" max="15079" width="47.77734375" style="70" customWidth="1"/>
    <col min="15080" max="15080" width="13.33203125" style="70" customWidth="1"/>
    <col min="15081" max="15081" width="9.88671875" style="70" customWidth="1"/>
    <col min="15082" max="15082" width="17.109375" style="70" customWidth="1"/>
    <col min="15083" max="15083" width="9.109375" style="70" customWidth="1"/>
    <col min="15084" max="15084" width="10.88671875" style="70" customWidth="1"/>
    <col min="15085" max="15085" width="11.21875" style="70" customWidth="1"/>
    <col min="15086" max="15086" width="16.33203125" style="70" customWidth="1"/>
    <col min="15087" max="15087" width="8.21875" style="70" customWidth="1"/>
    <col min="15088" max="15088" width="10.33203125" style="70" customWidth="1"/>
    <col min="15089" max="15089" width="11.21875" style="70" customWidth="1"/>
    <col min="15090" max="15090" width="9.77734375" style="70" customWidth="1"/>
    <col min="15091" max="15332" width="9.109375" style="70" customWidth="1"/>
    <col min="15333" max="15333" width="30.109375" style="70" customWidth="1"/>
    <col min="15334" max="15334" width="52.109375" style="70" customWidth="1"/>
    <col min="15335" max="15335" width="47.77734375" style="70" customWidth="1"/>
    <col min="15336" max="15336" width="13.33203125" style="70" customWidth="1"/>
    <col min="15337" max="15337" width="9.88671875" style="70" customWidth="1"/>
    <col min="15338" max="15338" width="17.109375" style="70" customWidth="1"/>
    <col min="15339" max="15339" width="9.109375" style="70" customWidth="1"/>
    <col min="15340" max="15340" width="10.88671875" style="70" customWidth="1"/>
    <col min="15341" max="15341" width="11.21875" style="70" customWidth="1"/>
    <col min="15342" max="15342" width="16.33203125" style="70" customWidth="1"/>
    <col min="15343" max="15343" width="8.21875" style="70" customWidth="1"/>
    <col min="15344" max="15344" width="10.33203125" style="70" customWidth="1"/>
    <col min="15345" max="15345" width="11.21875" style="70" customWidth="1"/>
    <col min="15346" max="15346" width="9.77734375" style="70" customWidth="1"/>
    <col min="15347" max="15588" width="9.109375" style="70" customWidth="1"/>
    <col min="15589" max="15589" width="30.109375" style="70" customWidth="1"/>
    <col min="15590" max="15590" width="52.109375" style="70" customWidth="1"/>
    <col min="15591" max="15591" width="47.77734375" style="70" customWidth="1"/>
    <col min="15592" max="15592" width="13.33203125" style="70" customWidth="1"/>
    <col min="15593" max="15593" width="9.88671875" style="70" customWidth="1"/>
    <col min="15594" max="15594" width="17.109375" style="70" customWidth="1"/>
    <col min="15595" max="15595" width="9.109375" style="70" customWidth="1"/>
    <col min="15596" max="15596" width="10.88671875" style="70" customWidth="1"/>
    <col min="15597" max="15597" width="11.21875" style="70" customWidth="1"/>
    <col min="15598" max="15598" width="16.33203125" style="70" customWidth="1"/>
    <col min="15599" max="15599" width="8.21875" style="70" customWidth="1"/>
    <col min="15600" max="15600" width="10.33203125" style="70" customWidth="1"/>
    <col min="15601" max="15601" width="11.21875" style="70" customWidth="1"/>
    <col min="15602" max="15602" width="9.77734375" style="70" customWidth="1"/>
    <col min="15603" max="15844" width="9.109375" style="70" customWidth="1"/>
    <col min="15845" max="15845" width="30.109375" style="70" customWidth="1"/>
    <col min="15846" max="15846" width="52.109375" style="70" customWidth="1"/>
    <col min="15847" max="15847" width="47.77734375" style="70" customWidth="1"/>
    <col min="15848" max="15848" width="13.33203125" style="70" customWidth="1"/>
    <col min="15849" max="15849" width="9.88671875" style="70" customWidth="1"/>
    <col min="15850" max="15850" width="17.109375" style="70" customWidth="1"/>
    <col min="15851" max="15851" width="9.109375" style="70" customWidth="1"/>
    <col min="15852" max="15852" width="10.88671875" style="70" customWidth="1"/>
    <col min="15853" max="15853" width="11.21875" style="70" customWidth="1"/>
    <col min="15854" max="15854" width="16.33203125" style="70" customWidth="1"/>
    <col min="15855" max="15855" width="8.21875" style="70" customWidth="1"/>
    <col min="15856" max="15856" width="10.33203125" style="70" customWidth="1"/>
    <col min="15857" max="15857" width="11.21875" style="70" customWidth="1"/>
    <col min="15858" max="15858" width="9.77734375" style="70" customWidth="1"/>
    <col min="15859" max="16100" width="9.109375" style="70" customWidth="1"/>
    <col min="16101" max="16101" width="30.109375" style="70" customWidth="1"/>
    <col min="16102" max="16102" width="52.109375" style="70" customWidth="1"/>
    <col min="16103" max="16103" width="47.77734375" style="70" customWidth="1"/>
    <col min="16104" max="16104" width="13.33203125" style="70" customWidth="1"/>
    <col min="16105" max="16105" width="9.88671875" style="70" customWidth="1"/>
    <col min="16106" max="16106" width="17.109375" style="70" customWidth="1"/>
    <col min="16107" max="16107" width="9.109375" style="70" customWidth="1"/>
    <col min="16108" max="16108" width="10.88671875" style="70" customWidth="1"/>
    <col min="16109" max="16109" width="11.21875" style="70" customWidth="1"/>
    <col min="16110" max="16110" width="16.33203125" style="70" customWidth="1"/>
    <col min="16111" max="16111" width="8.21875" style="70" customWidth="1"/>
    <col min="16112" max="16112" width="10.33203125" style="70" customWidth="1"/>
    <col min="16113" max="16113" width="11.21875" style="70" customWidth="1"/>
    <col min="16114" max="16114" width="9.77734375" style="70" customWidth="1"/>
    <col min="16115" max="16384" width="9.109375" style="70" customWidth="1"/>
  </cols>
  <sheetData>
    <row r="1" spans="1:16" x14ac:dyDescent="0.3">
      <c r="A1" s="188" t="s">
        <v>143</v>
      </c>
      <c r="B1" s="222" t="s">
        <v>144</v>
      </c>
      <c r="C1" s="188" t="s">
        <v>145</v>
      </c>
      <c r="D1" s="188" t="s">
        <v>146</v>
      </c>
      <c r="E1" s="188" t="s">
        <v>147</v>
      </c>
      <c r="F1" s="188" t="s">
        <v>148</v>
      </c>
      <c r="G1" s="188" t="s">
        <v>149</v>
      </c>
      <c r="H1" s="188" t="s">
        <v>150</v>
      </c>
      <c r="I1" s="190" t="s">
        <v>151</v>
      </c>
      <c r="J1" s="190" t="s">
        <v>152</v>
      </c>
      <c r="K1" s="188" t="s">
        <v>153</v>
      </c>
      <c r="L1" s="190" t="s">
        <v>127</v>
      </c>
      <c r="M1" s="223" t="s">
        <v>81</v>
      </c>
      <c r="N1" s="223" t="s">
        <v>127</v>
      </c>
      <c r="O1" s="223" t="s">
        <v>81</v>
      </c>
      <c r="P1" s="223" t="s">
        <v>127</v>
      </c>
    </row>
    <row r="2" spans="1:16" ht="15" x14ac:dyDescent="0.25">
      <c r="A2" s="276">
        <v>48768</v>
      </c>
      <c r="B2" s="277">
        <v>42826.417361111111</v>
      </c>
      <c r="C2" s="278">
        <v>30905830</v>
      </c>
      <c r="D2" s="278" t="s">
        <v>172</v>
      </c>
      <c r="E2" s="278" t="s">
        <v>176</v>
      </c>
      <c r="F2" s="278" t="s">
        <v>177</v>
      </c>
      <c r="G2" s="278" t="s">
        <v>879</v>
      </c>
      <c r="H2" s="278" t="s">
        <v>176</v>
      </c>
      <c r="I2" s="279">
        <v>200000</v>
      </c>
      <c r="J2" s="279"/>
      <c r="K2" s="278">
        <v>865227</v>
      </c>
      <c r="L2" s="210">
        <f>I2+J2*EERR!$D$2</f>
        <v>200000</v>
      </c>
      <c r="M2" s="136">
        <f>L2/EERR!$D$2</f>
        <v>304.99893250373623</v>
      </c>
      <c r="N2" s="136">
        <f>SUMIF(Abril!$B$3:$B$98,A2,Abril!$S$3:$S$98)+SUMIF(Abril!$C$3:$C$98,A2,Abril!$S$3:$S$98)</f>
        <v>438910</v>
      </c>
    </row>
    <row r="3" spans="1:16" ht="15" x14ac:dyDescent="0.25">
      <c r="A3" s="276">
        <v>48768</v>
      </c>
      <c r="B3" s="277">
        <v>42826.426388888889</v>
      </c>
      <c r="C3" s="278">
        <v>30905830</v>
      </c>
      <c r="D3" s="278" t="s">
        <v>172</v>
      </c>
      <c r="E3" s="278" t="s">
        <v>176</v>
      </c>
      <c r="F3" s="278" t="s">
        <v>177</v>
      </c>
      <c r="G3" s="278" t="s">
        <v>560</v>
      </c>
      <c r="H3" s="278" t="s">
        <v>176</v>
      </c>
      <c r="I3" s="279">
        <v>92313</v>
      </c>
      <c r="J3" s="279"/>
      <c r="K3" s="278">
        <v>682757</v>
      </c>
      <c r="L3" s="210">
        <f>I3+J3*EERR!$D$2</f>
        <v>92313</v>
      </c>
      <c r="M3" s="136">
        <f>L3/EERR!$D$2</f>
        <v>140.77683228108702</v>
      </c>
      <c r="N3" s="136">
        <f>SUMIF(Abril!$B$3:$B$98,A3,Abril!$S$3:$S$98)+SUMIF(Abril!$C$3:$C$98,A3,Abril!$S$3:$S$98)</f>
        <v>438910</v>
      </c>
    </row>
    <row r="4" spans="1:16" ht="15" x14ac:dyDescent="0.25">
      <c r="A4" s="276">
        <v>95130</v>
      </c>
      <c r="B4" s="277">
        <v>42826.484027777777</v>
      </c>
      <c r="C4" s="278">
        <v>30975278</v>
      </c>
      <c r="D4" s="278" t="s">
        <v>172</v>
      </c>
      <c r="E4" s="278" t="s">
        <v>173</v>
      </c>
      <c r="F4" s="278" t="s">
        <v>177</v>
      </c>
      <c r="G4" s="278" t="s">
        <v>880</v>
      </c>
      <c r="H4" s="278" t="s">
        <v>175</v>
      </c>
      <c r="I4" s="279"/>
      <c r="J4" s="279">
        <v>180</v>
      </c>
      <c r="K4" s="278">
        <v>382570</v>
      </c>
      <c r="L4" s="210">
        <f>I4+J4*EERR!$D$2</f>
        <v>118033.2</v>
      </c>
      <c r="M4" s="136">
        <f>L4/EERR!$D$2</f>
        <v>180</v>
      </c>
      <c r="N4" s="136">
        <f>SUMIF(Abril!$B$3:$B$98,A4,Abril!$S$3:$S$98)+SUMIF(Abril!$C$3:$C$98,A4,Abril!$S$3:$S$98)</f>
        <v>0</v>
      </c>
    </row>
    <row r="5" spans="1:16" ht="15" x14ac:dyDescent="0.25">
      <c r="A5" s="276">
        <v>90703</v>
      </c>
      <c r="B5" s="277">
        <v>42826.654166666667</v>
      </c>
      <c r="C5" s="278">
        <v>30905830</v>
      </c>
      <c r="D5" s="278" t="s">
        <v>172</v>
      </c>
      <c r="E5" s="278" t="s">
        <v>176</v>
      </c>
      <c r="F5" s="278" t="s">
        <v>177</v>
      </c>
      <c r="G5" s="278" t="s">
        <v>507</v>
      </c>
      <c r="H5" s="278" t="s">
        <v>176</v>
      </c>
      <c r="I5" s="279">
        <v>308162</v>
      </c>
      <c r="J5" s="279"/>
      <c r="K5" s="278">
        <v>989760</v>
      </c>
      <c r="L5" s="210">
        <f>I5+J5*EERR!$D$2</f>
        <v>308162</v>
      </c>
      <c r="M5" s="136">
        <f>L5/EERR!$D$2</f>
        <v>469.94540519108182</v>
      </c>
      <c r="N5" s="136">
        <f>SUMIF(Abril!$B$3:$B$98,A5,Abril!$S$3:$S$98)+SUMIF(Abril!$C$3:$C$98,A5,Abril!$S$3:$S$98)</f>
        <v>0</v>
      </c>
    </row>
    <row r="6" spans="1:16" ht="15" x14ac:dyDescent="0.25">
      <c r="A6" s="276">
        <v>67321</v>
      </c>
      <c r="B6" s="277">
        <v>42827.657638888886</v>
      </c>
      <c r="C6" s="278">
        <v>30975278</v>
      </c>
      <c r="D6" s="278" t="s">
        <v>172</v>
      </c>
      <c r="E6" s="278" t="s">
        <v>173</v>
      </c>
      <c r="F6" s="278" t="s">
        <v>177</v>
      </c>
      <c r="G6" s="278" t="s">
        <v>515</v>
      </c>
      <c r="H6" s="278" t="s">
        <v>175</v>
      </c>
      <c r="I6" s="279"/>
      <c r="J6" s="279">
        <v>195</v>
      </c>
      <c r="K6" s="278" t="s">
        <v>881</v>
      </c>
      <c r="L6" s="210">
        <f>I6+J6*EERR!$D$2</f>
        <v>127869.3</v>
      </c>
      <c r="M6" s="136">
        <f>L6/EERR!$D$2</f>
        <v>195</v>
      </c>
      <c r="N6" s="136">
        <f>SUMIF(Abril!$B$3:$B$98,A6,Abril!$S$3:$S$98)+SUMIF(Abril!$C$3:$C$98,A6,Abril!$S$3:$S$98)</f>
        <v>0</v>
      </c>
    </row>
    <row r="7" spans="1:16" ht="15" x14ac:dyDescent="0.25">
      <c r="A7" s="276">
        <v>50953</v>
      </c>
      <c r="B7" s="277">
        <v>42828.37777777778</v>
      </c>
      <c r="C7" s="278">
        <v>30975278</v>
      </c>
      <c r="D7" s="278" t="s">
        <v>172</v>
      </c>
      <c r="E7" s="278" t="s">
        <v>173</v>
      </c>
      <c r="F7" s="278" t="s">
        <v>178</v>
      </c>
      <c r="G7" s="278" t="s">
        <v>882</v>
      </c>
      <c r="H7" s="278" t="s">
        <v>175</v>
      </c>
      <c r="I7" s="279"/>
      <c r="J7" s="279">
        <v>980</v>
      </c>
      <c r="K7" s="278">
        <v>992116</v>
      </c>
      <c r="L7" s="210">
        <f>I7+J7*EERR!$D$2</f>
        <v>642625.19999999995</v>
      </c>
      <c r="M7" s="136">
        <f>L7/EERR!$D$2</f>
        <v>979.99999999999989</v>
      </c>
      <c r="N7" s="136">
        <f>SUMIF(Abril!$B$3:$B$98,A7,Abril!$S$3:$S$98)+SUMIF(Abril!$C$3:$C$98,A7,Abril!$S$3:$S$98)</f>
        <v>0</v>
      </c>
    </row>
    <row r="8" spans="1:16" ht="15" x14ac:dyDescent="0.25">
      <c r="A8" s="276">
        <v>17760</v>
      </c>
      <c r="B8" s="277">
        <v>42828.656944444447</v>
      </c>
      <c r="C8" s="278">
        <v>30975278</v>
      </c>
      <c r="D8" s="278" t="s">
        <v>172</v>
      </c>
      <c r="E8" s="278" t="s">
        <v>173</v>
      </c>
      <c r="F8" s="278" t="s">
        <v>178</v>
      </c>
      <c r="G8" s="278" t="s">
        <v>883</v>
      </c>
      <c r="H8" s="278" t="s">
        <v>175</v>
      </c>
      <c r="I8" s="279"/>
      <c r="J8" s="279">
        <v>540</v>
      </c>
      <c r="K8" s="278">
        <v>671616</v>
      </c>
      <c r="L8" s="210">
        <f>I8+J8*EERR!$D$2</f>
        <v>354099.6</v>
      </c>
      <c r="M8" s="136">
        <f>L8/EERR!$D$2</f>
        <v>540</v>
      </c>
      <c r="N8" s="136">
        <f>SUMIF(Abril!$B$3:$B$98,A8,Abril!$S$3:$S$98)+SUMIF(Abril!$C$3:$C$98,A8,Abril!$S$3:$S$98)</f>
        <v>0</v>
      </c>
    </row>
    <row r="9" spans="1:16" ht="15" x14ac:dyDescent="0.25">
      <c r="A9" s="276">
        <v>70330</v>
      </c>
      <c r="B9" s="277">
        <v>42828.666666666664</v>
      </c>
      <c r="C9" s="278">
        <v>30975278</v>
      </c>
      <c r="D9" s="278" t="s">
        <v>172</v>
      </c>
      <c r="E9" s="278" t="s">
        <v>173</v>
      </c>
      <c r="F9" s="278" t="s">
        <v>178</v>
      </c>
      <c r="G9" s="278" t="s">
        <v>526</v>
      </c>
      <c r="H9" s="278" t="s">
        <v>175</v>
      </c>
      <c r="I9" s="279"/>
      <c r="J9" s="279">
        <v>1140</v>
      </c>
      <c r="K9" s="278">
        <v>11963</v>
      </c>
      <c r="L9" s="210">
        <f>I9+J9*EERR!$D$2</f>
        <v>747543.6</v>
      </c>
      <c r="M9" s="136">
        <f>L9/EERR!$D$2</f>
        <v>1140</v>
      </c>
      <c r="N9" s="136">
        <f>SUMIF(Abril!$B$3:$B$98,A9,Abril!$S$3:$S$98)+SUMIF(Abril!$C$3:$C$98,A9,Abril!$S$3:$S$98)</f>
        <v>0</v>
      </c>
    </row>
    <row r="10" spans="1:16" ht="15" x14ac:dyDescent="0.25">
      <c r="A10" s="276">
        <v>11186</v>
      </c>
      <c r="B10" s="277">
        <v>42829.713194444441</v>
      </c>
      <c r="C10" s="278">
        <v>30975278</v>
      </c>
      <c r="D10" s="278" t="s">
        <v>172</v>
      </c>
      <c r="E10" s="278" t="s">
        <v>173</v>
      </c>
      <c r="F10" s="278" t="s">
        <v>174</v>
      </c>
      <c r="G10" s="278" t="s">
        <v>884</v>
      </c>
      <c r="H10" s="278" t="s">
        <v>175</v>
      </c>
      <c r="I10" s="279"/>
      <c r="J10" s="279">
        <v>540</v>
      </c>
      <c r="K10" s="278">
        <v>87</v>
      </c>
      <c r="L10" s="210">
        <f>I10+J10*EERR!$D$2</f>
        <v>354099.6</v>
      </c>
      <c r="M10" s="136">
        <f>L10/EERR!$D$2</f>
        <v>540</v>
      </c>
      <c r="N10" s="136">
        <f>SUMIF(Abril!$B$3:$B$98,A10,Abril!$S$3:$S$98)+SUMIF(Abril!$C$3:$C$98,A10,Abril!$S$3:$S$98)</f>
        <v>0</v>
      </c>
    </row>
    <row r="11" spans="1:16" ht="15" x14ac:dyDescent="0.25">
      <c r="A11" s="276">
        <v>11287</v>
      </c>
      <c r="B11" s="277">
        <v>42829.713194444441</v>
      </c>
      <c r="C11" s="278">
        <v>30975278</v>
      </c>
      <c r="D11" s="278" t="s">
        <v>172</v>
      </c>
      <c r="E11" s="278" t="s">
        <v>173</v>
      </c>
      <c r="F11" s="278" t="s">
        <v>178</v>
      </c>
      <c r="G11" s="278" t="s">
        <v>885</v>
      </c>
      <c r="H11" s="278" t="s">
        <v>175</v>
      </c>
      <c r="I11" s="279"/>
      <c r="J11" s="279">
        <v>540</v>
      </c>
      <c r="K11" s="278" t="s">
        <v>886</v>
      </c>
      <c r="L11" s="210">
        <f>I11+J11*EERR!$D$2</f>
        <v>354099.6</v>
      </c>
      <c r="M11" s="136">
        <f>L11/EERR!$D$2</f>
        <v>540</v>
      </c>
      <c r="N11" s="136">
        <f>SUMIF(Abril!$B$3:$B$98,A11,Abril!$S$3:$S$98)+SUMIF(Abril!$C$3:$C$98,A11,Abril!$S$3:$S$98)</f>
        <v>0</v>
      </c>
    </row>
    <row r="12" spans="1:16" ht="15" x14ac:dyDescent="0.25">
      <c r="A12" s="276">
        <v>189</v>
      </c>
      <c r="B12" s="277">
        <v>42829.836111111108</v>
      </c>
      <c r="C12" s="278">
        <v>30975278</v>
      </c>
      <c r="D12" s="278" t="s">
        <v>172</v>
      </c>
      <c r="E12" s="278" t="s">
        <v>173</v>
      </c>
      <c r="F12" s="278" t="s">
        <v>174</v>
      </c>
      <c r="G12" s="278" t="s">
        <v>887</v>
      </c>
      <c r="H12" s="278" t="s">
        <v>175</v>
      </c>
      <c r="I12" s="279"/>
      <c r="J12" s="279">
        <v>220</v>
      </c>
      <c r="K12" s="278">
        <v>59</v>
      </c>
      <c r="L12" s="210">
        <f>I12+J12*EERR!$D$2</f>
        <v>144262.79999999999</v>
      </c>
      <c r="M12" s="136">
        <f>L12/EERR!$D$2</f>
        <v>219.99999999999997</v>
      </c>
      <c r="N12" s="136">
        <f>SUMIF(Abril!$B$3:$B$98,A12,Abril!$S$3:$S$98)+SUMIF(Abril!$C$3:$C$98,A12,Abril!$S$3:$S$98)</f>
        <v>0</v>
      </c>
    </row>
    <row r="13" spans="1:16" ht="15" x14ac:dyDescent="0.25">
      <c r="A13" s="276">
        <v>67851</v>
      </c>
      <c r="B13" s="277">
        <v>42829.952777777777</v>
      </c>
      <c r="C13" s="278">
        <v>30975278</v>
      </c>
      <c r="D13" s="278" t="s">
        <v>172</v>
      </c>
      <c r="E13" s="278" t="s">
        <v>173</v>
      </c>
      <c r="F13" s="278" t="s">
        <v>177</v>
      </c>
      <c r="G13" s="278" t="s">
        <v>888</v>
      </c>
      <c r="H13" s="278" t="s">
        <v>175</v>
      </c>
      <c r="I13" s="279"/>
      <c r="J13" s="279">
        <v>195</v>
      </c>
      <c r="K13" s="278">
        <v>698457</v>
      </c>
      <c r="L13" s="210">
        <f>I13+J13*EERR!$D$2</f>
        <v>127869.3</v>
      </c>
      <c r="M13" s="136">
        <f>L13/EERR!$D$2</f>
        <v>195</v>
      </c>
      <c r="N13" s="136">
        <f>SUMIF(Abril!$B$3:$B$98,A13,Abril!$S$3:$S$98)+SUMIF(Abril!$C$3:$C$98,A13,Abril!$S$3:$S$98)</f>
        <v>0</v>
      </c>
    </row>
    <row r="14" spans="1:16" ht="15" x14ac:dyDescent="0.25">
      <c r="A14" s="276">
        <v>95411</v>
      </c>
      <c r="B14" s="277">
        <v>42830.569444444445</v>
      </c>
      <c r="C14" s="278">
        <v>30975278</v>
      </c>
      <c r="D14" s="278" t="s">
        <v>172</v>
      </c>
      <c r="E14" s="278" t="s">
        <v>173</v>
      </c>
      <c r="F14" s="278" t="s">
        <v>177</v>
      </c>
      <c r="G14" s="278" t="s">
        <v>889</v>
      </c>
      <c r="H14" s="278" t="s">
        <v>175</v>
      </c>
      <c r="I14" s="279"/>
      <c r="J14" s="279">
        <v>171</v>
      </c>
      <c r="K14" s="278" t="s">
        <v>890</v>
      </c>
      <c r="L14" s="210">
        <f>I14+J14*EERR!$D$2</f>
        <v>112131.54000000001</v>
      </c>
      <c r="M14" s="136">
        <f>L14/EERR!$D$2</f>
        <v>171</v>
      </c>
      <c r="N14" s="136">
        <f>SUMIF(Abril!$B$3:$B$98,A14,Abril!$S$3:$S$98)+SUMIF(Abril!$C$3:$C$98,A14,Abril!$S$3:$S$98)</f>
        <v>0</v>
      </c>
    </row>
    <row r="15" spans="1:16" ht="15" x14ac:dyDescent="0.25">
      <c r="A15" s="276">
        <v>6648</v>
      </c>
      <c r="B15" s="277">
        <v>42830.849305555559</v>
      </c>
      <c r="C15" s="278">
        <v>30975278</v>
      </c>
      <c r="D15" s="278" t="s">
        <v>172</v>
      </c>
      <c r="E15" s="278" t="s">
        <v>173</v>
      </c>
      <c r="F15" s="278" t="s">
        <v>178</v>
      </c>
      <c r="G15" s="278" t="s">
        <v>891</v>
      </c>
      <c r="H15" s="278" t="s">
        <v>175</v>
      </c>
      <c r="I15" s="279"/>
      <c r="J15" s="279">
        <v>180</v>
      </c>
      <c r="K15" s="278" t="s">
        <v>892</v>
      </c>
      <c r="L15" s="210">
        <f>I15+J15*EERR!$D$2</f>
        <v>118033.2</v>
      </c>
      <c r="M15" s="136">
        <f>L15/EERR!$D$2</f>
        <v>180</v>
      </c>
      <c r="N15" s="136">
        <f>SUMIF(Abril!$B$3:$B$98,A15,Abril!$S$3:$S$98)+SUMIF(Abril!$C$3:$C$98,A15,Abril!$S$3:$S$98)</f>
        <v>0</v>
      </c>
    </row>
    <row r="16" spans="1:16" ht="15" x14ac:dyDescent="0.25">
      <c r="A16" s="276">
        <v>10730</v>
      </c>
      <c r="B16" s="277">
        <v>42833.359027777777</v>
      </c>
      <c r="C16" s="278">
        <v>30975278</v>
      </c>
      <c r="D16" s="278" t="s">
        <v>172</v>
      </c>
      <c r="E16" s="278" t="s">
        <v>173</v>
      </c>
      <c r="F16" s="278" t="s">
        <v>178</v>
      </c>
      <c r="G16" s="278" t="s">
        <v>568</v>
      </c>
      <c r="H16" s="278" t="s">
        <v>175</v>
      </c>
      <c r="I16" s="279"/>
      <c r="J16" s="279">
        <v>176</v>
      </c>
      <c r="K16" s="278">
        <v>82708</v>
      </c>
      <c r="L16" s="210">
        <f>I16+J16*EERR!$D$2</f>
        <v>115410.24000000001</v>
      </c>
      <c r="M16" s="136">
        <f>L16/EERR!$D$2</f>
        <v>176</v>
      </c>
      <c r="N16" s="136">
        <f>SUMIF(Abril!$B$3:$B$98,A16,Abril!$S$3:$S$98)+SUMIF(Abril!$C$3:$C$98,A16,Abril!$S$3:$S$98)</f>
        <v>0</v>
      </c>
    </row>
    <row r="17" spans="1:14" ht="15" x14ac:dyDescent="0.25">
      <c r="A17" s="276">
        <v>10730</v>
      </c>
      <c r="B17" s="277">
        <v>42833</v>
      </c>
      <c r="C17" s="278" t="s">
        <v>251</v>
      </c>
      <c r="D17" s="278" t="s">
        <v>172</v>
      </c>
      <c r="E17" s="278" t="s">
        <v>375</v>
      </c>
      <c r="F17" s="278" t="s">
        <v>178</v>
      </c>
      <c r="G17" s="278" t="s">
        <v>568</v>
      </c>
      <c r="H17" s="278" t="s">
        <v>175</v>
      </c>
      <c r="I17" s="279"/>
      <c r="J17" s="279">
        <v>-175.5</v>
      </c>
      <c r="K17" s="278">
        <v>82708</v>
      </c>
      <c r="L17" s="210">
        <f>I17+J17*EERR!$D$2</f>
        <v>-115082.37</v>
      </c>
      <c r="M17" s="136">
        <f>L17/EERR!$D$2</f>
        <v>-175.5</v>
      </c>
      <c r="N17" s="136">
        <f>SUMIF(Abril!$B$3:$B$98,A17,Abril!$S$3:$S$98)+SUMIF(Abril!$C$3:$C$98,A17,Abril!$S$3:$S$98)</f>
        <v>0</v>
      </c>
    </row>
    <row r="18" spans="1:14" ht="15" x14ac:dyDescent="0.25">
      <c r="A18" s="276">
        <v>98059</v>
      </c>
      <c r="B18" s="277">
        <v>42833.359027777777</v>
      </c>
      <c r="C18" s="278">
        <v>30975278</v>
      </c>
      <c r="D18" s="278" t="s">
        <v>172</v>
      </c>
      <c r="E18" s="278" t="s">
        <v>173</v>
      </c>
      <c r="F18" s="278" t="s">
        <v>178</v>
      </c>
      <c r="G18" s="278" t="s">
        <v>568</v>
      </c>
      <c r="H18" s="278" t="s">
        <v>175</v>
      </c>
      <c r="I18" s="279"/>
      <c r="J18" s="279">
        <v>176</v>
      </c>
      <c r="K18" s="278">
        <v>90817</v>
      </c>
      <c r="L18" s="210">
        <f>I18+J18*EERR!$D$2</f>
        <v>115410.24000000001</v>
      </c>
      <c r="M18" s="136">
        <f>L18/EERR!$D$2</f>
        <v>176</v>
      </c>
      <c r="N18" s="136">
        <f>SUMIF(Abril!$B$3:$B$98,A18,Abril!$S$3:$S$98)+SUMIF(Abril!$C$3:$C$98,A18,Abril!$S$3:$S$98)</f>
        <v>0</v>
      </c>
    </row>
    <row r="19" spans="1:14" ht="15" x14ac:dyDescent="0.25">
      <c r="A19" s="276">
        <v>98059</v>
      </c>
      <c r="B19" s="277">
        <v>42833</v>
      </c>
      <c r="C19" s="278" t="s">
        <v>251</v>
      </c>
      <c r="D19" s="278" t="s">
        <v>172</v>
      </c>
      <c r="E19" s="278" t="s">
        <v>375</v>
      </c>
      <c r="F19" s="278" t="s">
        <v>178</v>
      </c>
      <c r="G19" s="278" t="s">
        <v>568</v>
      </c>
      <c r="H19" s="278" t="s">
        <v>175</v>
      </c>
      <c r="I19" s="279"/>
      <c r="J19" s="279">
        <v>-175.5</v>
      </c>
      <c r="K19" s="278">
        <v>90817</v>
      </c>
      <c r="L19" s="210">
        <f>I19+J19*EERR!$D$2</f>
        <v>-115082.37</v>
      </c>
      <c r="M19" s="136">
        <f>L19/EERR!$D$2</f>
        <v>-175.5</v>
      </c>
      <c r="N19" s="136">
        <f>SUMIF(Abril!$B$3:$B$98,A19,Abril!$S$3:$S$98)+SUMIF(Abril!$C$3:$C$98,A19,Abril!$S$3:$S$98)</f>
        <v>0</v>
      </c>
    </row>
    <row r="20" spans="1:14" ht="15" x14ac:dyDescent="0.25">
      <c r="A20" s="276">
        <v>48091</v>
      </c>
      <c r="B20" s="277">
        <v>42833.359722222223</v>
      </c>
      <c r="C20" s="278">
        <v>30975278</v>
      </c>
      <c r="D20" s="278" t="s">
        <v>172</v>
      </c>
      <c r="E20" s="278" t="s">
        <v>173</v>
      </c>
      <c r="F20" s="278" t="s">
        <v>178</v>
      </c>
      <c r="G20" s="278" t="s">
        <v>893</v>
      </c>
      <c r="H20" s="278" t="s">
        <v>175</v>
      </c>
      <c r="I20" s="279"/>
      <c r="J20" s="279">
        <v>176</v>
      </c>
      <c r="K20" s="278">
        <v>275312</v>
      </c>
      <c r="L20" s="210">
        <f>I20+J20*EERR!$D$2</f>
        <v>115410.24000000001</v>
      </c>
      <c r="M20" s="136">
        <f>L20/EERR!$D$2</f>
        <v>176</v>
      </c>
      <c r="N20" s="136">
        <f>SUMIF(Abril!$B$3:$B$98,A20,Abril!$S$3:$S$98)+SUMIF(Abril!$C$3:$C$98,A20,Abril!$S$3:$S$98)</f>
        <v>0</v>
      </c>
    </row>
    <row r="21" spans="1:14" ht="15" x14ac:dyDescent="0.25">
      <c r="A21" s="276">
        <v>57234</v>
      </c>
      <c r="B21" s="277">
        <v>42833.818749999999</v>
      </c>
      <c r="C21" s="278">
        <v>30975278</v>
      </c>
      <c r="D21" s="278" t="s">
        <v>172</v>
      </c>
      <c r="E21" s="278" t="s">
        <v>173</v>
      </c>
      <c r="F21" s="278" t="s">
        <v>305</v>
      </c>
      <c r="G21" s="278" t="s">
        <v>894</v>
      </c>
      <c r="H21" s="278" t="s">
        <v>175</v>
      </c>
      <c r="I21" s="279"/>
      <c r="J21" s="279">
        <v>100</v>
      </c>
      <c r="K21" s="278">
        <v>13378</v>
      </c>
      <c r="L21" s="210">
        <f>I21+J21*EERR!$D$2</f>
        <v>65574</v>
      </c>
      <c r="M21" s="136">
        <f>L21/EERR!$D$2</f>
        <v>100</v>
      </c>
      <c r="N21" s="136">
        <f>SUMIF(Abril!$B$3:$B$98,A21,Abril!$S$3:$S$98)+SUMIF(Abril!$C$3:$C$98,A21,Abril!$S$3:$S$98)</f>
        <v>0</v>
      </c>
    </row>
    <row r="22" spans="1:14" ht="15" x14ac:dyDescent="0.25">
      <c r="A22" s="276">
        <v>22059</v>
      </c>
      <c r="B22" s="277">
        <v>42833.873611111114</v>
      </c>
      <c r="C22" s="278">
        <v>30975278</v>
      </c>
      <c r="D22" s="278" t="s">
        <v>172</v>
      </c>
      <c r="E22" s="278" t="s">
        <v>173</v>
      </c>
      <c r="F22" s="278" t="s">
        <v>178</v>
      </c>
      <c r="G22" s="278" t="s">
        <v>578</v>
      </c>
      <c r="H22" s="278" t="s">
        <v>175</v>
      </c>
      <c r="I22" s="279"/>
      <c r="J22" s="279">
        <v>780</v>
      </c>
      <c r="K22" s="278">
        <v>11387</v>
      </c>
      <c r="L22" s="210">
        <f>I22+J22*EERR!$D$2</f>
        <v>511477.2</v>
      </c>
      <c r="M22" s="136">
        <f>L22/EERR!$D$2</f>
        <v>780</v>
      </c>
      <c r="N22" s="136">
        <f>SUMIF(Abril!$B$3:$B$98,A22,Abril!$S$3:$S$98)+SUMIF(Abril!$C$3:$C$98,A22,Abril!$S$3:$S$98)</f>
        <v>0</v>
      </c>
    </row>
    <row r="23" spans="1:14" ht="15" x14ac:dyDescent="0.25">
      <c r="A23" s="276">
        <v>91281</v>
      </c>
      <c r="B23" s="277">
        <v>42834.705555555556</v>
      </c>
      <c r="C23" s="278">
        <v>30975278</v>
      </c>
      <c r="D23" s="278" t="s">
        <v>172</v>
      </c>
      <c r="E23" s="278" t="s">
        <v>173</v>
      </c>
      <c r="F23" s="278" t="s">
        <v>178</v>
      </c>
      <c r="G23" s="278" t="s">
        <v>689</v>
      </c>
      <c r="H23" s="278" t="s">
        <v>175</v>
      </c>
      <c r="I23" s="279"/>
      <c r="J23" s="279">
        <v>585</v>
      </c>
      <c r="K23" s="278">
        <v>632111</v>
      </c>
      <c r="L23" s="210">
        <f>I23+J23*EERR!$D$2</f>
        <v>383607.9</v>
      </c>
      <c r="M23" s="136">
        <f>L23/EERR!$D$2</f>
        <v>585</v>
      </c>
      <c r="N23" s="136">
        <f>SUMIF(Abril!$B$3:$B$98,A23,Abril!$S$3:$S$98)+SUMIF(Abril!$C$3:$C$98,A23,Abril!$S$3:$S$98)</f>
        <v>0</v>
      </c>
    </row>
    <row r="24" spans="1:14" ht="15" x14ac:dyDescent="0.25">
      <c r="A24" s="276">
        <v>56680</v>
      </c>
      <c r="B24" s="277">
        <v>42834.804861111108</v>
      </c>
      <c r="C24" s="278">
        <v>30975278</v>
      </c>
      <c r="D24" s="278" t="s">
        <v>172</v>
      </c>
      <c r="E24" s="278" t="s">
        <v>173</v>
      </c>
      <c r="F24" s="278" t="s">
        <v>178</v>
      </c>
      <c r="G24" s="278" t="s">
        <v>571</v>
      </c>
      <c r="H24" s="278" t="s">
        <v>175</v>
      </c>
      <c r="I24" s="279"/>
      <c r="J24" s="279">
        <v>140</v>
      </c>
      <c r="K24" s="278">
        <v>684125</v>
      </c>
      <c r="L24" s="210">
        <f>I24+J24*EERR!$D$2</f>
        <v>91803.6</v>
      </c>
      <c r="M24" s="136">
        <f>L24/EERR!$D$2</f>
        <v>140</v>
      </c>
      <c r="N24" s="136">
        <f>SUMIF(Abril!$B$3:$B$98,A24,Abril!$S$3:$S$98)+SUMIF(Abril!$C$3:$C$98,A24,Abril!$S$3:$S$98)</f>
        <v>0</v>
      </c>
    </row>
    <row r="25" spans="1:14" ht="15" x14ac:dyDescent="0.25">
      <c r="A25" s="276">
        <v>66938</v>
      </c>
      <c r="B25" s="277">
        <v>42835.482638888891</v>
      </c>
      <c r="C25" s="278">
        <v>30975278</v>
      </c>
      <c r="D25" s="278" t="s">
        <v>172</v>
      </c>
      <c r="E25" s="278" t="s">
        <v>173</v>
      </c>
      <c r="F25" s="278" t="s">
        <v>178</v>
      </c>
      <c r="G25" s="278" t="s">
        <v>573</v>
      </c>
      <c r="H25" s="278" t="s">
        <v>175</v>
      </c>
      <c r="I25" s="279"/>
      <c r="J25" s="279">
        <v>195</v>
      </c>
      <c r="K25" s="278">
        <v>128683</v>
      </c>
      <c r="L25" s="210">
        <f>I25+J25*EERR!$D$2</f>
        <v>127869.3</v>
      </c>
      <c r="M25" s="136">
        <f>L25/EERR!$D$2</f>
        <v>195</v>
      </c>
      <c r="N25" s="136">
        <f>SUMIF(Abril!$B$3:$B$98,A25,Abril!$S$3:$S$98)+SUMIF(Abril!$C$3:$C$98,A25,Abril!$S$3:$S$98)</f>
        <v>0</v>
      </c>
    </row>
    <row r="26" spans="1:14" ht="15" x14ac:dyDescent="0.25">
      <c r="A26" s="276">
        <v>38789</v>
      </c>
      <c r="B26" s="277">
        <v>42835.90902777778</v>
      </c>
      <c r="C26" s="278">
        <v>30975278</v>
      </c>
      <c r="D26" s="278" t="s">
        <v>172</v>
      </c>
      <c r="E26" s="278" t="s">
        <v>173</v>
      </c>
      <c r="F26" s="278" t="s">
        <v>178</v>
      </c>
      <c r="G26" s="278" t="s">
        <v>895</v>
      </c>
      <c r="H26" s="278" t="s">
        <v>175</v>
      </c>
      <c r="I26" s="279"/>
      <c r="J26" s="279">
        <v>610</v>
      </c>
      <c r="K26" s="278">
        <v>87954</v>
      </c>
      <c r="L26" s="281">
        <f>I26+J26*EERR!$D$2</f>
        <v>400001.4</v>
      </c>
      <c r="M26" s="136">
        <f>L26/EERR!$D$2</f>
        <v>610</v>
      </c>
      <c r="N26" s="136">
        <f>SUMIF(Abril!$B$3:$B$98,A26,Abril!$S$3:$S$98)+SUMIF(Abril!$C$3:$C$98,A26,Abril!$S$3:$S$98)</f>
        <v>0</v>
      </c>
    </row>
    <row r="27" spans="1:14" ht="15" x14ac:dyDescent="0.25">
      <c r="A27" s="276">
        <v>8656</v>
      </c>
      <c r="B27" s="277">
        <v>42837.404861111114</v>
      </c>
      <c r="C27" s="278">
        <v>30975278</v>
      </c>
      <c r="D27" s="278" t="s">
        <v>172</v>
      </c>
      <c r="E27" s="278" t="s">
        <v>173</v>
      </c>
      <c r="F27" s="278" t="s">
        <v>177</v>
      </c>
      <c r="G27" s="278" t="s">
        <v>654</v>
      </c>
      <c r="H27" s="278" t="s">
        <v>175</v>
      </c>
      <c r="I27" s="279"/>
      <c r="J27" s="279">
        <v>440</v>
      </c>
      <c r="K27" s="278">
        <v>77722</v>
      </c>
      <c r="L27" s="210">
        <f>I27+J27*EERR!$D$2</f>
        <v>288525.59999999998</v>
      </c>
      <c r="M27" s="136">
        <f>L27/EERR!$D$2</f>
        <v>439.99999999999994</v>
      </c>
      <c r="N27" s="136">
        <f>SUMIF(Abril!$B$3:$B$98,A27,Abril!$S$3:$S$98)+SUMIF(Abril!$C$3:$C$98,A27,Abril!$S$3:$S$98)</f>
        <v>0</v>
      </c>
    </row>
    <row r="28" spans="1:14" ht="15" x14ac:dyDescent="0.25">
      <c r="A28" s="276">
        <v>88919</v>
      </c>
      <c r="B28" s="277">
        <v>42837.40625</v>
      </c>
      <c r="C28" s="278">
        <v>30975278</v>
      </c>
      <c r="D28" s="278" t="s">
        <v>172</v>
      </c>
      <c r="E28" s="278" t="s">
        <v>173</v>
      </c>
      <c r="F28" s="278" t="s">
        <v>177</v>
      </c>
      <c r="G28" s="278" t="s">
        <v>678</v>
      </c>
      <c r="H28" s="278" t="s">
        <v>175</v>
      </c>
      <c r="I28" s="279"/>
      <c r="J28" s="279">
        <v>440</v>
      </c>
      <c r="K28" s="278">
        <v>79023</v>
      </c>
      <c r="L28" s="210">
        <f>I28+J28*EERR!$D$2</f>
        <v>288525.59999999998</v>
      </c>
      <c r="M28" s="136">
        <f>L28/EERR!$D$2</f>
        <v>439.99999999999994</v>
      </c>
      <c r="N28" s="136">
        <f>SUMIF(Abril!$B$3:$B$98,A28,Abril!$S$3:$S$98)+SUMIF(Abril!$C$3:$C$98,A28,Abril!$S$3:$S$98)</f>
        <v>0</v>
      </c>
    </row>
    <row r="29" spans="1:14" ht="15" x14ac:dyDescent="0.25">
      <c r="A29" s="276">
        <v>69029</v>
      </c>
      <c r="B29" s="277">
        <v>42837.884027777778</v>
      </c>
      <c r="C29" s="278">
        <v>30975278</v>
      </c>
      <c r="D29" s="278" t="s">
        <v>172</v>
      </c>
      <c r="E29" s="278" t="s">
        <v>173</v>
      </c>
      <c r="F29" s="278" t="s">
        <v>178</v>
      </c>
      <c r="G29" s="278" t="s">
        <v>698</v>
      </c>
      <c r="H29" s="278" t="s">
        <v>175</v>
      </c>
      <c r="I29" s="279"/>
      <c r="J29" s="279">
        <v>209</v>
      </c>
      <c r="K29" s="278">
        <v>116341</v>
      </c>
      <c r="L29" s="210">
        <f>I29+J29*EERR!$D$2</f>
        <v>137049.66</v>
      </c>
      <c r="M29" s="136">
        <f>L29/EERR!$D$2</f>
        <v>209</v>
      </c>
      <c r="N29" s="136">
        <f>SUMIF(Abril!$B$3:$B$98,A29,Abril!$S$3:$S$98)+SUMIF(Abril!$C$3:$C$98,A29,Abril!$S$3:$S$98)</f>
        <v>0</v>
      </c>
    </row>
    <row r="30" spans="1:14" ht="15" x14ac:dyDescent="0.25">
      <c r="A30" s="276">
        <v>88740</v>
      </c>
      <c r="B30" s="277">
        <v>42838.627083333333</v>
      </c>
      <c r="C30" s="278">
        <v>30905830</v>
      </c>
      <c r="D30" s="278" t="s">
        <v>172</v>
      </c>
      <c r="E30" s="278" t="s">
        <v>176</v>
      </c>
      <c r="F30" s="278" t="s">
        <v>178</v>
      </c>
      <c r="G30" s="278" t="s">
        <v>695</v>
      </c>
      <c r="H30" s="278" t="s">
        <v>176</v>
      </c>
      <c r="I30" s="279">
        <v>347146</v>
      </c>
      <c r="J30" s="279"/>
      <c r="K30" s="278">
        <v>838707</v>
      </c>
      <c r="L30" s="210">
        <f>I30+J30*EERR!$D$2</f>
        <v>347146</v>
      </c>
      <c r="M30" s="136">
        <f>L30/EERR!$D$2</f>
        <v>529.39579711471004</v>
      </c>
      <c r="N30" s="136">
        <f>SUMIF(Abril!$B$3:$B$98,A30,Abril!$S$3:$S$98)+SUMIF(Abril!$C$3:$C$98,A30,Abril!$S$3:$S$98)</f>
        <v>520719</v>
      </c>
    </row>
    <row r="31" spans="1:14" ht="15" x14ac:dyDescent="0.25">
      <c r="A31" s="276">
        <v>1271</v>
      </c>
      <c r="B31" s="277">
        <v>42838.686111111114</v>
      </c>
      <c r="C31" s="278">
        <v>30905830</v>
      </c>
      <c r="D31" s="278" t="s">
        <v>172</v>
      </c>
      <c r="E31" s="278" t="s">
        <v>176</v>
      </c>
      <c r="F31" s="278" t="s">
        <v>177</v>
      </c>
      <c r="G31" s="278" t="s">
        <v>626</v>
      </c>
      <c r="H31" s="278" t="s">
        <v>176</v>
      </c>
      <c r="I31" s="279">
        <v>494195</v>
      </c>
      <c r="J31" s="279"/>
      <c r="K31" s="278">
        <v>914279</v>
      </c>
      <c r="L31" s="210">
        <f>I31+J31*EERR!$D$2</f>
        <v>494195</v>
      </c>
      <c r="M31" s="136">
        <f>L31/EERR!$D$2</f>
        <v>753.64473724341963</v>
      </c>
      <c r="N31" s="136">
        <f>SUMIF(Abril!$B$3:$B$98,A31,Abril!$S$3:$S$98)+SUMIF(Abril!$C$3:$C$98,A31,Abril!$S$3:$S$98)</f>
        <v>667245</v>
      </c>
    </row>
    <row r="32" spans="1:14" ht="15" x14ac:dyDescent="0.25">
      <c r="A32" s="276">
        <v>81278</v>
      </c>
      <c r="B32" s="277">
        <v>42838.783333333333</v>
      </c>
      <c r="C32" s="278">
        <v>30975278</v>
      </c>
      <c r="D32" s="278" t="s">
        <v>172</v>
      </c>
      <c r="E32" s="278" t="s">
        <v>173</v>
      </c>
      <c r="F32" s="278" t="s">
        <v>174</v>
      </c>
      <c r="G32" s="278" t="s">
        <v>896</v>
      </c>
      <c r="H32" s="278" t="s">
        <v>175</v>
      </c>
      <c r="I32" s="279"/>
      <c r="J32" s="279">
        <v>1170</v>
      </c>
      <c r="K32" s="278">
        <v>47</v>
      </c>
      <c r="L32" s="210">
        <f>I32+J32*EERR!$D$2</f>
        <v>767215.8</v>
      </c>
      <c r="M32" s="136">
        <f>L32/EERR!$D$2</f>
        <v>1170</v>
      </c>
      <c r="N32" s="136">
        <f>SUMIF(Abril!$B$3:$B$98,A32,Abril!$S$3:$S$98)+SUMIF(Abril!$C$3:$C$98,A32,Abril!$S$3:$S$98)</f>
        <v>0</v>
      </c>
    </row>
    <row r="33" spans="1:14" ht="15" x14ac:dyDescent="0.25">
      <c r="A33" s="276">
        <v>54947</v>
      </c>
      <c r="B33" s="277">
        <v>42839.45</v>
      </c>
      <c r="C33" s="278">
        <v>30975278</v>
      </c>
      <c r="D33" s="278" t="s">
        <v>172</v>
      </c>
      <c r="E33" s="278" t="s">
        <v>173</v>
      </c>
      <c r="F33" s="278" t="s">
        <v>178</v>
      </c>
      <c r="G33" s="278" t="s">
        <v>897</v>
      </c>
      <c r="H33" s="278" t="s">
        <v>175</v>
      </c>
      <c r="I33" s="279"/>
      <c r="J33" s="279">
        <v>110</v>
      </c>
      <c r="K33" s="278" t="s">
        <v>898</v>
      </c>
      <c r="L33" s="210">
        <f>I33+J33*EERR!$D$2</f>
        <v>72131.399999999994</v>
      </c>
      <c r="M33" s="136">
        <f>L33/EERR!$D$2</f>
        <v>109.99999999999999</v>
      </c>
      <c r="N33" s="136">
        <f>SUMIF(Abril!$B$3:$B$98,A33,Abril!$S$3:$S$98)+SUMIF(Abril!$C$3:$C$98,A33,Abril!$S$3:$S$98)</f>
        <v>0</v>
      </c>
    </row>
    <row r="34" spans="1:14" ht="15" x14ac:dyDescent="0.25">
      <c r="A34" s="276">
        <v>54947</v>
      </c>
      <c r="B34" s="277">
        <v>42839.45</v>
      </c>
      <c r="C34" s="278">
        <v>30975278</v>
      </c>
      <c r="D34" s="278" t="s">
        <v>172</v>
      </c>
      <c r="E34" s="278" t="s">
        <v>173</v>
      </c>
      <c r="F34" s="278" t="s">
        <v>178</v>
      </c>
      <c r="G34" s="278" t="s">
        <v>899</v>
      </c>
      <c r="H34" s="278" t="s">
        <v>175</v>
      </c>
      <c r="I34" s="279"/>
      <c r="J34" s="279">
        <v>110</v>
      </c>
      <c r="K34" s="278" t="s">
        <v>900</v>
      </c>
      <c r="L34" s="210">
        <f>I34+J34*EERR!$D$2</f>
        <v>72131.399999999994</v>
      </c>
      <c r="M34" s="136">
        <f>L34/EERR!$D$2</f>
        <v>109.99999999999999</v>
      </c>
      <c r="N34" s="136">
        <f>SUMIF(Abril!$B$3:$B$98,A34,Abril!$S$3:$S$98)+SUMIF(Abril!$C$3:$C$98,A34,Abril!$S$3:$S$98)</f>
        <v>0</v>
      </c>
    </row>
    <row r="35" spans="1:14" ht="15" x14ac:dyDescent="0.25">
      <c r="A35" s="276">
        <v>99400</v>
      </c>
      <c r="B35" s="277">
        <v>42839.544444444444</v>
      </c>
      <c r="C35" s="278">
        <v>30905830</v>
      </c>
      <c r="D35" s="278" t="s">
        <v>172</v>
      </c>
      <c r="E35" s="278" t="s">
        <v>176</v>
      </c>
      <c r="F35" s="278" t="s">
        <v>177</v>
      </c>
      <c r="G35" s="278" t="s">
        <v>701</v>
      </c>
      <c r="H35" s="278" t="s">
        <v>176</v>
      </c>
      <c r="I35" s="279">
        <v>136585</v>
      </c>
      <c r="J35" s="279"/>
      <c r="K35" s="278">
        <v>707447</v>
      </c>
      <c r="L35" s="281">
        <f>I35+J35*EERR!$D$2</f>
        <v>136585</v>
      </c>
      <c r="M35" s="136">
        <f>L35/EERR!$D$2</f>
        <v>208.29139598011406</v>
      </c>
      <c r="N35" s="136">
        <f>SUMIF(Abril!$B$3:$B$98,A35,Abril!$S$3:$S$98)+SUMIF(Abril!$C$3:$C$98,A35,Abril!$S$3:$S$98)</f>
        <v>310158</v>
      </c>
    </row>
    <row r="36" spans="1:14" ht="15" x14ac:dyDescent="0.25">
      <c r="A36" s="276">
        <v>29125</v>
      </c>
      <c r="B36" s="277">
        <v>42840.400694444441</v>
      </c>
      <c r="C36" s="278">
        <v>30975278</v>
      </c>
      <c r="D36" s="278" t="s">
        <v>172</v>
      </c>
      <c r="E36" s="278" t="s">
        <v>173</v>
      </c>
      <c r="F36" s="278" t="s">
        <v>177</v>
      </c>
      <c r="G36" s="278" t="s">
        <v>704</v>
      </c>
      <c r="H36" s="278" t="s">
        <v>175</v>
      </c>
      <c r="I36" s="279"/>
      <c r="J36" s="279">
        <v>780</v>
      </c>
      <c r="K36" s="278">
        <v>383571</v>
      </c>
      <c r="L36" s="210">
        <f>I36+J36*EERR!$D$2</f>
        <v>511477.2</v>
      </c>
      <c r="M36" s="136">
        <f>L36/EERR!$D$2</f>
        <v>780</v>
      </c>
      <c r="N36" s="136">
        <f>SUMIF(Abril!$B$3:$B$98,A36,Abril!$S$3:$S$98)+SUMIF(Abril!$C$3:$C$98,A36,Abril!$S$3:$S$98)</f>
        <v>0</v>
      </c>
    </row>
    <row r="37" spans="1:14" ht="15" x14ac:dyDescent="0.25">
      <c r="A37" s="276">
        <v>3877</v>
      </c>
      <c r="B37" s="277">
        <v>42840.406944444447</v>
      </c>
      <c r="C37" s="278">
        <v>30975278</v>
      </c>
      <c r="D37" s="278" t="s">
        <v>172</v>
      </c>
      <c r="E37" s="278" t="s">
        <v>173</v>
      </c>
      <c r="F37" s="278" t="s">
        <v>178</v>
      </c>
      <c r="G37" s="278" t="s">
        <v>707</v>
      </c>
      <c r="H37" s="278" t="s">
        <v>175</v>
      </c>
      <c r="I37" s="279"/>
      <c r="J37" s="279">
        <v>195</v>
      </c>
      <c r="K37" s="278">
        <v>94708</v>
      </c>
      <c r="L37" s="210">
        <f>I37+J37*EERR!$D$2</f>
        <v>127869.3</v>
      </c>
      <c r="M37" s="136">
        <f>L37/EERR!$D$2</f>
        <v>195</v>
      </c>
      <c r="N37" s="136">
        <f>SUMIF(Abril!$B$3:$B$98,A37,Abril!$S$3:$S$98)+SUMIF(Abril!$C$3:$C$98,A37,Abril!$S$3:$S$98)</f>
        <v>0</v>
      </c>
    </row>
    <row r="38" spans="1:14" ht="15" x14ac:dyDescent="0.25">
      <c r="A38" s="276">
        <v>89660</v>
      </c>
      <c r="B38" s="277">
        <v>42840.809027777781</v>
      </c>
      <c r="C38" s="278">
        <v>30975278</v>
      </c>
      <c r="D38" s="278" t="s">
        <v>172</v>
      </c>
      <c r="E38" s="278" t="s">
        <v>173</v>
      </c>
      <c r="F38" s="278" t="s">
        <v>174</v>
      </c>
      <c r="G38" s="278" t="s">
        <v>637</v>
      </c>
      <c r="H38" s="278" t="s">
        <v>175</v>
      </c>
      <c r="I38" s="279"/>
      <c r="J38" s="279">
        <v>390</v>
      </c>
      <c r="K38" s="278">
        <v>11</v>
      </c>
      <c r="L38" s="210">
        <f>I38+J38*EERR!$D$2</f>
        <v>255738.6</v>
      </c>
      <c r="M38" s="136">
        <f>L38/EERR!$D$2</f>
        <v>390</v>
      </c>
      <c r="N38" s="136">
        <f>SUMIF(Abril!$B$3:$B$98,A38,Abril!$S$3:$S$98)+SUMIF(Abril!$C$3:$C$98,A38,Abril!$S$3:$S$98)</f>
        <v>0</v>
      </c>
    </row>
    <row r="39" spans="1:14" ht="15" x14ac:dyDescent="0.25">
      <c r="A39" s="276">
        <v>98311</v>
      </c>
      <c r="B39" s="277">
        <v>42840.837500000001</v>
      </c>
      <c r="C39" s="278">
        <v>30905830</v>
      </c>
      <c r="D39" s="278" t="s">
        <v>172</v>
      </c>
      <c r="E39" s="278" t="s">
        <v>176</v>
      </c>
      <c r="F39" s="278" t="s">
        <v>178</v>
      </c>
      <c r="G39" s="278" t="s">
        <v>901</v>
      </c>
      <c r="H39" s="278" t="s">
        <v>176</v>
      </c>
      <c r="I39" s="279">
        <v>171217</v>
      </c>
      <c r="J39" s="279"/>
      <c r="K39" s="278">
        <v>500760</v>
      </c>
      <c r="L39" s="210">
        <f>I39+J39*EERR!$D$2</f>
        <v>171217</v>
      </c>
      <c r="M39" s="136">
        <f>L39/EERR!$D$2</f>
        <v>261.10501113246102</v>
      </c>
      <c r="N39" s="136">
        <f>SUMIF(Abril!$B$3:$B$98,A39,Abril!$S$3:$S$98)+SUMIF(Abril!$C$3:$C$98,A39,Abril!$S$3:$S$98)</f>
        <v>344267</v>
      </c>
    </row>
    <row r="40" spans="1:14" ht="15" x14ac:dyDescent="0.25">
      <c r="A40" s="276">
        <v>21506</v>
      </c>
      <c r="B40" s="277">
        <v>42841.53125</v>
      </c>
      <c r="C40" s="278">
        <v>30975278</v>
      </c>
      <c r="D40" s="278" t="s">
        <v>172</v>
      </c>
      <c r="E40" s="278" t="s">
        <v>173</v>
      </c>
      <c r="F40" s="278" t="s">
        <v>177</v>
      </c>
      <c r="G40" s="278" t="s">
        <v>902</v>
      </c>
      <c r="H40" s="278" t="s">
        <v>175</v>
      </c>
      <c r="I40" s="279"/>
      <c r="J40" s="279">
        <v>585</v>
      </c>
      <c r="K40" s="278">
        <v>328969</v>
      </c>
      <c r="L40" s="210">
        <f>I40+J40*EERR!$D$2</f>
        <v>383607.9</v>
      </c>
      <c r="M40" s="136">
        <f>L40/EERR!$D$2</f>
        <v>585</v>
      </c>
      <c r="N40" s="136">
        <f>SUMIF(Abril!$B$3:$B$98,A40,Abril!$S$3:$S$98)+SUMIF(Abril!$C$3:$C$98,A40,Abril!$S$3:$S$98)</f>
        <v>0</v>
      </c>
    </row>
    <row r="41" spans="1:14" ht="15" x14ac:dyDescent="0.25">
      <c r="A41" s="276">
        <v>1271</v>
      </c>
      <c r="B41" s="277">
        <v>42842.473611111112</v>
      </c>
      <c r="C41" s="278">
        <v>30905830</v>
      </c>
      <c r="D41" s="278" t="s">
        <v>172</v>
      </c>
      <c r="E41" s="278" t="s">
        <v>176</v>
      </c>
      <c r="F41" s="278" t="s">
        <v>177</v>
      </c>
      <c r="G41" s="278" t="s">
        <v>626</v>
      </c>
      <c r="H41" s="278" t="s">
        <v>176</v>
      </c>
      <c r="I41" s="279">
        <v>5000</v>
      </c>
      <c r="J41" s="279"/>
      <c r="K41" s="278">
        <v>136072</v>
      </c>
      <c r="L41" s="210">
        <f>I41+J41*EERR!$D$2</f>
        <v>5000</v>
      </c>
      <c r="M41" s="136">
        <f>L41/EERR!$D$2</f>
        <v>7.624973312593406</v>
      </c>
      <c r="N41" s="136">
        <f>SUMIF(Abril!$B$3:$B$98,A41,Abril!$S$3:$S$98)+SUMIF(Abril!$C$3:$C$98,A41,Abril!$S$3:$S$98)</f>
        <v>667245</v>
      </c>
    </row>
    <row r="42" spans="1:14" ht="15" x14ac:dyDescent="0.25">
      <c r="A42" s="276">
        <v>67851</v>
      </c>
      <c r="B42" s="277">
        <v>42842.607638888891</v>
      </c>
      <c r="C42" s="278">
        <v>30975278</v>
      </c>
      <c r="D42" s="278" t="s">
        <v>172</v>
      </c>
      <c r="E42" s="278" t="s">
        <v>173</v>
      </c>
      <c r="F42" s="278" t="s">
        <v>177</v>
      </c>
      <c r="G42" s="278" t="s">
        <v>888</v>
      </c>
      <c r="H42" s="278" t="s">
        <v>175</v>
      </c>
      <c r="I42" s="279"/>
      <c r="J42" s="279">
        <v>390</v>
      </c>
      <c r="K42" s="278">
        <v>828923</v>
      </c>
      <c r="L42" s="210">
        <f>I42+J42*EERR!$D$2</f>
        <v>255738.6</v>
      </c>
      <c r="M42" s="136">
        <f>L42/EERR!$D$2</f>
        <v>390</v>
      </c>
      <c r="N42" s="136">
        <f>SUMIF(Abril!$B$3:$B$98,A42,Abril!$S$3:$S$98)+SUMIF(Abril!$C$3:$C$98,A42,Abril!$S$3:$S$98)</f>
        <v>0</v>
      </c>
    </row>
    <row r="43" spans="1:14" ht="15" x14ac:dyDescent="0.25">
      <c r="A43" s="276">
        <v>5635</v>
      </c>
      <c r="B43" s="277">
        <v>42843.374305555553</v>
      </c>
      <c r="C43" s="278">
        <v>30975278</v>
      </c>
      <c r="D43" s="278" t="s">
        <v>172</v>
      </c>
      <c r="E43" s="278" t="s">
        <v>173</v>
      </c>
      <c r="F43" s="278" t="s">
        <v>178</v>
      </c>
      <c r="G43" s="278" t="s">
        <v>631</v>
      </c>
      <c r="H43" s="278" t="s">
        <v>175</v>
      </c>
      <c r="I43" s="279"/>
      <c r="J43" s="279">
        <v>390</v>
      </c>
      <c r="K43" s="278">
        <v>5194</v>
      </c>
      <c r="L43" s="210">
        <f>I43+J43*EERR!$D$2</f>
        <v>255738.6</v>
      </c>
      <c r="M43" s="136">
        <f>L43/EERR!$D$2</f>
        <v>390</v>
      </c>
      <c r="N43" s="136">
        <f>SUMIF(Abril!$B$3:$B$98,A43,Abril!$S$3:$S$98)+SUMIF(Abril!$C$3:$C$98,A43,Abril!$S$3:$S$98)</f>
        <v>0</v>
      </c>
    </row>
    <row r="44" spans="1:14" ht="15" x14ac:dyDescent="0.25">
      <c r="A44" s="276">
        <v>66892</v>
      </c>
      <c r="B44" s="277">
        <v>42843.474305555559</v>
      </c>
      <c r="C44" s="278">
        <v>30975278</v>
      </c>
      <c r="D44" s="278" t="s">
        <v>172</v>
      </c>
      <c r="E44" s="278" t="s">
        <v>173</v>
      </c>
      <c r="F44" s="278" t="s">
        <v>178</v>
      </c>
      <c r="G44" s="278" t="s">
        <v>903</v>
      </c>
      <c r="H44" s="278" t="s">
        <v>175</v>
      </c>
      <c r="I44" s="279"/>
      <c r="J44" s="279">
        <v>390</v>
      </c>
      <c r="K44" s="278">
        <v>877603</v>
      </c>
      <c r="L44" s="210">
        <f>I44+J44*EERR!$D$2</f>
        <v>255738.6</v>
      </c>
      <c r="M44" s="136">
        <f>L44/EERR!$D$2</f>
        <v>390</v>
      </c>
      <c r="N44" s="136">
        <f>SUMIF(Abril!$B$3:$B$98,A44,Abril!$S$3:$S$98)+SUMIF(Abril!$C$3:$C$98,A44,Abril!$S$3:$S$98)</f>
        <v>0</v>
      </c>
    </row>
    <row r="45" spans="1:14" ht="15" x14ac:dyDescent="0.25">
      <c r="A45" s="276">
        <v>83098</v>
      </c>
      <c r="B45" s="277">
        <v>42844.336111111108</v>
      </c>
      <c r="C45" s="278">
        <v>30975278</v>
      </c>
      <c r="D45" s="278" t="s">
        <v>172</v>
      </c>
      <c r="E45" s="278" t="s">
        <v>173</v>
      </c>
      <c r="F45" s="278" t="s">
        <v>174</v>
      </c>
      <c r="G45" s="278" t="s">
        <v>904</v>
      </c>
      <c r="H45" s="278" t="s">
        <v>175</v>
      </c>
      <c r="I45" s="279"/>
      <c r="J45" s="279">
        <v>390</v>
      </c>
      <c r="K45" s="278">
        <v>15</v>
      </c>
      <c r="L45" s="210">
        <f>I45+J45*EERR!$D$2</f>
        <v>255738.6</v>
      </c>
      <c r="M45" s="136">
        <f>L45/EERR!$D$2</f>
        <v>390</v>
      </c>
      <c r="N45" s="136">
        <f>SUMIF(Abril!$B$3:$B$98,A45,Abril!$S$3:$S$98)+SUMIF(Abril!$C$3:$C$98,A45,Abril!$S$3:$S$98)</f>
        <v>0</v>
      </c>
    </row>
    <row r="46" spans="1:14" ht="15" x14ac:dyDescent="0.25">
      <c r="A46" s="276">
        <v>20245</v>
      </c>
      <c r="B46" s="277">
        <v>42844.838194444441</v>
      </c>
      <c r="C46" s="278">
        <v>30975278</v>
      </c>
      <c r="D46" s="278" t="s">
        <v>172</v>
      </c>
      <c r="E46" s="278" t="s">
        <v>173</v>
      </c>
      <c r="F46" s="278" t="s">
        <v>178</v>
      </c>
      <c r="G46" s="278" t="s">
        <v>905</v>
      </c>
      <c r="H46" s="278" t="s">
        <v>175</v>
      </c>
      <c r="I46" s="279"/>
      <c r="J46" s="279">
        <v>195</v>
      </c>
      <c r="K46" s="278">
        <v>83568</v>
      </c>
      <c r="L46" s="210">
        <f>I46+J46*EERR!$D$2</f>
        <v>127869.3</v>
      </c>
      <c r="M46" s="136">
        <f>L46/EERR!$D$2</f>
        <v>195</v>
      </c>
      <c r="N46" s="136">
        <f>SUMIF(Abril!$B$3:$B$98,A46,Abril!$S$3:$S$98)+SUMIF(Abril!$C$3:$C$98,A46,Abril!$S$3:$S$98)</f>
        <v>0</v>
      </c>
    </row>
    <row r="47" spans="1:14" ht="15" x14ac:dyDescent="0.25">
      <c r="A47" s="276">
        <v>20245</v>
      </c>
      <c r="B47" s="277">
        <v>42844</v>
      </c>
      <c r="C47" s="278" t="s">
        <v>251</v>
      </c>
      <c r="D47" s="278" t="s">
        <v>172</v>
      </c>
      <c r="E47" s="278" t="s">
        <v>375</v>
      </c>
      <c r="F47" s="278" t="s">
        <v>178</v>
      </c>
      <c r="G47" s="278" t="s">
        <v>905</v>
      </c>
      <c r="H47" s="278" t="s">
        <v>175</v>
      </c>
      <c r="I47" s="279"/>
      <c r="J47" s="279">
        <v>-195</v>
      </c>
      <c r="K47" s="278">
        <v>83568</v>
      </c>
      <c r="L47" s="210">
        <f>I47+J47*EERR!$D$2</f>
        <v>-127869.3</v>
      </c>
      <c r="M47" s="136">
        <f>L47/EERR!$D$2</f>
        <v>-195</v>
      </c>
      <c r="N47" s="136">
        <f>SUMIF(Abril!$B$3:$B$98,A47,Abril!$S$3:$S$98)+SUMIF(Abril!$C$3:$C$98,A47,Abril!$S$3:$S$98)</f>
        <v>0</v>
      </c>
    </row>
    <row r="48" spans="1:14" ht="15" x14ac:dyDescent="0.25">
      <c r="A48" s="276">
        <v>61929</v>
      </c>
      <c r="B48" s="277">
        <v>42844.839583333334</v>
      </c>
      <c r="C48" s="278">
        <v>30975278</v>
      </c>
      <c r="D48" s="278" t="s">
        <v>172</v>
      </c>
      <c r="E48" s="278" t="s">
        <v>173</v>
      </c>
      <c r="F48" s="278" t="s">
        <v>177</v>
      </c>
      <c r="G48" s="278" t="s">
        <v>906</v>
      </c>
      <c r="H48" s="278" t="s">
        <v>175</v>
      </c>
      <c r="I48" s="279"/>
      <c r="J48" s="279">
        <v>176</v>
      </c>
      <c r="K48" s="278" t="s">
        <v>907</v>
      </c>
      <c r="L48" s="210">
        <f>I48+J48*EERR!$D$2</f>
        <v>115410.24000000001</v>
      </c>
      <c r="M48" s="136">
        <f>L48/EERR!$D$2</f>
        <v>176</v>
      </c>
      <c r="N48" s="136">
        <f>SUMIF(Abril!$B$3:$B$98,A48,Abril!$S$3:$S$98)+SUMIF(Abril!$C$3:$C$98,A48,Abril!$S$3:$S$98)</f>
        <v>0</v>
      </c>
    </row>
    <row r="49" spans="1:14" ht="15" x14ac:dyDescent="0.25">
      <c r="A49" s="276">
        <v>40722</v>
      </c>
      <c r="B49" s="277">
        <v>42844.841666666667</v>
      </c>
      <c r="C49" s="278">
        <v>30975278</v>
      </c>
      <c r="D49" s="278" t="s">
        <v>172</v>
      </c>
      <c r="E49" s="278" t="s">
        <v>173</v>
      </c>
      <c r="F49" s="278" t="s">
        <v>174</v>
      </c>
      <c r="G49" s="278" t="s">
        <v>908</v>
      </c>
      <c r="H49" s="278" t="s">
        <v>175</v>
      </c>
      <c r="I49" s="279"/>
      <c r="J49" s="279">
        <v>195</v>
      </c>
      <c r="K49" s="278">
        <v>43</v>
      </c>
      <c r="L49" s="210">
        <f>I49+J49*EERR!$D$2</f>
        <v>127869.3</v>
      </c>
      <c r="M49" s="136">
        <f>L49/EERR!$D$2</f>
        <v>195</v>
      </c>
      <c r="N49" s="136">
        <f>SUMIF(Abril!$B$3:$B$98,A49,Abril!$S$3:$S$98)+SUMIF(Abril!$C$3:$C$98,A49,Abril!$S$3:$S$98)</f>
        <v>0</v>
      </c>
    </row>
    <row r="50" spans="1:14" ht="15" x14ac:dyDescent="0.25">
      <c r="A50" s="276">
        <v>36390</v>
      </c>
      <c r="B50" s="277">
        <v>42844.842361111114</v>
      </c>
      <c r="C50" s="278">
        <v>30975278</v>
      </c>
      <c r="D50" s="278" t="s">
        <v>172</v>
      </c>
      <c r="E50" s="278" t="s">
        <v>173</v>
      </c>
      <c r="F50" s="278" t="s">
        <v>178</v>
      </c>
      <c r="G50" s="278" t="s">
        <v>909</v>
      </c>
      <c r="H50" s="278" t="s">
        <v>175</v>
      </c>
      <c r="I50" s="279"/>
      <c r="J50" s="279">
        <v>195</v>
      </c>
      <c r="K50" s="278" t="s">
        <v>910</v>
      </c>
      <c r="L50" s="210">
        <f>I50+J50*EERR!$D$2</f>
        <v>127869.3</v>
      </c>
      <c r="M50" s="136">
        <f>L50/EERR!$D$2</f>
        <v>195</v>
      </c>
      <c r="N50" s="136">
        <f>SUMIF(Abril!$B$3:$B$98,A50,Abril!$S$3:$S$98)+SUMIF(Abril!$C$3:$C$98,A50,Abril!$S$3:$S$98)</f>
        <v>0</v>
      </c>
    </row>
    <row r="51" spans="1:14" ht="15" x14ac:dyDescent="0.25">
      <c r="A51" s="276">
        <v>56196</v>
      </c>
      <c r="B51" s="277">
        <v>42844.843055555553</v>
      </c>
      <c r="C51" s="278">
        <v>30975278</v>
      </c>
      <c r="D51" s="278" t="s">
        <v>172</v>
      </c>
      <c r="E51" s="278" t="s">
        <v>173</v>
      </c>
      <c r="F51" s="278" t="s">
        <v>177</v>
      </c>
      <c r="G51" s="278" t="s">
        <v>911</v>
      </c>
      <c r="H51" s="278" t="s">
        <v>175</v>
      </c>
      <c r="I51" s="279"/>
      <c r="J51" s="279">
        <v>195</v>
      </c>
      <c r="K51" s="278">
        <v>444499</v>
      </c>
      <c r="L51" s="210">
        <f>I51+J51*EERR!$D$2</f>
        <v>127869.3</v>
      </c>
      <c r="M51" s="136">
        <f>L51/EERR!$D$2</f>
        <v>195</v>
      </c>
      <c r="N51" s="136">
        <f>SUMIF(Abril!$B$3:$B$98,A51,Abril!$S$3:$S$98)+SUMIF(Abril!$C$3:$C$98,A51,Abril!$S$3:$S$98)</f>
        <v>0</v>
      </c>
    </row>
    <row r="52" spans="1:14" ht="15" x14ac:dyDescent="0.25">
      <c r="A52" s="276">
        <v>56196</v>
      </c>
      <c r="B52" s="277">
        <v>42844</v>
      </c>
      <c r="C52" s="278" t="s">
        <v>251</v>
      </c>
      <c r="D52" s="278" t="s">
        <v>172</v>
      </c>
      <c r="E52" s="278" t="s">
        <v>375</v>
      </c>
      <c r="F52" s="278" t="s">
        <v>177</v>
      </c>
      <c r="G52" s="278" t="s">
        <v>911</v>
      </c>
      <c r="H52" s="278" t="s">
        <v>175</v>
      </c>
      <c r="I52" s="279"/>
      <c r="J52" s="279">
        <v>-195</v>
      </c>
      <c r="K52" s="278" t="s">
        <v>912</v>
      </c>
      <c r="L52" s="210">
        <f>I52+J52*EERR!$D$2</f>
        <v>-127869.3</v>
      </c>
      <c r="M52" s="136">
        <f>L52/EERR!$D$2</f>
        <v>-195</v>
      </c>
      <c r="N52" s="136">
        <f>SUMIF(Abril!$B$3:$B$98,A52,Abril!$S$3:$S$98)+SUMIF(Abril!$C$3:$C$98,A52,Abril!$S$3:$S$98)</f>
        <v>0</v>
      </c>
    </row>
    <row r="53" spans="1:14" ht="15" x14ac:dyDescent="0.25">
      <c r="A53" s="276">
        <v>56194</v>
      </c>
      <c r="B53" s="277">
        <v>42844.84375</v>
      </c>
      <c r="C53" s="278">
        <v>30975278</v>
      </c>
      <c r="D53" s="278" t="s">
        <v>172</v>
      </c>
      <c r="E53" s="278" t="s">
        <v>173</v>
      </c>
      <c r="F53" s="278" t="s">
        <v>177</v>
      </c>
      <c r="G53" s="278" t="s">
        <v>911</v>
      </c>
      <c r="H53" s="278" t="s">
        <v>175</v>
      </c>
      <c r="I53" s="279"/>
      <c r="J53" s="279">
        <v>195</v>
      </c>
      <c r="K53" s="278">
        <v>560551</v>
      </c>
      <c r="L53" s="210">
        <f>I53+J53*EERR!$D$2</f>
        <v>127869.3</v>
      </c>
      <c r="M53" s="136">
        <f>L53/EERR!$D$2</f>
        <v>195</v>
      </c>
      <c r="N53" s="136">
        <f>SUMIF(Abril!$B$3:$B$98,A53,Abril!$S$3:$S$98)+SUMIF(Abril!$C$3:$C$98,A53,Abril!$S$3:$S$98)</f>
        <v>0</v>
      </c>
    </row>
    <row r="54" spans="1:14" ht="15" x14ac:dyDescent="0.25">
      <c r="A54" s="276">
        <v>56194</v>
      </c>
      <c r="B54" s="277">
        <v>42844</v>
      </c>
      <c r="C54" s="278" t="s">
        <v>251</v>
      </c>
      <c r="D54" s="278" t="s">
        <v>172</v>
      </c>
      <c r="E54" s="278" t="s">
        <v>375</v>
      </c>
      <c r="F54" s="278" t="s">
        <v>177</v>
      </c>
      <c r="G54" s="278" t="s">
        <v>911</v>
      </c>
      <c r="H54" s="278" t="s">
        <v>175</v>
      </c>
      <c r="I54" s="279"/>
      <c r="J54" s="279">
        <v>-195</v>
      </c>
      <c r="K54" s="278" t="s">
        <v>913</v>
      </c>
      <c r="L54" s="210">
        <f>I54+J54*EERR!$D$2</f>
        <v>-127869.3</v>
      </c>
      <c r="M54" s="136">
        <f>L54/EERR!$D$2</f>
        <v>-195</v>
      </c>
      <c r="N54" s="136">
        <f>SUMIF(Abril!$B$3:$B$98,A54,Abril!$S$3:$S$98)+SUMIF(Abril!$C$3:$C$98,A54,Abril!$S$3:$S$98)</f>
        <v>0</v>
      </c>
    </row>
    <row r="55" spans="1:14" ht="15" x14ac:dyDescent="0.25">
      <c r="A55" s="276">
        <v>53879</v>
      </c>
      <c r="B55" s="277">
        <v>42844.844444444447</v>
      </c>
      <c r="C55" s="278">
        <v>30975278</v>
      </c>
      <c r="D55" s="278" t="s">
        <v>172</v>
      </c>
      <c r="E55" s="278" t="s">
        <v>173</v>
      </c>
      <c r="F55" s="278" t="s">
        <v>178</v>
      </c>
      <c r="G55" s="278" t="s">
        <v>914</v>
      </c>
      <c r="H55" s="278" t="s">
        <v>175</v>
      </c>
      <c r="I55" s="279"/>
      <c r="J55" s="279">
        <v>176</v>
      </c>
      <c r="K55" s="278">
        <v>18275</v>
      </c>
      <c r="L55" s="210">
        <f>I55+J55*EERR!$D$2</f>
        <v>115410.24000000001</v>
      </c>
      <c r="M55" s="136">
        <f>L55/EERR!$D$2</f>
        <v>176</v>
      </c>
      <c r="N55" s="136">
        <f>SUMIF(Abril!$B$3:$B$98,A55,Abril!$S$3:$S$98)+SUMIF(Abril!$C$3:$C$98,A55,Abril!$S$3:$S$98)</f>
        <v>0</v>
      </c>
    </row>
    <row r="56" spans="1:14" ht="15" x14ac:dyDescent="0.25">
      <c r="A56" s="276">
        <v>58192</v>
      </c>
      <c r="B56" s="277">
        <v>42844.84652777778</v>
      </c>
      <c r="C56" s="278">
        <v>30975278</v>
      </c>
      <c r="D56" s="278" t="s">
        <v>172</v>
      </c>
      <c r="E56" s="278" t="s">
        <v>173</v>
      </c>
      <c r="F56" s="278" t="s">
        <v>177</v>
      </c>
      <c r="G56" s="278" t="s">
        <v>915</v>
      </c>
      <c r="H56" s="278" t="s">
        <v>175</v>
      </c>
      <c r="I56" s="279"/>
      <c r="J56" s="279">
        <v>176</v>
      </c>
      <c r="K56" s="278">
        <v>48024</v>
      </c>
      <c r="L56" s="210">
        <f>I56+J56*EERR!$D$2</f>
        <v>115410.24000000001</v>
      </c>
      <c r="M56" s="136">
        <f>L56/EERR!$D$2</f>
        <v>176</v>
      </c>
      <c r="N56" s="136">
        <f>SUMIF(Abril!$B$3:$B$98,A56,Abril!$S$3:$S$98)+SUMIF(Abril!$C$3:$C$98,A56,Abril!$S$3:$S$98)</f>
        <v>0</v>
      </c>
    </row>
    <row r="57" spans="1:14" ht="15" x14ac:dyDescent="0.25">
      <c r="A57" s="276">
        <v>42648</v>
      </c>
      <c r="B57" s="277">
        <v>42844.847222222219</v>
      </c>
      <c r="C57" s="278">
        <v>30975278</v>
      </c>
      <c r="D57" s="278" t="s">
        <v>172</v>
      </c>
      <c r="E57" s="278" t="s">
        <v>173</v>
      </c>
      <c r="F57" s="278" t="s">
        <v>379</v>
      </c>
      <c r="G57" s="278" t="s">
        <v>916</v>
      </c>
      <c r="H57" s="278" t="s">
        <v>175</v>
      </c>
      <c r="I57" s="279"/>
      <c r="J57" s="279">
        <v>195</v>
      </c>
      <c r="K57" s="278">
        <v>528</v>
      </c>
      <c r="L57" s="210">
        <f>I57+J57*EERR!$D$2</f>
        <v>127869.3</v>
      </c>
      <c r="M57" s="136">
        <f>L57/EERR!$D$2</f>
        <v>195</v>
      </c>
      <c r="N57" s="136">
        <f>SUMIF(Abril!$B$3:$B$98,A57,Abril!$S$3:$S$98)+SUMIF(Abril!$C$3:$C$98,A57,Abril!$S$3:$S$98)</f>
        <v>0</v>
      </c>
    </row>
    <row r="58" spans="1:14" ht="15" x14ac:dyDescent="0.25">
      <c r="A58" s="276">
        <v>98032</v>
      </c>
      <c r="B58" s="277">
        <v>42844.847916666666</v>
      </c>
      <c r="C58" s="278">
        <v>30975278</v>
      </c>
      <c r="D58" s="278" t="s">
        <v>172</v>
      </c>
      <c r="E58" s="278" t="s">
        <v>173</v>
      </c>
      <c r="F58" s="278" t="s">
        <v>174</v>
      </c>
      <c r="G58" s="278" t="s">
        <v>917</v>
      </c>
      <c r="H58" s="278" t="s">
        <v>175</v>
      </c>
      <c r="I58" s="279"/>
      <c r="J58" s="279">
        <v>195</v>
      </c>
      <c r="K58" s="278">
        <v>81</v>
      </c>
      <c r="L58" s="210">
        <f>I58+J58*EERR!$D$2</f>
        <v>127869.3</v>
      </c>
      <c r="M58" s="136">
        <f>L58/EERR!$D$2</f>
        <v>195</v>
      </c>
      <c r="N58" s="136">
        <f>SUMIF(Abril!$B$3:$B$98,A58,Abril!$S$3:$S$98)+SUMIF(Abril!$C$3:$C$98,A58,Abril!$S$3:$S$98)</f>
        <v>0</v>
      </c>
    </row>
    <row r="59" spans="1:14" ht="15" x14ac:dyDescent="0.25">
      <c r="A59" s="276">
        <v>76343</v>
      </c>
      <c r="B59" s="277">
        <v>42844.848611111112</v>
      </c>
      <c r="C59" s="278">
        <v>30975278</v>
      </c>
      <c r="D59" s="278" t="s">
        <v>172</v>
      </c>
      <c r="E59" s="278" t="s">
        <v>173</v>
      </c>
      <c r="F59" s="278" t="s">
        <v>178</v>
      </c>
      <c r="G59" s="278" t="s">
        <v>918</v>
      </c>
      <c r="H59" s="278" t="s">
        <v>175</v>
      </c>
      <c r="I59" s="279"/>
      <c r="J59" s="279">
        <v>176</v>
      </c>
      <c r="K59" s="278">
        <v>634007</v>
      </c>
      <c r="L59" s="210">
        <f>I59+J59*EERR!$D$2</f>
        <v>115410.24000000001</v>
      </c>
      <c r="M59" s="136">
        <f>L59/EERR!$D$2</f>
        <v>176</v>
      </c>
      <c r="N59" s="136">
        <f>SUMIF(Abril!$B$3:$B$98,A59,Abril!$S$3:$S$98)+SUMIF(Abril!$C$3:$C$98,A59,Abril!$S$3:$S$98)</f>
        <v>0</v>
      </c>
    </row>
    <row r="60" spans="1:14" ht="15" x14ac:dyDescent="0.25">
      <c r="A60" s="276">
        <v>85468</v>
      </c>
      <c r="B60" s="277">
        <v>42844.849305555559</v>
      </c>
      <c r="C60" s="278">
        <v>30975278</v>
      </c>
      <c r="D60" s="278" t="s">
        <v>172</v>
      </c>
      <c r="E60" s="278" t="s">
        <v>173</v>
      </c>
      <c r="F60" s="278" t="s">
        <v>178</v>
      </c>
      <c r="G60" s="278" t="s">
        <v>919</v>
      </c>
      <c r="H60" s="278" t="s">
        <v>175</v>
      </c>
      <c r="I60" s="279"/>
      <c r="J60" s="279">
        <v>195</v>
      </c>
      <c r="K60" s="278">
        <v>89260</v>
      </c>
      <c r="L60" s="210">
        <f>I60+J60*EERR!$D$2</f>
        <v>127869.3</v>
      </c>
      <c r="M60" s="136">
        <f>L60/EERR!$D$2</f>
        <v>195</v>
      </c>
      <c r="N60" s="136">
        <f>SUMIF(Abril!$B$3:$B$98,A60,Abril!$S$3:$S$98)+SUMIF(Abril!$C$3:$C$98,A60,Abril!$S$3:$S$98)</f>
        <v>0</v>
      </c>
    </row>
    <row r="61" spans="1:14" ht="15" x14ac:dyDescent="0.25">
      <c r="A61" s="276">
        <v>83833</v>
      </c>
      <c r="B61" s="277">
        <v>42844.85</v>
      </c>
      <c r="C61" s="278">
        <v>30975278</v>
      </c>
      <c r="D61" s="278" t="s">
        <v>172</v>
      </c>
      <c r="E61" s="278" t="s">
        <v>173</v>
      </c>
      <c r="F61" s="278" t="s">
        <v>177</v>
      </c>
      <c r="G61" s="278" t="s">
        <v>920</v>
      </c>
      <c r="H61" s="278" t="s">
        <v>175</v>
      </c>
      <c r="I61" s="279"/>
      <c r="J61" s="279">
        <v>195</v>
      </c>
      <c r="K61" s="278">
        <v>37369</v>
      </c>
      <c r="L61" s="210">
        <f>I61+J61*EERR!$D$2</f>
        <v>127869.3</v>
      </c>
      <c r="M61" s="136">
        <f>L61/EERR!$D$2</f>
        <v>195</v>
      </c>
      <c r="N61" s="136">
        <f>SUMIF(Abril!$B$3:$B$98,A61,Abril!$S$3:$S$98)+SUMIF(Abril!$C$3:$C$98,A61,Abril!$S$3:$S$98)</f>
        <v>0</v>
      </c>
    </row>
    <row r="62" spans="1:14" ht="15" x14ac:dyDescent="0.25">
      <c r="A62" s="276">
        <v>40016</v>
      </c>
      <c r="B62" s="277">
        <v>42844.850694444445</v>
      </c>
      <c r="C62" s="278">
        <v>30975278</v>
      </c>
      <c r="D62" s="278" t="s">
        <v>172</v>
      </c>
      <c r="E62" s="278" t="s">
        <v>173</v>
      </c>
      <c r="F62" s="278" t="s">
        <v>177</v>
      </c>
      <c r="G62" s="278" t="s">
        <v>921</v>
      </c>
      <c r="H62" s="278" t="s">
        <v>175</v>
      </c>
      <c r="I62" s="279"/>
      <c r="J62" s="279">
        <v>176</v>
      </c>
      <c r="K62" s="278">
        <v>53287</v>
      </c>
      <c r="L62" s="210">
        <f>I62+J62*EERR!$D$2</f>
        <v>115410.24000000001</v>
      </c>
      <c r="M62" s="136">
        <f>L62/EERR!$D$2</f>
        <v>176</v>
      </c>
      <c r="N62" s="136">
        <f>SUMIF(Abril!$B$3:$B$98,A62,Abril!$S$3:$S$98)+SUMIF(Abril!$C$3:$C$98,A62,Abril!$S$3:$S$98)</f>
        <v>0</v>
      </c>
    </row>
    <row r="63" spans="1:14" ht="15" x14ac:dyDescent="0.25">
      <c r="A63" s="276">
        <v>40104</v>
      </c>
      <c r="B63" s="277">
        <v>42844.851388888892</v>
      </c>
      <c r="C63" s="278">
        <v>30975278</v>
      </c>
      <c r="D63" s="278" t="s">
        <v>172</v>
      </c>
      <c r="E63" s="278" t="s">
        <v>173</v>
      </c>
      <c r="F63" s="278" t="s">
        <v>177</v>
      </c>
      <c r="G63" s="278" t="s">
        <v>922</v>
      </c>
      <c r="H63" s="278" t="s">
        <v>175</v>
      </c>
      <c r="I63" s="279"/>
      <c r="J63" s="279">
        <v>371</v>
      </c>
      <c r="K63" s="278">
        <v>31999</v>
      </c>
      <c r="L63" s="210">
        <f>I63+J63*EERR!$D$2</f>
        <v>243279.54</v>
      </c>
      <c r="M63" s="136">
        <f>L63/EERR!$D$2</f>
        <v>371</v>
      </c>
      <c r="N63" s="136">
        <f>SUMIF(Abril!$B$3:$B$98,A63,Abril!$S$3:$S$98)+SUMIF(Abril!$C$3:$C$98,A63,Abril!$S$3:$S$98)</f>
        <v>0</v>
      </c>
    </row>
    <row r="64" spans="1:14" ht="15" x14ac:dyDescent="0.25">
      <c r="A64" s="276">
        <v>64423</v>
      </c>
      <c r="B64" s="277">
        <v>42844.853472222225</v>
      </c>
      <c r="C64" s="278">
        <v>30905830</v>
      </c>
      <c r="D64" s="278" t="s">
        <v>172</v>
      </c>
      <c r="E64" s="278" t="s">
        <v>176</v>
      </c>
      <c r="F64" s="278" t="s">
        <v>178</v>
      </c>
      <c r="G64" s="278" t="s">
        <v>923</v>
      </c>
      <c r="H64" s="278" t="s">
        <v>176</v>
      </c>
      <c r="I64" s="279">
        <v>150136</v>
      </c>
      <c r="J64" s="279"/>
      <c r="K64" s="278">
        <v>11085</v>
      </c>
      <c r="L64" s="210">
        <f>I64+J64*EERR!$D$2</f>
        <v>150136</v>
      </c>
      <c r="M64" s="136">
        <f>L64/EERR!$D$2</f>
        <v>228.95659865190473</v>
      </c>
      <c r="N64" s="136">
        <f>SUMIF(Abril!$B$3:$B$98,A64,Abril!$S$3:$S$98)+SUMIF(Abril!$C$3:$C$98,A64,Abril!$S$3:$S$98)</f>
        <v>0</v>
      </c>
    </row>
    <row r="65" spans="1:14" ht="15" x14ac:dyDescent="0.25">
      <c r="A65" s="276">
        <v>64423</v>
      </c>
      <c r="B65" s="277">
        <v>42844.853472222225</v>
      </c>
      <c r="C65" s="278">
        <v>30905830</v>
      </c>
      <c r="D65" s="278" t="s">
        <v>172</v>
      </c>
      <c r="E65" s="278" t="s">
        <v>378</v>
      </c>
      <c r="F65" s="278" t="s">
        <v>178</v>
      </c>
      <c r="G65" s="278" t="s">
        <v>923</v>
      </c>
      <c r="H65" s="278" t="s">
        <v>176</v>
      </c>
      <c r="I65" s="279">
        <v>-150136</v>
      </c>
      <c r="J65" s="279"/>
      <c r="K65" s="278">
        <v>11085</v>
      </c>
      <c r="L65" s="210">
        <f>I65+J65*EERR!$D$2</f>
        <v>-150136</v>
      </c>
      <c r="M65" s="136">
        <f>L65/EERR!$D$2</f>
        <v>-228.95659865190473</v>
      </c>
      <c r="N65" s="136">
        <f>SUMIF(Abril!$B$3:$B$98,A65,Abril!$S$3:$S$98)+SUMIF(Abril!$C$3:$C$98,A65,Abril!$S$3:$S$98)</f>
        <v>0</v>
      </c>
    </row>
    <row r="66" spans="1:14" ht="15" x14ac:dyDescent="0.25">
      <c r="A66" s="276">
        <v>40104</v>
      </c>
      <c r="B66" s="277">
        <v>42844.855555555558</v>
      </c>
      <c r="C66" s="278">
        <v>30975278</v>
      </c>
      <c r="D66" s="278" t="s">
        <v>172</v>
      </c>
      <c r="E66" s="278" t="s">
        <v>173</v>
      </c>
      <c r="F66" s="278" t="s">
        <v>177</v>
      </c>
      <c r="G66" s="278" t="s">
        <v>922</v>
      </c>
      <c r="H66" s="278" t="s">
        <v>175</v>
      </c>
      <c r="I66" s="279"/>
      <c r="J66" s="279">
        <v>371</v>
      </c>
      <c r="K66" s="278">
        <v>42756</v>
      </c>
      <c r="L66" s="210">
        <f>I66+J66*EERR!$D$2</f>
        <v>243279.54</v>
      </c>
      <c r="M66" s="136">
        <f>L66/EERR!$D$2</f>
        <v>371</v>
      </c>
      <c r="N66" s="136">
        <f>SUMIF(Abril!$B$3:$B$98,A66,Abril!$S$3:$S$98)+SUMIF(Abril!$C$3:$C$98,A66,Abril!$S$3:$S$98)</f>
        <v>0</v>
      </c>
    </row>
    <row r="67" spans="1:14" ht="15" x14ac:dyDescent="0.25">
      <c r="A67" s="276">
        <v>3249</v>
      </c>
      <c r="B67" s="277">
        <v>42844.861111111109</v>
      </c>
      <c r="C67" s="278">
        <v>30905830</v>
      </c>
      <c r="D67" s="278" t="s">
        <v>172</v>
      </c>
      <c r="E67" s="278" t="s">
        <v>176</v>
      </c>
      <c r="F67" s="278" t="s">
        <v>177</v>
      </c>
      <c r="G67" s="278" t="s">
        <v>924</v>
      </c>
      <c r="H67" s="278" t="s">
        <v>176</v>
      </c>
      <c r="I67" s="279">
        <v>169385</v>
      </c>
      <c r="J67" s="279"/>
      <c r="K67" s="278">
        <v>300867</v>
      </c>
      <c r="L67" s="210">
        <f>I67+J67*EERR!$D$2</f>
        <v>169385</v>
      </c>
      <c r="M67" s="136">
        <f>L67/EERR!$D$2</f>
        <v>258.31122091072683</v>
      </c>
      <c r="N67" s="136">
        <f>SUMIF(Abril!$B$3:$B$98,A67,Abril!$S$3:$S$98)+SUMIF(Abril!$C$3:$C$98,A67,Abril!$S$3:$S$98)</f>
        <v>338770</v>
      </c>
    </row>
    <row r="68" spans="1:14" ht="15" x14ac:dyDescent="0.25">
      <c r="A68" s="276">
        <v>89213</v>
      </c>
      <c r="B68" s="277">
        <v>42844.865972222222</v>
      </c>
      <c r="C68" s="278">
        <v>30975278</v>
      </c>
      <c r="D68" s="278" t="s">
        <v>172</v>
      </c>
      <c r="E68" s="278" t="s">
        <v>173</v>
      </c>
      <c r="F68" s="278" t="s">
        <v>178</v>
      </c>
      <c r="G68" s="278" t="s">
        <v>925</v>
      </c>
      <c r="H68" s="278" t="s">
        <v>175</v>
      </c>
      <c r="I68" s="279"/>
      <c r="J68" s="279">
        <v>220</v>
      </c>
      <c r="K68" s="278">
        <v>691930</v>
      </c>
      <c r="L68" s="210">
        <f>I68+J68*EERR!$D$2</f>
        <v>144262.79999999999</v>
      </c>
      <c r="M68" s="136">
        <f>L68/EERR!$D$2</f>
        <v>219.99999999999997</v>
      </c>
      <c r="N68" s="136">
        <f>SUMIF(Abril!$B$3:$B$98,A68,Abril!$S$3:$S$98)+SUMIF(Abril!$C$3:$C$98,A68,Abril!$S$3:$S$98)</f>
        <v>0</v>
      </c>
    </row>
    <row r="69" spans="1:14" ht="15" x14ac:dyDescent="0.25">
      <c r="A69" s="276">
        <v>79312</v>
      </c>
      <c r="B69" s="277">
        <v>42844.867361111108</v>
      </c>
      <c r="C69" s="278">
        <v>30905830</v>
      </c>
      <c r="D69" s="278" t="s">
        <v>172</v>
      </c>
      <c r="E69" s="278" t="s">
        <v>176</v>
      </c>
      <c r="F69" s="278" t="s">
        <v>177</v>
      </c>
      <c r="G69" s="278" t="s">
        <v>926</v>
      </c>
      <c r="H69" s="278" t="s">
        <v>176</v>
      </c>
      <c r="I69" s="279">
        <v>169358</v>
      </c>
      <c r="J69" s="279"/>
      <c r="K69" s="278">
        <v>593263</v>
      </c>
      <c r="L69" s="210">
        <f>I69+J69*EERR!$D$2</f>
        <v>169358</v>
      </c>
      <c r="M69" s="136">
        <f>L69/EERR!$D$2</f>
        <v>258.27004605483882</v>
      </c>
      <c r="N69" s="136">
        <f>SUMIF(Abril!$B$3:$B$98,A69,Abril!$S$3:$S$98)+SUMIF(Abril!$C$3:$C$98,A69,Abril!$S$3:$S$98)</f>
        <v>169358</v>
      </c>
    </row>
    <row r="70" spans="1:14" ht="15" x14ac:dyDescent="0.25">
      <c r="A70" s="276">
        <v>9730</v>
      </c>
      <c r="B70" s="277">
        <v>42844.868750000001</v>
      </c>
      <c r="C70" s="278">
        <v>30975278</v>
      </c>
      <c r="D70" s="278" t="s">
        <v>172</v>
      </c>
      <c r="E70" s="278" t="s">
        <v>173</v>
      </c>
      <c r="F70" s="278" t="s">
        <v>177</v>
      </c>
      <c r="G70" s="278" t="s">
        <v>927</v>
      </c>
      <c r="H70" s="278" t="s">
        <v>175</v>
      </c>
      <c r="I70" s="279"/>
      <c r="J70" s="279">
        <v>195</v>
      </c>
      <c r="K70" s="278">
        <v>6796</v>
      </c>
      <c r="L70" s="210">
        <f>I70+J70*EERR!$D$2</f>
        <v>127869.3</v>
      </c>
      <c r="M70" s="136">
        <f>L70/EERR!$D$2</f>
        <v>195</v>
      </c>
      <c r="N70" s="136">
        <f>SUMIF(Abril!$B$3:$B$98,A70,Abril!$S$3:$S$98)+SUMIF(Abril!$C$3:$C$98,A70,Abril!$S$3:$S$98)</f>
        <v>0</v>
      </c>
    </row>
    <row r="71" spans="1:14" ht="15" x14ac:dyDescent="0.25">
      <c r="A71" s="276">
        <v>64925</v>
      </c>
      <c r="B71" s="277">
        <v>42844.868750000001</v>
      </c>
      <c r="C71" s="278">
        <v>30905830</v>
      </c>
      <c r="D71" s="278" t="s">
        <v>172</v>
      </c>
      <c r="E71" s="278" t="s">
        <v>176</v>
      </c>
      <c r="F71" s="278" t="s">
        <v>177</v>
      </c>
      <c r="G71" s="278" t="s">
        <v>928</v>
      </c>
      <c r="H71" s="278" t="s">
        <v>176</v>
      </c>
      <c r="I71" s="279">
        <v>169385</v>
      </c>
      <c r="J71" s="279"/>
      <c r="K71" s="278">
        <v>607111</v>
      </c>
      <c r="L71" s="210">
        <f>I71+J71*EERR!$D$2</f>
        <v>169385</v>
      </c>
      <c r="M71" s="136">
        <f>L71/EERR!$D$2</f>
        <v>258.31122091072683</v>
      </c>
      <c r="N71" s="136">
        <f>SUMIF(Abril!$B$3:$B$98,A71,Abril!$S$3:$S$98)+SUMIF(Abril!$C$3:$C$98,A71,Abril!$S$3:$S$98)</f>
        <v>508155</v>
      </c>
    </row>
    <row r="72" spans="1:14" ht="15" x14ac:dyDescent="0.25">
      <c r="A72" s="276">
        <v>89279</v>
      </c>
      <c r="B72" s="277">
        <v>42844.870138888888</v>
      </c>
      <c r="C72" s="278">
        <v>30975278</v>
      </c>
      <c r="D72" s="278" t="s">
        <v>172</v>
      </c>
      <c r="E72" s="278" t="s">
        <v>173</v>
      </c>
      <c r="F72" s="278" t="s">
        <v>178</v>
      </c>
      <c r="G72" s="278" t="s">
        <v>929</v>
      </c>
      <c r="H72" s="278" t="s">
        <v>175</v>
      </c>
      <c r="I72" s="279"/>
      <c r="J72" s="279">
        <v>195</v>
      </c>
      <c r="K72" s="278">
        <v>32389</v>
      </c>
      <c r="L72" s="210">
        <f>I72+J72*EERR!$D$2</f>
        <v>127869.3</v>
      </c>
      <c r="M72" s="136">
        <f>L72/EERR!$D$2</f>
        <v>195</v>
      </c>
      <c r="N72" s="136">
        <f>SUMIF(Abril!$B$3:$B$98,A72,Abril!$S$3:$S$98)+SUMIF(Abril!$C$3:$C$98,A72,Abril!$S$3:$S$98)</f>
        <v>0</v>
      </c>
    </row>
    <row r="73" spans="1:14" ht="15" x14ac:dyDescent="0.25">
      <c r="A73" s="276">
        <v>6287</v>
      </c>
      <c r="B73" s="277">
        <v>42844.870833333334</v>
      </c>
      <c r="C73" s="278">
        <v>30975278</v>
      </c>
      <c r="D73" s="278" t="s">
        <v>172</v>
      </c>
      <c r="E73" s="278" t="s">
        <v>173</v>
      </c>
      <c r="F73" s="278" t="s">
        <v>178</v>
      </c>
      <c r="G73" s="278" t="s">
        <v>930</v>
      </c>
      <c r="H73" s="278" t="s">
        <v>175</v>
      </c>
      <c r="I73" s="279"/>
      <c r="J73" s="279">
        <v>196</v>
      </c>
      <c r="K73" s="278">
        <v>65761</v>
      </c>
      <c r="L73" s="210">
        <f>I73+J73*EERR!$D$2</f>
        <v>128525.04000000001</v>
      </c>
      <c r="M73" s="136">
        <f>L73/EERR!$D$2</f>
        <v>196</v>
      </c>
      <c r="N73" s="136">
        <f>SUMIF(Abril!$B$3:$B$98,A73,Abril!$S$3:$S$98)+SUMIF(Abril!$C$3:$C$98,A73,Abril!$S$3:$S$98)</f>
        <v>0</v>
      </c>
    </row>
    <row r="74" spans="1:14" ht="15" x14ac:dyDescent="0.25">
      <c r="A74" s="276">
        <v>43386</v>
      </c>
      <c r="B74" s="277">
        <v>42844.871527777781</v>
      </c>
      <c r="C74" s="278">
        <v>30975278</v>
      </c>
      <c r="D74" s="278" t="s">
        <v>172</v>
      </c>
      <c r="E74" s="278" t="s">
        <v>173</v>
      </c>
      <c r="F74" s="278" t="s">
        <v>177</v>
      </c>
      <c r="G74" s="278" t="s">
        <v>931</v>
      </c>
      <c r="H74" s="278" t="s">
        <v>175</v>
      </c>
      <c r="I74" s="279"/>
      <c r="J74" s="279">
        <v>176</v>
      </c>
      <c r="K74" s="278">
        <v>93582</v>
      </c>
      <c r="L74" s="210">
        <f>I74+J74*EERR!$D$2</f>
        <v>115410.24000000001</v>
      </c>
      <c r="M74" s="136">
        <f>L74/EERR!$D$2</f>
        <v>176</v>
      </c>
      <c r="N74" s="136">
        <f>SUMIF(Abril!$B$3:$B$98,A74,Abril!$S$3:$S$98)+SUMIF(Abril!$C$3:$C$98,A74,Abril!$S$3:$S$98)</f>
        <v>0</v>
      </c>
    </row>
    <row r="75" spans="1:14" ht="15" x14ac:dyDescent="0.25">
      <c r="A75" s="302">
        <v>16136</v>
      </c>
      <c r="B75" s="280">
        <v>42844.871527777781</v>
      </c>
      <c r="C75" s="278">
        <v>30975278</v>
      </c>
      <c r="D75" s="278" t="s">
        <v>172</v>
      </c>
      <c r="E75" s="278" t="s">
        <v>173</v>
      </c>
      <c r="F75" s="278" t="s">
        <v>178</v>
      </c>
      <c r="G75" s="278" t="s">
        <v>932</v>
      </c>
      <c r="H75" s="278" t="s">
        <v>175</v>
      </c>
      <c r="I75" s="279"/>
      <c r="J75" s="279">
        <v>195</v>
      </c>
      <c r="K75" s="278">
        <v>664831</v>
      </c>
      <c r="L75" s="210">
        <f>I75+J75*EERR!$D$2</f>
        <v>127869.3</v>
      </c>
      <c r="M75" s="136">
        <f>L75/EERR!$D$2</f>
        <v>195</v>
      </c>
      <c r="N75" s="136">
        <f>SUMIF(Abril!$B$3:$B$98,A75,Abril!$S$3:$S$98)+SUMIF(Abril!$C$3:$C$98,A75,Abril!$S$3:$S$98)</f>
        <v>0</v>
      </c>
    </row>
    <row r="76" spans="1:14" ht="15" x14ac:dyDescent="0.25">
      <c r="A76" s="276">
        <v>8685</v>
      </c>
      <c r="B76" s="277">
        <v>42844.872916666667</v>
      </c>
      <c r="C76" s="278">
        <v>30975278</v>
      </c>
      <c r="D76" s="278" t="s">
        <v>172</v>
      </c>
      <c r="E76" s="278" t="s">
        <v>173</v>
      </c>
      <c r="F76" s="278" t="s">
        <v>178</v>
      </c>
      <c r="G76" s="278" t="s">
        <v>933</v>
      </c>
      <c r="H76" s="278" t="s">
        <v>175</v>
      </c>
      <c r="I76" s="279"/>
      <c r="J76" s="279">
        <v>390</v>
      </c>
      <c r="K76" s="278">
        <v>692364</v>
      </c>
      <c r="L76" s="210">
        <f>I76+J76*EERR!$D$2</f>
        <v>255738.6</v>
      </c>
      <c r="M76" s="136">
        <f>L76/EERR!$D$2</f>
        <v>390</v>
      </c>
      <c r="N76" s="136">
        <f>SUMIF(Abril!$B$3:$B$98,A76,Abril!$S$3:$S$98)+SUMIF(Abril!$C$3:$C$98,A76,Abril!$S$3:$S$98)</f>
        <v>0</v>
      </c>
    </row>
    <row r="77" spans="1:14" ht="15" x14ac:dyDescent="0.25">
      <c r="A77" s="276">
        <v>65761</v>
      </c>
      <c r="B77" s="277">
        <v>42844.918749999997</v>
      </c>
      <c r="C77" s="278">
        <v>30975278</v>
      </c>
      <c r="D77" s="278" t="s">
        <v>172</v>
      </c>
      <c r="E77" s="278" t="s">
        <v>173</v>
      </c>
      <c r="F77" s="278" t="s">
        <v>177</v>
      </c>
      <c r="G77" s="278" t="s">
        <v>934</v>
      </c>
      <c r="H77" s="278" t="s">
        <v>175</v>
      </c>
      <c r="I77" s="279"/>
      <c r="J77" s="279">
        <v>185</v>
      </c>
      <c r="K77" s="278">
        <v>51075</v>
      </c>
      <c r="L77" s="210">
        <f>I77+J77*EERR!$D$2</f>
        <v>121311.90000000001</v>
      </c>
      <c r="M77" s="136">
        <f>L77/EERR!$D$2</f>
        <v>185</v>
      </c>
      <c r="N77" s="136">
        <f>SUMIF(Abril!$B$3:$B$98,A77,Abril!$S$3:$S$98)+SUMIF(Abril!$C$3:$C$98,A77,Abril!$S$3:$S$98)</f>
        <v>0</v>
      </c>
    </row>
    <row r="78" spans="1:14" ht="15" x14ac:dyDescent="0.25">
      <c r="A78" s="300">
        <v>68194</v>
      </c>
      <c r="B78" s="277">
        <v>42844.919444444444</v>
      </c>
      <c r="C78" s="278">
        <v>30975278</v>
      </c>
      <c r="D78" s="278" t="s">
        <v>172</v>
      </c>
      <c r="E78" s="278" t="s">
        <v>173</v>
      </c>
      <c r="F78" s="278" t="s">
        <v>178</v>
      </c>
      <c r="G78" s="278" t="s">
        <v>935</v>
      </c>
      <c r="H78" s="278" t="s">
        <v>175</v>
      </c>
      <c r="I78" s="279"/>
      <c r="J78" s="279">
        <v>195</v>
      </c>
      <c r="K78" s="278">
        <v>497247</v>
      </c>
      <c r="L78" s="210">
        <f>I78+J78*EERR!$D$2</f>
        <v>127869.3</v>
      </c>
      <c r="M78" s="136">
        <f>L78/EERR!$D$2</f>
        <v>195</v>
      </c>
      <c r="N78" s="136">
        <f>SUMIF(Abril!$B$3:$B$98,A78,Abril!$S$3:$S$98)+SUMIF(Abril!$C$3:$C$98,A78,Abril!$S$3:$S$98)</f>
        <v>0</v>
      </c>
    </row>
    <row r="79" spans="1:14" ht="15" x14ac:dyDescent="0.25">
      <c r="A79" s="276">
        <v>80115</v>
      </c>
      <c r="B79" s="277">
        <v>42844.919444444444</v>
      </c>
      <c r="C79" s="278">
        <v>30975278</v>
      </c>
      <c r="D79" s="278" t="s">
        <v>172</v>
      </c>
      <c r="E79" s="278" t="s">
        <v>173</v>
      </c>
      <c r="F79" s="278" t="s">
        <v>178</v>
      </c>
      <c r="G79" s="278" t="s">
        <v>936</v>
      </c>
      <c r="H79" s="278" t="s">
        <v>175</v>
      </c>
      <c r="I79" s="279"/>
      <c r="J79" s="279">
        <v>195</v>
      </c>
      <c r="K79" s="278" t="s">
        <v>937</v>
      </c>
      <c r="L79" s="210">
        <f>I79+J79*EERR!$D$2</f>
        <v>127869.3</v>
      </c>
      <c r="M79" s="136">
        <f>L79/EERR!$D$2</f>
        <v>195</v>
      </c>
      <c r="N79" s="136">
        <f>SUMIF(Abril!$B$3:$B$98,A79,Abril!$S$3:$S$98)+SUMIF(Abril!$C$3:$C$98,A79,Abril!$S$3:$S$98)</f>
        <v>0</v>
      </c>
    </row>
    <row r="80" spans="1:14" ht="15" x14ac:dyDescent="0.25">
      <c r="A80" s="276">
        <v>68000</v>
      </c>
      <c r="B80" s="277">
        <v>42844.92083333333</v>
      </c>
      <c r="C80" s="278">
        <v>30975278</v>
      </c>
      <c r="D80" s="278" t="s">
        <v>172</v>
      </c>
      <c r="E80" s="278" t="s">
        <v>173</v>
      </c>
      <c r="F80" s="278" t="s">
        <v>174</v>
      </c>
      <c r="G80" s="278" t="s">
        <v>938</v>
      </c>
      <c r="H80" s="278" t="s">
        <v>175</v>
      </c>
      <c r="I80" s="279"/>
      <c r="J80" s="279">
        <v>176</v>
      </c>
      <c r="K80" s="278">
        <v>50</v>
      </c>
      <c r="L80" s="210">
        <f>I80+J80*EERR!$D$2</f>
        <v>115410.24000000001</v>
      </c>
      <c r="M80" s="136">
        <f>L80/EERR!$D$2</f>
        <v>176</v>
      </c>
      <c r="N80" s="136">
        <f>SUMIF(Abril!$B$3:$B$98,A80,Abril!$S$3:$S$98)+SUMIF(Abril!$C$3:$C$98,A80,Abril!$S$3:$S$98)</f>
        <v>0</v>
      </c>
    </row>
    <row r="81" spans="1:14" ht="15" x14ac:dyDescent="0.25">
      <c r="A81" s="276">
        <v>12392</v>
      </c>
      <c r="B81" s="277">
        <v>42844.92083333333</v>
      </c>
      <c r="C81" s="278">
        <v>30975278</v>
      </c>
      <c r="D81" s="278" t="s">
        <v>172</v>
      </c>
      <c r="E81" s="278" t="s">
        <v>173</v>
      </c>
      <c r="F81" s="278" t="s">
        <v>177</v>
      </c>
      <c r="G81" s="278" t="s">
        <v>939</v>
      </c>
      <c r="H81" s="278" t="s">
        <v>175</v>
      </c>
      <c r="I81" s="279"/>
      <c r="J81" s="279">
        <v>195</v>
      </c>
      <c r="K81" s="278">
        <v>73272</v>
      </c>
      <c r="L81" s="210">
        <f>I81+J81*EERR!$D$2</f>
        <v>127869.3</v>
      </c>
      <c r="M81" s="136">
        <f>L81/EERR!$D$2</f>
        <v>195</v>
      </c>
      <c r="N81" s="136">
        <f>SUMIF(Abril!$B$3:$B$98,A81,Abril!$S$3:$S$98)+SUMIF(Abril!$C$3:$C$98,A81,Abril!$S$3:$S$98)</f>
        <v>0</v>
      </c>
    </row>
    <row r="82" spans="1:14" ht="15" x14ac:dyDescent="0.25">
      <c r="A82" s="276">
        <v>4372</v>
      </c>
      <c r="B82" s="277">
        <v>42844.921527777777</v>
      </c>
      <c r="C82" s="278">
        <v>30975278</v>
      </c>
      <c r="D82" s="278" t="s">
        <v>172</v>
      </c>
      <c r="E82" s="278" t="s">
        <v>173</v>
      </c>
      <c r="F82" s="278" t="s">
        <v>178</v>
      </c>
      <c r="G82" s="278" t="s">
        <v>940</v>
      </c>
      <c r="H82" s="278" t="s">
        <v>175</v>
      </c>
      <c r="I82" s="279"/>
      <c r="J82" s="279">
        <v>176</v>
      </c>
      <c r="K82" s="278">
        <v>15069</v>
      </c>
      <c r="L82" s="210">
        <f>I82+J82*EERR!$D$2</f>
        <v>115410.24000000001</v>
      </c>
      <c r="M82" s="136">
        <f>L82/EERR!$D$2</f>
        <v>176</v>
      </c>
      <c r="N82" s="136">
        <f>SUMIF(Abril!$B$3:$B$98,A82,Abril!$S$3:$S$98)+SUMIF(Abril!$C$3:$C$98,A82,Abril!$S$3:$S$98)</f>
        <v>0</v>
      </c>
    </row>
    <row r="83" spans="1:14" ht="15" x14ac:dyDescent="0.25">
      <c r="A83" s="276">
        <v>4408</v>
      </c>
      <c r="B83" s="277">
        <v>42844.922222222223</v>
      </c>
      <c r="C83" s="278">
        <v>30905830</v>
      </c>
      <c r="D83" s="278" t="s">
        <v>172</v>
      </c>
      <c r="E83" s="278" t="s">
        <v>176</v>
      </c>
      <c r="F83" s="278" t="s">
        <v>177</v>
      </c>
      <c r="G83" s="278" t="s">
        <v>941</v>
      </c>
      <c r="H83" s="278" t="s">
        <v>176</v>
      </c>
      <c r="I83" s="279">
        <v>150136</v>
      </c>
      <c r="J83" s="279"/>
      <c r="K83" s="278">
        <v>183822</v>
      </c>
      <c r="L83" s="210">
        <f>I83+J83*EERR!$D$2</f>
        <v>150136</v>
      </c>
      <c r="M83" s="136">
        <f>L83/EERR!$D$2</f>
        <v>228.95659865190473</v>
      </c>
      <c r="N83" s="136">
        <f>SUMIF(Abril!$B$3:$B$98,A83,Abril!$S$3:$S$98)+SUMIF(Abril!$C$3:$C$98,A83,Abril!$S$3:$S$98)</f>
        <v>0</v>
      </c>
    </row>
    <row r="84" spans="1:14" ht="15" x14ac:dyDescent="0.25">
      <c r="A84" s="276">
        <v>1980</v>
      </c>
      <c r="B84" s="277">
        <v>42844.924305555556</v>
      </c>
      <c r="C84" s="278">
        <v>30975278</v>
      </c>
      <c r="D84" s="278" t="s">
        <v>172</v>
      </c>
      <c r="E84" s="278" t="s">
        <v>173</v>
      </c>
      <c r="F84" s="278" t="s">
        <v>178</v>
      </c>
      <c r="G84" s="278" t="s">
        <v>942</v>
      </c>
      <c r="H84" s="278" t="s">
        <v>175</v>
      </c>
      <c r="I84" s="279"/>
      <c r="J84" s="279">
        <v>195</v>
      </c>
      <c r="K84" s="278">
        <v>988157</v>
      </c>
      <c r="L84" s="210">
        <f>I84+J84*EERR!$D$2</f>
        <v>127869.3</v>
      </c>
      <c r="M84" s="136">
        <f>L84/EERR!$D$2</f>
        <v>195</v>
      </c>
      <c r="N84" s="136">
        <f>SUMIF(Abril!$B$3:$B$98,A84,Abril!$S$3:$S$98)+SUMIF(Abril!$C$3:$C$98,A84,Abril!$S$3:$S$98)</f>
        <v>0</v>
      </c>
    </row>
    <row r="85" spans="1:14" ht="15" x14ac:dyDescent="0.25">
      <c r="A85" s="276">
        <v>189</v>
      </c>
      <c r="B85" s="277">
        <v>42845.352083333331</v>
      </c>
      <c r="C85" s="278">
        <v>30975278</v>
      </c>
      <c r="D85" s="278" t="s">
        <v>172</v>
      </c>
      <c r="E85" s="278" t="s">
        <v>173</v>
      </c>
      <c r="F85" s="278" t="s">
        <v>174</v>
      </c>
      <c r="G85" s="278" t="s">
        <v>887</v>
      </c>
      <c r="H85" s="278" t="s">
        <v>175</v>
      </c>
      <c r="I85" s="279"/>
      <c r="J85" s="279">
        <v>780</v>
      </c>
      <c r="K85" s="278">
        <v>59</v>
      </c>
      <c r="L85" s="210">
        <f>I85+J85*EERR!$D$2</f>
        <v>511477.2</v>
      </c>
      <c r="M85" s="136">
        <f>L85/EERR!$D$2</f>
        <v>780</v>
      </c>
      <c r="N85" s="136">
        <f>SUMIF(Abril!$B$3:$B$98,A85,Abril!$S$3:$S$98)+SUMIF(Abril!$C$3:$C$98,A85,Abril!$S$3:$S$98)</f>
        <v>0</v>
      </c>
    </row>
    <row r="86" spans="1:14" ht="15" x14ac:dyDescent="0.25">
      <c r="A86" s="276">
        <v>31359</v>
      </c>
      <c r="B86" s="277">
        <v>42845.547222222223</v>
      </c>
      <c r="C86" s="278">
        <v>30905830</v>
      </c>
      <c r="D86" s="278" t="s">
        <v>172</v>
      </c>
      <c r="E86" s="278" t="s">
        <v>176</v>
      </c>
      <c r="F86" s="278" t="s">
        <v>177</v>
      </c>
      <c r="G86" s="278" t="s">
        <v>725</v>
      </c>
      <c r="H86" s="278" t="s">
        <v>176</v>
      </c>
      <c r="I86" s="279">
        <v>347146</v>
      </c>
      <c r="J86" s="279"/>
      <c r="K86" s="278">
        <v>131933</v>
      </c>
      <c r="L86" s="210">
        <f>I86+J86*EERR!$D$2</f>
        <v>347146</v>
      </c>
      <c r="M86" s="136">
        <f>L86/EERR!$D$2</f>
        <v>529.39579711471004</v>
      </c>
      <c r="N86" s="136">
        <f>SUMIF(Abril!$B$3:$B$98,A86,Abril!$S$3:$S$98)+SUMIF(Abril!$C$3:$C$98,A86,Abril!$S$3:$S$98)</f>
        <v>520719</v>
      </c>
    </row>
    <row r="87" spans="1:14" ht="15" x14ac:dyDescent="0.25">
      <c r="A87" s="276">
        <v>69367</v>
      </c>
      <c r="B87" s="277">
        <v>42845.554861111108</v>
      </c>
      <c r="C87" s="278">
        <v>30975278</v>
      </c>
      <c r="D87" s="278" t="s">
        <v>172</v>
      </c>
      <c r="E87" s="278" t="s">
        <v>173</v>
      </c>
      <c r="F87" s="278" t="s">
        <v>178</v>
      </c>
      <c r="G87" s="278" t="s">
        <v>943</v>
      </c>
      <c r="H87" s="278" t="s">
        <v>175</v>
      </c>
      <c r="I87" s="279"/>
      <c r="J87" s="279">
        <v>570</v>
      </c>
      <c r="K87" s="278">
        <v>640508</v>
      </c>
      <c r="L87" s="210">
        <f>I87+J87*EERR!$D$2</f>
        <v>373771.8</v>
      </c>
      <c r="M87" s="136">
        <f>L87/EERR!$D$2</f>
        <v>570</v>
      </c>
      <c r="N87" s="136">
        <f>SUMIF(Abril!$B$3:$B$98,A87,Abril!$S$3:$S$98)+SUMIF(Abril!$C$3:$C$98,A87,Abril!$S$3:$S$98)</f>
        <v>0</v>
      </c>
    </row>
    <row r="88" spans="1:14" ht="15" x14ac:dyDescent="0.25">
      <c r="A88" s="276">
        <v>20088</v>
      </c>
      <c r="B88" s="277">
        <v>42845.561805555553</v>
      </c>
      <c r="C88" s="278">
        <v>30975278</v>
      </c>
      <c r="D88" s="278" t="s">
        <v>172</v>
      </c>
      <c r="E88" s="278" t="s">
        <v>173</v>
      </c>
      <c r="F88" s="278" t="s">
        <v>178</v>
      </c>
      <c r="G88" s="278" t="s">
        <v>944</v>
      </c>
      <c r="H88" s="278" t="s">
        <v>175</v>
      </c>
      <c r="I88" s="279"/>
      <c r="J88" s="279">
        <v>185</v>
      </c>
      <c r="K88" s="278">
        <v>3741</v>
      </c>
      <c r="L88" s="210">
        <f>I88+J88*EERR!$D$2</f>
        <v>121311.90000000001</v>
      </c>
      <c r="M88" s="136">
        <f>L88/EERR!$D$2</f>
        <v>185</v>
      </c>
      <c r="N88" s="136">
        <f>SUMIF(Abril!$B$3:$B$98,A88,Abril!$S$3:$S$98)+SUMIF(Abril!$C$3:$C$98,A88,Abril!$S$3:$S$98)</f>
        <v>0</v>
      </c>
    </row>
    <row r="89" spans="1:14" ht="15" x14ac:dyDescent="0.25">
      <c r="A89" s="276">
        <v>56027</v>
      </c>
      <c r="B89" s="277">
        <v>42845.82708333333</v>
      </c>
      <c r="C89" s="278">
        <v>30975278</v>
      </c>
      <c r="D89" s="278" t="s">
        <v>172</v>
      </c>
      <c r="E89" s="278" t="s">
        <v>173</v>
      </c>
      <c r="F89" s="278" t="s">
        <v>178</v>
      </c>
      <c r="G89" s="278" t="s">
        <v>945</v>
      </c>
      <c r="H89" s="278" t="s">
        <v>175</v>
      </c>
      <c r="I89" s="279"/>
      <c r="J89" s="279">
        <v>195</v>
      </c>
      <c r="K89" s="278">
        <v>7523</v>
      </c>
      <c r="L89" s="210">
        <f>I89+J89*EERR!$D$2</f>
        <v>127869.3</v>
      </c>
      <c r="M89" s="136">
        <f>L89/EERR!$D$2</f>
        <v>195</v>
      </c>
      <c r="N89" s="136">
        <f>SUMIF(Abril!$B$3:$B$98,A89,Abril!$S$3:$S$98)+SUMIF(Abril!$C$3:$C$98,A89,Abril!$S$3:$S$98)</f>
        <v>0</v>
      </c>
    </row>
    <row r="90" spans="1:14" ht="15" x14ac:dyDescent="0.25">
      <c r="A90" s="276">
        <v>2108</v>
      </c>
      <c r="B90" s="277">
        <v>42845.82916666667</v>
      </c>
      <c r="C90" s="278">
        <v>30975278</v>
      </c>
      <c r="D90" s="278" t="s">
        <v>172</v>
      </c>
      <c r="E90" s="278" t="s">
        <v>173</v>
      </c>
      <c r="F90" s="278" t="s">
        <v>177</v>
      </c>
      <c r="G90" s="278" t="s">
        <v>946</v>
      </c>
      <c r="H90" s="278" t="s">
        <v>175</v>
      </c>
      <c r="I90" s="279"/>
      <c r="J90" s="279">
        <v>196</v>
      </c>
      <c r="K90" s="278" t="s">
        <v>947</v>
      </c>
      <c r="L90" s="210">
        <f>I90+J90*EERR!$D$2</f>
        <v>128525.04000000001</v>
      </c>
      <c r="M90" s="136">
        <f>L90/EERR!$D$2</f>
        <v>196</v>
      </c>
      <c r="N90" s="136">
        <f>SUMIF(Abril!$B$3:$B$98,A90,Abril!$S$3:$S$98)+SUMIF(Abril!$C$3:$C$98,A90,Abril!$S$3:$S$98)</f>
        <v>0</v>
      </c>
    </row>
    <row r="91" spans="1:14" ht="15" x14ac:dyDescent="0.25">
      <c r="A91" s="276">
        <v>19599</v>
      </c>
      <c r="B91" s="277">
        <v>42845.830555555556</v>
      </c>
      <c r="C91" s="278">
        <v>30905830</v>
      </c>
      <c r="D91" s="278" t="s">
        <v>172</v>
      </c>
      <c r="E91" s="278" t="s">
        <v>176</v>
      </c>
      <c r="F91" s="278" t="s">
        <v>178</v>
      </c>
      <c r="G91" s="278" t="s">
        <v>948</v>
      </c>
      <c r="H91" s="278" t="s">
        <v>176</v>
      </c>
      <c r="I91" s="279">
        <v>142850</v>
      </c>
      <c r="J91" s="279"/>
      <c r="K91" s="278">
        <v>383992</v>
      </c>
      <c r="L91" s="210">
        <f>I91+J91*EERR!$D$2</f>
        <v>142850</v>
      </c>
      <c r="M91" s="136">
        <f>L91/EERR!$D$2</f>
        <v>217.84548754079361</v>
      </c>
      <c r="N91" s="136">
        <f>SUMIF(Abril!$B$3:$B$98,A91,Abril!$S$3:$S$98)+SUMIF(Abril!$C$3:$C$98,A91,Abril!$S$3:$S$98)</f>
        <v>0</v>
      </c>
    </row>
    <row r="92" spans="1:14" ht="15" x14ac:dyDescent="0.25">
      <c r="A92" s="276">
        <v>53277</v>
      </c>
      <c r="B92" s="277">
        <v>42845.84652777778</v>
      </c>
      <c r="C92" s="278">
        <v>30975278</v>
      </c>
      <c r="D92" s="278" t="s">
        <v>172</v>
      </c>
      <c r="E92" s="278" t="s">
        <v>173</v>
      </c>
      <c r="F92" s="278" t="s">
        <v>178</v>
      </c>
      <c r="G92" s="278" t="s">
        <v>733</v>
      </c>
      <c r="H92" s="278" t="s">
        <v>175</v>
      </c>
      <c r="I92" s="279"/>
      <c r="J92" s="279">
        <v>371</v>
      </c>
      <c r="K92" s="278" t="s">
        <v>949</v>
      </c>
      <c r="L92" s="210">
        <f>I92+J92*EERR!$D$2</f>
        <v>243279.54</v>
      </c>
      <c r="M92" s="136">
        <f>L92/EERR!$D$2</f>
        <v>371</v>
      </c>
      <c r="N92" s="136">
        <f>SUMIF(Abril!$B$3:$B$98,A92,Abril!$S$3:$S$98)+SUMIF(Abril!$C$3:$C$98,A92,Abril!$S$3:$S$98)</f>
        <v>0</v>
      </c>
    </row>
    <row r="93" spans="1:14" ht="15" x14ac:dyDescent="0.25">
      <c r="A93" s="276">
        <v>29300</v>
      </c>
      <c r="B93" s="280">
        <v>42845.893750000003</v>
      </c>
      <c r="C93" s="278">
        <v>30975278</v>
      </c>
      <c r="D93" s="278" t="s">
        <v>172</v>
      </c>
      <c r="E93" s="278" t="s">
        <v>173</v>
      </c>
      <c r="F93" s="278" t="s">
        <v>178</v>
      </c>
      <c r="G93" s="278" t="s">
        <v>950</v>
      </c>
      <c r="H93" s="278" t="s">
        <v>175</v>
      </c>
      <c r="I93" s="279"/>
      <c r="J93" s="279">
        <v>195</v>
      </c>
      <c r="K93" s="278">
        <v>669700</v>
      </c>
      <c r="L93" s="210">
        <f>I93+J93*EERR!$D$2</f>
        <v>127869.3</v>
      </c>
      <c r="M93" s="136">
        <f>L93/EERR!$D$2</f>
        <v>195</v>
      </c>
      <c r="N93" s="136">
        <f>SUMIF(Abril!$B$3:$B$98,A93,Abril!$S$3:$S$98)+SUMIF(Abril!$C$3:$C$98,A93,Abril!$S$3:$S$98)</f>
        <v>0</v>
      </c>
    </row>
    <row r="94" spans="1:14" ht="15" x14ac:dyDescent="0.25">
      <c r="A94" s="276">
        <v>91802</v>
      </c>
      <c r="B94" s="277">
        <v>42845.897222222222</v>
      </c>
      <c r="C94" s="278">
        <v>30975278</v>
      </c>
      <c r="D94" s="278" t="s">
        <v>172</v>
      </c>
      <c r="E94" s="278" t="s">
        <v>173</v>
      </c>
      <c r="F94" s="278" t="s">
        <v>178</v>
      </c>
      <c r="G94" s="278" t="s">
        <v>951</v>
      </c>
      <c r="H94" s="278" t="s">
        <v>175</v>
      </c>
      <c r="I94" s="279"/>
      <c r="J94" s="279">
        <v>195</v>
      </c>
      <c r="K94" s="278">
        <v>342554</v>
      </c>
      <c r="L94" s="210">
        <f>I94+J94*EERR!$D$2</f>
        <v>127869.3</v>
      </c>
      <c r="M94" s="136">
        <f>L94/EERR!$D$2</f>
        <v>195</v>
      </c>
      <c r="N94" s="136">
        <f>SUMIF(Abril!$B$3:$B$98,A94,Abril!$S$3:$S$98)+SUMIF(Abril!$C$3:$C$98,A94,Abril!$S$3:$S$98)</f>
        <v>0</v>
      </c>
    </row>
    <row r="95" spans="1:14" ht="15" x14ac:dyDescent="0.25">
      <c r="A95" s="276">
        <v>73356</v>
      </c>
      <c r="B95" s="277">
        <v>42845.902083333334</v>
      </c>
      <c r="C95" s="278">
        <v>30975278</v>
      </c>
      <c r="D95" s="278" t="s">
        <v>172</v>
      </c>
      <c r="E95" s="278" t="s">
        <v>173</v>
      </c>
      <c r="F95" s="278" t="s">
        <v>178</v>
      </c>
      <c r="G95" s="278" t="s">
        <v>952</v>
      </c>
      <c r="H95" s="278" t="s">
        <v>175</v>
      </c>
      <c r="I95" s="279"/>
      <c r="J95" s="279">
        <v>185</v>
      </c>
      <c r="K95" s="278">
        <v>6551</v>
      </c>
      <c r="L95" s="210">
        <f>I95+J95*EERR!$D$2</f>
        <v>121311.90000000001</v>
      </c>
      <c r="M95" s="136">
        <f>L95/EERR!$D$2</f>
        <v>185</v>
      </c>
      <c r="N95" s="136">
        <f>SUMIF(Abril!$B$3:$B$98,A95,Abril!$S$3:$S$98)+SUMIF(Abril!$C$3:$C$98,A95,Abril!$S$3:$S$98)</f>
        <v>0</v>
      </c>
    </row>
    <row r="96" spans="1:14" ht="15" x14ac:dyDescent="0.25">
      <c r="A96" s="276">
        <v>24060</v>
      </c>
      <c r="B96" s="277">
        <v>42845.945138888892</v>
      </c>
      <c r="C96" s="278">
        <v>30975278</v>
      </c>
      <c r="D96" s="278" t="s">
        <v>172</v>
      </c>
      <c r="E96" s="278" t="s">
        <v>173</v>
      </c>
      <c r="F96" s="278" t="s">
        <v>178</v>
      </c>
      <c r="G96" s="278" t="s">
        <v>953</v>
      </c>
      <c r="H96" s="278" t="s">
        <v>175</v>
      </c>
      <c r="I96" s="279"/>
      <c r="J96" s="279">
        <v>195</v>
      </c>
      <c r="K96" s="278">
        <v>624194</v>
      </c>
      <c r="L96" s="210">
        <f>I96+J96*EERR!$D$2</f>
        <v>127869.3</v>
      </c>
      <c r="M96" s="136">
        <f>L96/EERR!$D$2</f>
        <v>195</v>
      </c>
      <c r="N96" s="136">
        <f>SUMIF(Abril!$B$3:$B$98,A96,Abril!$S$3:$S$98)+SUMIF(Abril!$C$3:$C$98,A96,Abril!$S$3:$S$98)</f>
        <v>0</v>
      </c>
    </row>
    <row r="97" spans="1:18" ht="15" x14ac:dyDescent="0.25">
      <c r="A97" s="276">
        <v>97818</v>
      </c>
      <c r="B97" s="277">
        <v>42846.396527777775</v>
      </c>
      <c r="C97" s="278">
        <v>30905830</v>
      </c>
      <c r="D97" s="278" t="s">
        <v>172</v>
      </c>
      <c r="E97" s="278" t="s">
        <v>176</v>
      </c>
      <c r="F97" s="278" t="s">
        <v>174</v>
      </c>
      <c r="G97" s="278" t="s">
        <v>954</v>
      </c>
      <c r="H97" s="278" t="s">
        <v>176</v>
      </c>
      <c r="I97" s="279">
        <v>150136</v>
      </c>
      <c r="J97" s="279"/>
      <c r="K97" s="278">
        <v>855728</v>
      </c>
      <c r="L97" s="210">
        <f>I97+J97*EERR!$D$2</f>
        <v>150136</v>
      </c>
      <c r="M97" s="136">
        <f>L97/EERR!$D$2</f>
        <v>228.95659865190473</v>
      </c>
      <c r="N97" s="136">
        <f>SUMIF(Abril!$B$3:$B$98,A97,Abril!$S$3:$S$98)+SUMIF(Abril!$C$3:$C$98,A97,Abril!$S$3:$S$98)</f>
        <v>462243</v>
      </c>
    </row>
    <row r="98" spans="1:18" ht="15" x14ac:dyDescent="0.25">
      <c r="A98" s="276">
        <v>97818</v>
      </c>
      <c r="B98" s="277">
        <v>42846</v>
      </c>
      <c r="C98" s="278" t="s">
        <v>250</v>
      </c>
      <c r="D98" s="278" t="s">
        <v>172</v>
      </c>
      <c r="E98" s="278" t="s">
        <v>378</v>
      </c>
      <c r="F98" s="278" t="s">
        <v>174</v>
      </c>
      <c r="G98" s="278" t="s">
        <v>954</v>
      </c>
      <c r="H98" s="278" t="s">
        <v>176</v>
      </c>
      <c r="I98" s="279">
        <v>-150136</v>
      </c>
      <c r="J98" s="279">
        <v>0</v>
      </c>
      <c r="K98" s="278" t="s">
        <v>955</v>
      </c>
      <c r="L98" s="210">
        <f>I98+J98*EERR!$D$2</f>
        <v>-150136</v>
      </c>
      <c r="M98" s="136">
        <f>L98/EERR!$D$2</f>
        <v>-228.95659865190473</v>
      </c>
      <c r="N98" s="136">
        <f>SUMIF(Abril!$B$3:$B$98,A98,Abril!$S$3:$S$98)+SUMIF(Abril!$C$3:$C$98,A98,Abril!$S$3:$S$98)</f>
        <v>462243</v>
      </c>
    </row>
    <row r="99" spans="1:18" ht="15" x14ac:dyDescent="0.25">
      <c r="A99" s="276">
        <v>81291</v>
      </c>
      <c r="B99" s="277">
        <v>42846.400000000001</v>
      </c>
      <c r="C99" s="278">
        <v>30975278</v>
      </c>
      <c r="D99" s="278" t="s">
        <v>172</v>
      </c>
      <c r="E99" s="278" t="s">
        <v>173</v>
      </c>
      <c r="F99" s="278" t="s">
        <v>178</v>
      </c>
      <c r="G99" s="278" t="s">
        <v>956</v>
      </c>
      <c r="H99" s="278" t="s">
        <v>175</v>
      </c>
      <c r="I99" s="279"/>
      <c r="J99" s="279">
        <v>196</v>
      </c>
      <c r="K99" s="278">
        <v>681288</v>
      </c>
      <c r="L99" s="210">
        <f>I99+J99*EERR!$D$2</f>
        <v>128525.04000000001</v>
      </c>
      <c r="M99" s="136">
        <f>L99/EERR!$D$2</f>
        <v>196</v>
      </c>
      <c r="N99" s="136">
        <f>SUMIF(Abril!$B$3:$B$98,A99,Abril!$S$3:$S$98)+SUMIF(Abril!$C$3:$C$98,A99,Abril!$S$3:$S$98)</f>
        <v>0</v>
      </c>
    </row>
    <row r="100" spans="1:18" ht="15" x14ac:dyDescent="0.25">
      <c r="A100" s="276">
        <v>57607</v>
      </c>
      <c r="B100" s="277">
        <v>42846.486111111109</v>
      </c>
      <c r="C100" s="278">
        <v>30975278</v>
      </c>
      <c r="D100" s="278" t="s">
        <v>172</v>
      </c>
      <c r="E100" s="278" t="s">
        <v>173</v>
      </c>
      <c r="F100" s="278" t="s">
        <v>177</v>
      </c>
      <c r="G100" s="278" t="s">
        <v>957</v>
      </c>
      <c r="H100" s="278" t="s">
        <v>175</v>
      </c>
      <c r="I100" s="279"/>
      <c r="J100" s="279">
        <v>585</v>
      </c>
      <c r="K100" s="278">
        <v>422469</v>
      </c>
      <c r="L100" s="210">
        <f>I100+J100*EERR!$D$2</f>
        <v>383607.9</v>
      </c>
      <c r="M100" s="136">
        <f>L100/EERR!$D$2</f>
        <v>585</v>
      </c>
      <c r="N100" s="136">
        <f>SUMIF(Abril!$B$3:$B$98,A100,Abril!$S$3:$S$98)+SUMIF(Abril!$C$3:$C$98,A100,Abril!$S$3:$S$98)</f>
        <v>153849</v>
      </c>
    </row>
    <row r="101" spans="1:18" ht="15" x14ac:dyDescent="0.25">
      <c r="A101" s="276">
        <v>80642</v>
      </c>
      <c r="B101" s="277">
        <v>42846.715277777781</v>
      </c>
      <c r="C101" s="278">
        <v>30975278</v>
      </c>
      <c r="D101" s="278" t="s">
        <v>172</v>
      </c>
      <c r="E101" s="278" t="s">
        <v>173</v>
      </c>
      <c r="F101" s="278" t="s">
        <v>178</v>
      </c>
      <c r="G101" s="278" t="s">
        <v>958</v>
      </c>
      <c r="H101" s="278" t="s">
        <v>175</v>
      </c>
      <c r="I101" s="279"/>
      <c r="J101" s="279">
        <v>195</v>
      </c>
      <c r="K101" s="278">
        <v>96458</v>
      </c>
      <c r="L101" s="210">
        <f>I101+J101*EERR!$D$2</f>
        <v>127869.3</v>
      </c>
      <c r="M101" s="136">
        <f>L101/EERR!$D$2</f>
        <v>195</v>
      </c>
      <c r="N101" s="136">
        <f>SUMIF(Abril!$B$3:$B$98,A101,Abril!$S$3:$S$98)+SUMIF(Abril!$C$3:$C$98,A101,Abril!$S$3:$S$98)</f>
        <v>0</v>
      </c>
    </row>
    <row r="102" spans="1:18" ht="15" x14ac:dyDescent="0.25">
      <c r="A102" s="276">
        <v>22698</v>
      </c>
      <c r="B102" s="277">
        <v>42846.716666666667</v>
      </c>
      <c r="C102" s="278">
        <v>30975278</v>
      </c>
      <c r="D102" s="278" t="s">
        <v>172</v>
      </c>
      <c r="E102" s="278" t="s">
        <v>173</v>
      </c>
      <c r="F102" s="278" t="s">
        <v>178</v>
      </c>
      <c r="G102" s="278" t="s">
        <v>958</v>
      </c>
      <c r="H102" s="278" t="s">
        <v>175</v>
      </c>
      <c r="I102" s="279"/>
      <c r="J102" s="279">
        <v>176</v>
      </c>
      <c r="K102" s="278">
        <v>776</v>
      </c>
      <c r="L102" s="210">
        <f>I102+J102*EERR!$D$2</f>
        <v>115410.24000000001</v>
      </c>
      <c r="M102" s="136">
        <f>L102/EERR!$D$2</f>
        <v>176</v>
      </c>
      <c r="N102" s="136">
        <f>SUMIF(Abril!$B$3:$B$98,A102,Abril!$S$3:$S$98)+SUMIF(Abril!$C$3:$C$98,A102,Abril!$S$3:$S$98)</f>
        <v>0</v>
      </c>
    </row>
    <row r="103" spans="1:18" ht="15" x14ac:dyDescent="0.25">
      <c r="A103" s="276">
        <v>64423</v>
      </c>
      <c r="B103" s="277">
        <v>42846.772916666669</v>
      </c>
      <c r="C103" s="278">
        <v>30975278</v>
      </c>
      <c r="D103" s="278" t="s">
        <v>172</v>
      </c>
      <c r="E103" s="278" t="s">
        <v>173</v>
      </c>
      <c r="F103" s="278" t="s">
        <v>178</v>
      </c>
      <c r="G103" s="278" t="s">
        <v>923</v>
      </c>
      <c r="H103" s="278" t="s">
        <v>175</v>
      </c>
      <c r="I103" s="279"/>
      <c r="J103" s="279">
        <v>195</v>
      </c>
      <c r="K103" s="278">
        <v>68787</v>
      </c>
      <c r="L103" s="210">
        <f>I103+J103*EERR!$D$2</f>
        <v>127869.3</v>
      </c>
      <c r="M103" s="136">
        <f>L103/EERR!$D$2</f>
        <v>195</v>
      </c>
      <c r="N103" s="136">
        <f>SUMIF(Abril!$B$3:$B$98,A103,Abril!$S$3:$S$98)+SUMIF(Abril!$C$3:$C$98,A103,Abril!$S$3:$S$98)</f>
        <v>0</v>
      </c>
    </row>
    <row r="104" spans="1:18" ht="15" x14ac:dyDescent="0.25">
      <c r="A104" s="276">
        <v>90368</v>
      </c>
      <c r="B104" s="277">
        <v>42846.790277777778</v>
      </c>
      <c r="C104" s="278">
        <v>30975278</v>
      </c>
      <c r="D104" s="278" t="s">
        <v>172</v>
      </c>
      <c r="E104" s="278" t="s">
        <v>173</v>
      </c>
      <c r="F104" s="278" t="s">
        <v>178</v>
      </c>
      <c r="G104" s="278" t="s">
        <v>959</v>
      </c>
      <c r="H104" s="278" t="s">
        <v>175</v>
      </c>
      <c r="I104" s="279"/>
      <c r="J104" s="279">
        <v>1176</v>
      </c>
      <c r="K104" s="278">
        <v>76985</v>
      </c>
      <c r="L104" s="210">
        <f>I104+J104*EERR!$D$2</f>
        <v>771150.24</v>
      </c>
      <c r="M104" s="136">
        <f>L104/EERR!$D$2</f>
        <v>1176</v>
      </c>
      <c r="N104" s="136">
        <f>SUMIF(Abril!$B$3:$B$98,A104,Abril!$S$3:$S$98)+SUMIF(Abril!$C$3:$C$98,A104,Abril!$S$3:$S$98)</f>
        <v>0</v>
      </c>
    </row>
    <row r="105" spans="1:18" ht="15" x14ac:dyDescent="0.25">
      <c r="A105" s="276">
        <v>71326</v>
      </c>
      <c r="B105" s="277">
        <v>42846.818749999999</v>
      </c>
      <c r="C105" s="278">
        <v>30975278</v>
      </c>
      <c r="D105" s="278" t="s">
        <v>172</v>
      </c>
      <c r="E105" s="278" t="s">
        <v>173</v>
      </c>
      <c r="F105" s="278" t="s">
        <v>177</v>
      </c>
      <c r="G105" s="278" t="s">
        <v>960</v>
      </c>
      <c r="H105" s="278" t="s">
        <v>175</v>
      </c>
      <c r="I105" s="279"/>
      <c r="J105" s="279">
        <v>196</v>
      </c>
      <c r="K105" s="278">
        <v>22088</v>
      </c>
      <c r="L105" s="210">
        <f>I105+J105*EERR!$D$2</f>
        <v>128525.04000000001</v>
      </c>
      <c r="M105" s="136">
        <f>L105/EERR!$D$2</f>
        <v>196</v>
      </c>
      <c r="N105" s="136">
        <f>SUMIF(Abril!$B$3:$B$98,A105,Abril!$S$3:$S$98)+SUMIF(Abril!$C$3:$C$98,A105,Abril!$S$3:$S$98)</f>
        <v>0</v>
      </c>
      <c r="R105" s="70" t="s">
        <v>355</v>
      </c>
    </row>
    <row r="106" spans="1:18" ht="15" x14ac:dyDescent="0.25">
      <c r="A106" s="276">
        <v>58278</v>
      </c>
      <c r="B106" s="277">
        <v>42847.445138888892</v>
      </c>
      <c r="C106" s="278">
        <v>30905830</v>
      </c>
      <c r="D106" s="278" t="s">
        <v>172</v>
      </c>
      <c r="E106" s="278" t="s">
        <v>176</v>
      </c>
      <c r="F106" s="278" t="s">
        <v>177</v>
      </c>
      <c r="G106" s="278" t="s">
        <v>961</v>
      </c>
      <c r="H106" s="278" t="s">
        <v>179</v>
      </c>
      <c r="I106" s="279">
        <v>302129</v>
      </c>
      <c r="J106" s="279"/>
      <c r="K106" s="278">
        <v>366367</v>
      </c>
      <c r="L106" s="210">
        <f>I106+J106*EERR!$D$2</f>
        <v>302129</v>
      </c>
      <c r="M106" s="136">
        <f>L106/EERR!$D$2</f>
        <v>460.74511239210665</v>
      </c>
      <c r="N106" s="136">
        <f>SUMIF(Abril!$B$3:$B$98,A106,Abril!$S$3:$S$98)+SUMIF(Abril!$C$3:$C$98,A106,Abril!$S$3:$S$98)</f>
        <v>302129</v>
      </c>
    </row>
    <row r="107" spans="1:18" ht="15" x14ac:dyDescent="0.25">
      <c r="A107" s="276">
        <v>40722</v>
      </c>
      <c r="B107" s="277">
        <v>42847.536111111112</v>
      </c>
      <c r="C107" s="278">
        <v>30975278</v>
      </c>
      <c r="D107" s="278" t="s">
        <v>172</v>
      </c>
      <c r="E107" s="278" t="s">
        <v>173</v>
      </c>
      <c r="F107" s="278" t="s">
        <v>174</v>
      </c>
      <c r="G107" s="278" t="s">
        <v>908</v>
      </c>
      <c r="H107" s="278" t="s">
        <v>175</v>
      </c>
      <c r="I107" s="279"/>
      <c r="J107" s="279">
        <v>390</v>
      </c>
      <c r="K107" s="278">
        <v>14</v>
      </c>
      <c r="L107" s="210">
        <f>I107+J107*EERR!$D$2</f>
        <v>255738.6</v>
      </c>
      <c r="M107" s="136">
        <f>L107/EERR!$D$2</f>
        <v>390</v>
      </c>
      <c r="N107" s="136">
        <f>SUMIF(Abril!$B$3:$B$98,A107,Abril!$S$3:$S$98)+SUMIF(Abril!$C$3:$C$98,A107,Abril!$S$3:$S$98)</f>
        <v>0</v>
      </c>
    </row>
    <row r="108" spans="1:18" ht="15" x14ac:dyDescent="0.25">
      <c r="A108" s="276">
        <v>40323</v>
      </c>
      <c r="B108" s="277">
        <v>42847.738194444442</v>
      </c>
      <c r="C108" s="278">
        <v>30975278</v>
      </c>
      <c r="D108" s="278" t="s">
        <v>172</v>
      </c>
      <c r="E108" s="278" t="s">
        <v>173</v>
      </c>
      <c r="F108" s="278" t="s">
        <v>177</v>
      </c>
      <c r="G108" s="278" t="s">
        <v>962</v>
      </c>
      <c r="H108" s="278" t="s">
        <v>175</v>
      </c>
      <c r="I108" s="279"/>
      <c r="J108" s="279">
        <v>390</v>
      </c>
      <c r="K108" s="278">
        <v>48666</v>
      </c>
      <c r="L108" s="210">
        <f>I108+J108*EERR!$D$2</f>
        <v>255738.6</v>
      </c>
      <c r="M108" s="136">
        <f>L108/EERR!$D$2</f>
        <v>390</v>
      </c>
      <c r="N108" s="136">
        <f>SUMIF(Abril!$B$3:$B$98,A108,Abril!$S$3:$S$98)+SUMIF(Abril!$C$3:$C$98,A108,Abril!$S$3:$S$98)</f>
        <v>0</v>
      </c>
    </row>
    <row r="109" spans="1:18" ht="15" x14ac:dyDescent="0.25">
      <c r="A109" s="276">
        <v>24060</v>
      </c>
      <c r="B109" s="277">
        <v>42847.803472222222</v>
      </c>
      <c r="C109" s="278">
        <v>30975278</v>
      </c>
      <c r="D109" s="278" t="s">
        <v>172</v>
      </c>
      <c r="E109" s="278" t="s">
        <v>173</v>
      </c>
      <c r="F109" s="278" t="s">
        <v>178</v>
      </c>
      <c r="G109" s="278" t="s">
        <v>953</v>
      </c>
      <c r="H109" s="278" t="s">
        <v>175</v>
      </c>
      <c r="I109" s="279"/>
      <c r="J109" s="279">
        <v>1195</v>
      </c>
      <c r="K109" s="278">
        <v>685374</v>
      </c>
      <c r="L109" s="210">
        <f>I109+J109*EERR!$D$2</f>
        <v>783609.3</v>
      </c>
      <c r="M109" s="136">
        <f>L109/EERR!$D$2</f>
        <v>1195</v>
      </c>
      <c r="N109" s="136">
        <f>SUMIF(Abril!$B$3:$B$98,A109,Abril!$S$3:$S$98)+SUMIF(Abril!$C$3:$C$98,A109,Abril!$S$3:$S$98)</f>
        <v>0</v>
      </c>
    </row>
    <row r="110" spans="1:18" ht="15" x14ac:dyDescent="0.25">
      <c r="A110" s="276">
        <v>61194</v>
      </c>
      <c r="B110" s="277">
        <v>42848.897222222222</v>
      </c>
      <c r="C110" s="278">
        <v>30975278</v>
      </c>
      <c r="D110" s="278" t="s">
        <v>172</v>
      </c>
      <c r="E110" s="278" t="s">
        <v>173</v>
      </c>
      <c r="F110" s="278" t="s">
        <v>177</v>
      </c>
      <c r="G110" s="278" t="s">
        <v>963</v>
      </c>
      <c r="H110" s="278" t="s">
        <v>175</v>
      </c>
      <c r="I110" s="279"/>
      <c r="J110" s="279">
        <v>975</v>
      </c>
      <c r="K110" s="278">
        <v>334065</v>
      </c>
      <c r="L110" s="210">
        <f>I110+J110*EERR!$D$2</f>
        <v>639346.5</v>
      </c>
      <c r="M110" s="136">
        <f>L110/EERR!$D$2</f>
        <v>975</v>
      </c>
      <c r="N110" s="136">
        <f>SUMIF(Abril!$B$3:$B$98,A110,Abril!$S$3:$S$98)+SUMIF(Abril!$C$3:$C$98,A110,Abril!$S$3:$S$98)</f>
        <v>0</v>
      </c>
    </row>
    <row r="111" spans="1:18" ht="15" x14ac:dyDescent="0.25">
      <c r="A111" s="276">
        <v>53879</v>
      </c>
      <c r="B111" s="277">
        <v>42849.704861111109</v>
      </c>
      <c r="C111" s="278">
        <v>30975278</v>
      </c>
      <c r="D111" s="278" t="s">
        <v>172</v>
      </c>
      <c r="E111" s="278" t="s">
        <v>173</v>
      </c>
      <c r="F111" s="278" t="s">
        <v>178</v>
      </c>
      <c r="G111" s="278" t="s">
        <v>914</v>
      </c>
      <c r="H111" s="278" t="s">
        <v>175</v>
      </c>
      <c r="I111" s="279"/>
      <c r="J111" s="279">
        <v>527</v>
      </c>
      <c r="K111" s="278">
        <v>56556</v>
      </c>
      <c r="L111" s="210">
        <f>I111+J111*EERR!$D$2</f>
        <v>345574.98</v>
      </c>
      <c r="M111" s="136">
        <f>L111/EERR!$D$2</f>
        <v>527</v>
      </c>
      <c r="N111" s="136">
        <f>SUMIF(Abril!$B$3:$B$98,A111,Abril!$S$3:$S$98)+SUMIF(Abril!$C$3:$C$98,A111,Abril!$S$3:$S$98)</f>
        <v>0</v>
      </c>
    </row>
    <row r="112" spans="1:18" ht="15" x14ac:dyDescent="0.25">
      <c r="A112" s="276">
        <v>40722</v>
      </c>
      <c r="B112" s="277">
        <v>42850.297222222223</v>
      </c>
      <c r="C112" s="278">
        <v>30905830</v>
      </c>
      <c r="D112" s="278" t="s">
        <v>172</v>
      </c>
      <c r="E112" s="278" t="s">
        <v>176</v>
      </c>
      <c r="F112" s="278" t="s">
        <v>174</v>
      </c>
      <c r="G112" s="278" t="s">
        <v>908</v>
      </c>
      <c r="H112" s="278" t="s">
        <v>176</v>
      </c>
      <c r="I112" s="279">
        <v>2000</v>
      </c>
      <c r="J112" s="279"/>
      <c r="K112" s="278">
        <v>82</v>
      </c>
      <c r="L112" s="210">
        <f>I112+J112*EERR!$D$2</f>
        <v>2000</v>
      </c>
      <c r="M112" s="136">
        <f>L112/EERR!$D$2</f>
        <v>3.0499893250373624</v>
      </c>
      <c r="N112" s="136">
        <f>SUMIF(Abril!$B$3:$B$98,A112,Abril!$S$3:$S$98)+SUMIF(Abril!$C$3:$C$98,A112,Abril!$S$3:$S$98)</f>
        <v>0</v>
      </c>
    </row>
    <row r="113" spans="1:14" ht="15" x14ac:dyDescent="0.25">
      <c r="A113" s="276">
        <v>19016</v>
      </c>
      <c r="B113" s="277">
        <v>42850.48333333333</v>
      </c>
      <c r="C113" s="278">
        <v>30975278</v>
      </c>
      <c r="D113" s="278" t="s">
        <v>172</v>
      </c>
      <c r="E113" s="278" t="s">
        <v>173</v>
      </c>
      <c r="F113" s="278" t="s">
        <v>178</v>
      </c>
      <c r="G113" s="278" t="s">
        <v>964</v>
      </c>
      <c r="H113" s="278" t="s">
        <v>175</v>
      </c>
      <c r="I113" s="279"/>
      <c r="J113" s="279">
        <v>195</v>
      </c>
      <c r="K113" s="278">
        <v>5342</v>
      </c>
      <c r="L113" s="210">
        <f>I113+J113*EERR!$D$2</f>
        <v>127869.3</v>
      </c>
      <c r="M113" s="136">
        <f>L113/EERR!$D$2</f>
        <v>195</v>
      </c>
      <c r="N113" s="136">
        <f>SUMIF(Abril!$B$3:$B$98,A113,Abril!$S$3:$S$98)+SUMIF(Abril!$C$3:$C$98,A113,Abril!$S$3:$S$98)</f>
        <v>0</v>
      </c>
    </row>
    <row r="114" spans="1:14" ht="15" x14ac:dyDescent="0.25">
      <c r="A114" s="276">
        <v>123</v>
      </c>
      <c r="B114" s="277">
        <v>42852.579861111109</v>
      </c>
      <c r="C114" s="278">
        <v>30905830</v>
      </c>
      <c r="D114" s="278" t="s">
        <v>172</v>
      </c>
      <c r="E114" s="278" t="s">
        <v>176</v>
      </c>
      <c r="F114" s="278" t="s">
        <v>198</v>
      </c>
      <c r="G114" s="278" t="s">
        <v>965</v>
      </c>
      <c r="H114" s="278" t="s">
        <v>199</v>
      </c>
      <c r="I114" s="279">
        <v>50</v>
      </c>
      <c r="J114" s="279"/>
      <c r="K114" s="278">
        <v>416</v>
      </c>
      <c r="L114" s="210">
        <f>I114+J114*EERR!$D$2</f>
        <v>50</v>
      </c>
      <c r="M114" s="136">
        <f>L114/EERR!$D$2</f>
        <v>7.6249733125934055E-2</v>
      </c>
      <c r="N114" s="136">
        <f>SUMIF(Abril!$B$3:$B$98,A114,Abril!$S$3:$S$98)+SUMIF(Abril!$C$3:$C$98,A114,Abril!$S$3:$S$98)</f>
        <v>0</v>
      </c>
    </row>
    <row r="115" spans="1:14" ht="15" x14ac:dyDescent="0.25">
      <c r="A115" s="276">
        <v>56206</v>
      </c>
      <c r="B115" s="277">
        <v>42852.625694444447</v>
      </c>
      <c r="C115" s="278">
        <v>30975278</v>
      </c>
      <c r="D115" s="278" t="s">
        <v>172</v>
      </c>
      <c r="E115" s="278" t="s">
        <v>173</v>
      </c>
      <c r="F115" s="278" t="s">
        <v>178</v>
      </c>
      <c r="G115" s="278" t="s">
        <v>966</v>
      </c>
      <c r="H115" s="278" t="s">
        <v>175</v>
      </c>
      <c r="I115" s="279"/>
      <c r="J115" s="279">
        <v>176</v>
      </c>
      <c r="K115" s="278">
        <v>568292</v>
      </c>
      <c r="L115" s="210">
        <f>I115+J115*EERR!$D$2</f>
        <v>115410.24000000001</v>
      </c>
      <c r="M115" s="136">
        <f>L115/EERR!$D$2</f>
        <v>176</v>
      </c>
      <c r="N115" s="136">
        <f>SUMIF(Abril!$B$3:$B$98,A115,Abril!$S$3:$S$98)+SUMIF(Abril!$C$3:$C$98,A115,Abril!$S$3:$S$98)</f>
        <v>0</v>
      </c>
    </row>
    <row r="116" spans="1:14" ht="15" x14ac:dyDescent="0.25">
      <c r="A116" s="276">
        <v>89468</v>
      </c>
      <c r="B116" s="277">
        <v>42852.627083333333</v>
      </c>
      <c r="C116" s="278">
        <v>30905830</v>
      </c>
      <c r="D116" s="278" t="s">
        <v>172</v>
      </c>
      <c r="E116" s="278" t="s">
        <v>176</v>
      </c>
      <c r="F116" s="278" t="s">
        <v>177</v>
      </c>
      <c r="G116" s="278" t="s">
        <v>967</v>
      </c>
      <c r="H116" s="278" t="s">
        <v>176</v>
      </c>
      <c r="I116" s="279">
        <v>130971</v>
      </c>
      <c r="J116" s="279"/>
      <c r="K116" s="278">
        <v>712130</v>
      </c>
      <c r="L116" s="210">
        <f>I116+J116*EERR!$D$2</f>
        <v>130971</v>
      </c>
      <c r="M116" s="136">
        <f>L116/EERR!$D$2</f>
        <v>199.73007594473418</v>
      </c>
      <c r="N116" s="136">
        <f>SUMIF(Abril!$B$3:$B$98,A116,Abril!$S$3:$S$98)+SUMIF(Abril!$C$3:$C$98,A116,Abril!$S$3:$S$98)</f>
        <v>0</v>
      </c>
    </row>
    <row r="117" spans="1:14" ht="15" x14ac:dyDescent="0.25">
      <c r="A117" s="276">
        <v>14092</v>
      </c>
      <c r="B117" s="277">
        <v>42852.773611111108</v>
      </c>
      <c r="C117" s="278">
        <v>30975278</v>
      </c>
      <c r="D117" s="278" t="s">
        <v>172</v>
      </c>
      <c r="E117" s="278" t="s">
        <v>173</v>
      </c>
      <c r="F117" s="278" t="s">
        <v>177</v>
      </c>
      <c r="G117" s="278" t="s">
        <v>968</v>
      </c>
      <c r="H117" s="278" t="s">
        <v>175</v>
      </c>
      <c r="I117" s="279"/>
      <c r="J117" s="279">
        <v>195</v>
      </c>
      <c r="K117" s="278">
        <v>342164</v>
      </c>
      <c r="L117" s="210">
        <f>I117+J117*EERR!$D$2</f>
        <v>127869.3</v>
      </c>
      <c r="M117" s="136">
        <f>L117/EERR!$D$2</f>
        <v>195</v>
      </c>
      <c r="N117" s="136">
        <f>SUMIF(Abril!$B$3:$B$98,A117,Abril!$S$3:$S$98)+SUMIF(Abril!$C$3:$C$98,A117,Abril!$S$3:$S$98)</f>
        <v>0</v>
      </c>
    </row>
    <row r="118" spans="1:14" ht="15" x14ac:dyDescent="0.25">
      <c r="A118" s="276">
        <v>44711</v>
      </c>
      <c r="B118" s="277">
        <v>42852.775000000001</v>
      </c>
      <c r="C118" s="278">
        <v>30975278</v>
      </c>
      <c r="D118" s="278" t="s">
        <v>172</v>
      </c>
      <c r="E118" s="278" t="s">
        <v>173</v>
      </c>
      <c r="F118" s="278" t="s">
        <v>178</v>
      </c>
      <c r="G118" s="278" t="s">
        <v>969</v>
      </c>
      <c r="H118" s="278" t="s">
        <v>175</v>
      </c>
      <c r="I118" s="279"/>
      <c r="J118" s="279">
        <v>195</v>
      </c>
      <c r="K118" s="278">
        <v>29552</v>
      </c>
      <c r="L118" s="210">
        <f>I118+J118*EERR!$D$2</f>
        <v>127869.3</v>
      </c>
      <c r="M118" s="136">
        <f>L118/EERR!$D$2</f>
        <v>195</v>
      </c>
      <c r="N118" s="136">
        <f>SUMIF(Abril!$B$3:$B$98,A118,Abril!$S$3:$S$98)+SUMIF(Abril!$C$3:$C$98,A118,Abril!$S$3:$S$98)</f>
        <v>0</v>
      </c>
    </row>
    <row r="119" spans="1:14" ht="15" x14ac:dyDescent="0.25">
      <c r="A119" s="276">
        <v>95454</v>
      </c>
      <c r="B119" s="277">
        <v>42852.776388888888</v>
      </c>
      <c r="C119" s="278">
        <v>30975278</v>
      </c>
      <c r="D119" s="278" t="s">
        <v>172</v>
      </c>
      <c r="E119" s="278" t="s">
        <v>173</v>
      </c>
      <c r="F119" s="278" t="s">
        <v>177</v>
      </c>
      <c r="G119" s="278" t="s">
        <v>970</v>
      </c>
      <c r="H119" s="278" t="s">
        <v>175</v>
      </c>
      <c r="I119" s="279"/>
      <c r="J119" s="279">
        <v>195</v>
      </c>
      <c r="K119" s="278">
        <v>36029</v>
      </c>
      <c r="L119" s="210">
        <f>I119+J119*EERR!$D$2</f>
        <v>127869.3</v>
      </c>
      <c r="M119" s="136">
        <f>L119/EERR!$D$2</f>
        <v>195</v>
      </c>
      <c r="N119" s="136">
        <f>SUMIF(Abril!$B$3:$B$98,A119,Abril!$S$3:$S$98)+SUMIF(Abril!$C$3:$C$98,A119,Abril!$S$3:$S$98)</f>
        <v>0</v>
      </c>
    </row>
    <row r="120" spans="1:14" ht="15" x14ac:dyDescent="0.25">
      <c r="A120" s="276">
        <v>1083</v>
      </c>
      <c r="B120" s="277">
        <v>42852.777777777781</v>
      </c>
      <c r="C120" s="278">
        <v>30975278</v>
      </c>
      <c r="D120" s="278" t="s">
        <v>172</v>
      </c>
      <c r="E120" s="278" t="s">
        <v>173</v>
      </c>
      <c r="F120" s="278" t="s">
        <v>177</v>
      </c>
      <c r="G120" s="278" t="s">
        <v>971</v>
      </c>
      <c r="H120" s="278" t="s">
        <v>175</v>
      </c>
      <c r="I120" s="279"/>
      <c r="J120" s="279">
        <v>195</v>
      </c>
      <c r="K120" s="278">
        <v>701461</v>
      </c>
      <c r="L120" s="210">
        <f>I120+J120*EERR!$D$2</f>
        <v>127869.3</v>
      </c>
      <c r="M120" s="136">
        <f>L120/EERR!$D$2</f>
        <v>195</v>
      </c>
      <c r="N120" s="136">
        <f>SUMIF(Abril!$B$3:$B$98,A120,Abril!$S$3:$S$98)+SUMIF(Abril!$C$3:$C$98,A120,Abril!$S$3:$S$98)</f>
        <v>0</v>
      </c>
    </row>
    <row r="121" spans="1:14" ht="15" x14ac:dyDescent="0.25">
      <c r="A121" s="276">
        <v>98339</v>
      </c>
      <c r="B121" s="277">
        <v>42852.779166666667</v>
      </c>
      <c r="C121" s="278">
        <v>30975278</v>
      </c>
      <c r="D121" s="278" t="s">
        <v>172</v>
      </c>
      <c r="E121" s="278" t="s">
        <v>173</v>
      </c>
      <c r="F121" s="278" t="s">
        <v>174</v>
      </c>
      <c r="G121" s="278" t="s">
        <v>972</v>
      </c>
      <c r="H121" s="278" t="s">
        <v>175</v>
      </c>
      <c r="I121" s="279"/>
      <c r="J121" s="279">
        <v>195</v>
      </c>
      <c r="K121" s="278">
        <v>17</v>
      </c>
      <c r="L121" s="210">
        <f>I121+J121*EERR!$D$2</f>
        <v>127869.3</v>
      </c>
      <c r="M121" s="136">
        <f>L121/EERR!$D$2</f>
        <v>195</v>
      </c>
      <c r="N121" s="136">
        <f>SUMIF(Abril!$B$3:$B$98,A121,Abril!$S$3:$S$98)+SUMIF(Abril!$C$3:$C$98,A121,Abril!$S$3:$S$98)</f>
        <v>0</v>
      </c>
    </row>
    <row r="122" spans="1:14" ht="15" x14ac:dyDescent="0.25">
      <c r="A122" s="276">
        <v>83210</v>
      </c>
      <c r="B122" s="277">
        <v>42852.780555555553</v>
      </c>
      <c r="C122" s="278">
        <v>30975278</v>
      </c>
      <c r="D122" s="278" t="s">
        <v>172</v>
      </c>
      <c r="E122" s="278" t="s">
        <v>173</v>
      </c>
      <c r="F122" s="278" t="s">
        <v>174</v>
      </c>
      <c r="G122" s="278" t="s">
        <v>973</v>
      </c>
      <c r="H122" s="278" t="s">
        <v>175</v>
      </c>
      <c r="I122" s="279"/>
      <c r="J122" s="279">
        <v>176</v>
      </c>
      <c r="K122" s="278">
        <v>33</v>
      </c>
      <c r="L122" s="210">
        <f>I122+J122*EERR!$D$2</f>
        <v>115410.24000000001</v>
      </c>
      <c r="M122" s="136">
        <f>L122/EERR!$D$2</f>
        <v>176</v>
      </c>
      <c r="N122" s="136">
        <f>SUMIF(Abril!$B$3:$B$98,A122,Abril!$S$3:$S$98)+SUMIF(Abril!$C$3:$C$98,A122,Abril!$S$3:$S$98)</f>
        <v>0</v>
      </c>
    </row>
    <row r="123" spans="1:14" ht="15" x14ac:dyDescent="0.25">
      <c r="A123" s="276">
        <v>70063</v>
      </c>
      <c r="B123" s="277">
        <v>42852.782638888886</v>
      </c>
      <c r="C123" s="278">
        <v>30975278</v>
      </c>
      <c r="D123" s="278" t="s">
        <v>172</v>
      </c>
      <c r="E123" s="278" t="s">
        <v>173</v>
      </c>
      <c r="F123" s="278" t="s">
        <v>178</v>
      </c>
      <c r="G123" s="278" t="s">
        <v>974</v>
      </c>
      <c r="H123" s="278" t="s">
        <v>175</v>
      </c>
      <c r="I123" s="279"/>
      <c r="J123" s="279">
        <v>220</v>
      </c>
      <c r="K123" s="278">
        <v>63294</v>
      </c>
      <c r="L123" s="210">
        <f>I123+J123*EERR!$D$2</f>
        <v>144262.79999999999</v>
      </c>
      <c r="M123" s="136">
        <f>L123/EERR!$D$2</f>
        <v>219.99999999999997</v>
      </c>
      <c r="N123" s="136">
        <f>SUMIF(Abril!$B$3:$B$98,A123,Abril!$S$3:$S$98)+SUMIF(Abril!$C$3:$C$98,A123,Abril!$S$3:$S$98)</f>
        <v>0</v>
      </c>
    </row>
    <row r="124" spans="1:14" ht="15" x14ac:dyDescent="0.25">
      <c r="A124" s="276">
        <v>91802</v>
      </c>
      <c r="B124" s="277">
        <v>42852.803472222222</v>
      </c>
      <c r="C124" s="278">
        <v>30975278</v>
      </c>
      <c r="D124" s="278" t="s">
        <v>172</v>
      </c>
      <c r="E124" s="278" t="s">
        <v>173</v>
      </c>
      <c r="F124" s="278" t="s">
        <v>177</v>
      </c>
      <c r="G124" s="278" t="s">
        <v>975</v>
      </c>
      <c r="H124" s="278" t="s">
        <v>175</v>
      </c>
      <c r="I124" s="279"/>
      <c r="J124" s="279">
        <v>151</v>
      </c>
      <c r="K124" s="278">
        <v>182163</v>
      </c>
      <c r="L124" s="210">
        <f>I124+J124*EERR!$D$2</f>
        <v>99016.74</v>
      </c>
      <c r="M124" s="136">
        <f>L124/EERR!$D$2</f>
        <v>151</v>
      </c>
      <c r="N124" s="136">
        <f>SUMIF(Abril!$B$3:$B$98,A124,Abril!$S$3:$S$98)+SUMIF(Abril!$C$3:$C$98,A124,Abril!$S$3:$S$98)</f>
        <v>0</v>
      </c>
    </row>
    <row r="125" spans="1:14" ht="15" x14ac:dyDescent="0.25">
      <c r="A125" s="276">
        <v>70631</v>
      </c>
      <c r="B125" s="277">
        <v>42852.833333333336</v>
      </c>
      <c r="C125" s="278">
        <v>30905830</v>
      </c>
      <c r="D125" s="278" t="s">
        <v>172</v>
      </c>
      <c r="E125" s="278" t="s">
        <v>176</v>
      </c>
      <c r="F125" s="278" t="s">
        <v>177</v>
      </c>
      <c r="G125" s="278" t="s">
        <v>976</v>
      </c>
      <c r="H125" s="278" t="s">
        <v>176</v>
      </c>
      <c r="I125" s="279">
        <v>151992</v>
      </c>
      <c r="J125" s="279"/>
      <c r="K125" s="278">
        <v>516452</v>
      </c>
      <c r="L125" s="210">
        <f>I125+J125*EERR!$D$2</f>
        <v>151992</v>
      </c>
      <c r="M125" s="136">
        <f>L125/EERR!$D$2</f>
        <v>231.78698874553939</v>
      </c>
      <c r="N125" s="136">
        <f>SUMIF(Abril!$B$3:$B$98,A125,Abril!$S$3:$S$98)+SUMIF(Abril!$C$3:$C$98,A125,Abril!$S$3:$S$98)</f>
        <v>0</v>
      </c>
    </row>
    <row r="126" spans="1:14" ht="15" x14ac:dyDescent="0.25">
      <c r="A126" s="276">
        <v>6287</v>
      </c>
      <c r="B126" s="277">
        <v>42852.842361111114</v>
      </c>
      <c r="C126" s="278">
        <v>30975278</v>
      </c>
      <c r="D126" s="278" t="s">
        <v>172</v>
      </c>
      <c r="E126" s="278" t="s">
        <v>173</v>
      </c>
      <c r="F126" s="278" t="s">
        <v>178</v>
      </c>
      <c r="G126" s="278" t="s">
        <v>930</v>
      </c>
      <c r="H126" s="278" t="s">
        <v>175</v>
      </c>
      <c r="I126" s="279"/>
      <c r="J126" s="279">
        <v>392</v>
      </c>
      <c r="K126" s="278">
        <v>809434</v>
      </c>
      <c r="L126" s="210">
        <f>I126+J126*EERR!$D$2</f>
        <v>257050.08000000002</v>
      </c>
      <c r="M126" s="136">
        <f>L126/EERR!$D$2</f>
        <v>392</v>
      </c>
      <c r="N126" s="136">
        <f>SUMIF(Abril!$B$3:$B$98,A126,Abril!$S$3:$S$98)+SUMIF(Abril!$C$3:$C$98,A126,Abril!$S$3:$S$98)</f>
        <v>0</v>
      </c>
    </row>
    <row r="127" spans="1:14" ht="15" x14ac:dyDescent="0.25">
      <c r="A127" s="276">
        <v>64925</v>
      </c>
      <c r="B127" s="277">
        <v>42853.534722222219</v>
      </c>
      <c r="C127" s="278">
        <v>30905830</v>
      </c>
      <c r="D127" s="278" t="s">
        <v>172</v>
      </c>
      <c r="E127" s="278" t="s">
        <v>176</v>
      </c>
      <c r="F127" s="278" t="s">
        <v>177</v>
      </c>
      <c r="G127" s="278" t="s">
        <v>928</v>
      </c>
      <c r="H127" s="278" t="s">
        <v>176</v>
      </c>
      <c r="I127" s="279">
        <v>338770</v>
      </c>
      <c r="J127" s="279"/>
      <c r="K127" s="278">
        <v>967384</v>
      </c>
      <c r="L127" s="210">
        <f>I127+J127*EERR!$D$2</f>
        <v>338770</v>
      </c>
      <c r="M127" s="136">
        <f>L127/EERR!$D$2</f>
        <v>516.62244182145366</v>
      </c>
      <c r="N127" s="136">
        <f>SUMIF(Abril!$B$3:$B$98,A127,Abril!$S$3:$S$98)+SUMIF(Abril!$C$3:$C$98,A127,Abril!$S$3:$S$98)</f>
        <v>508155</v>
      </c>
    </row>
    <row r="128" spans="1:14" ht="15" x14ac:dyDescent="0.25">
      <c r="A128" s="276">
        <v>89213</v>
      </c>
      <c r="B128" s="277">
        <v>42854.415277777778</v>
      </c>
      <c r="C128" s="278">
        <v>30975278</v>
      </c>
      <c r="D128" s="278" t="s">
        <v>172</v>
      </c>
      <c r="E128" s="278" t="s">
        <v>173</v>
      </c>
      <c r="F128" s="278" t="s">
        <v>178</v>
      </c>
      <c r="G128" s="278" t="s">
        <v>925</v>
      </c>
      <c r="H128" s="278" t="s">
        <v>175</v>
      </c>
      <c r="I128" s="279"/>
      <c r="J128" s="279">
        <v>635</v>
      </c>
      <c r="K128" s="278">
        <v>682702</v>
      </c>
      <c r="L128" s="210">
        <f>I128+J128*EERR!$D$2</f>
        <v>416394.9</v>
      </c>
      <c r="M128" s="136">
        <f>L128/EERR!$D$2</f>
        <v>635</v>
      </c>
      <c r="N128" s="136">
        <f>SUMIF(Abril!$B$3:$B$98,A128,Abril!$S$3:$S$98)+SUMIF(Abril!$C$3:$C$98,A128,Abril!$S$3:$S$98)</f>
        <v>0</v>
      </c>
    </row>
    <row r="129" spans="1:16" ht="15" x14ac:dyDescent="0.25">
      <c r="A129" s="276">
        <v>18967</v>
      </c>
      <c r="B129" s="277">
        <v>42854.490277777775</v>
      </c>
      <c r="C129" s="278">
        <v>30975278</v>
      </c>
      <c r="D129" s="278" t="s">
        <v>172</v>
      </c>
      <c r="E129" s="278" t="s">
        <v>173</v>
      </c>
      <c r="F129" s="278" t="s">
        <v>178</v>
      </c>
      <c r="G129" s="278" t="s">
        <v>977</v>
      </c>
      <c r="H129" s="278" t="s">
        <v>175</v>
      </c>
      <c r="I129" s="279"/>
      <c r="J129" s="279">
        <v>390</v>
      </c>
      <c r="K129" s="278">
        <v>90408</v>
      </c>
      <c r="L129" s="210">
        <f>I129+J129*EERR!$D$2</f>
        <v>255738.6</v>
      </c>
      <c r="M129" s="136">
        <f>L129/EERR!$D$2</f>
        <v>390</v>
      </c>
      <c r="N129" s="136">
        <f>SUMIF(Abril!$B$3:$B$98,A129,Abril!$S$3:$S$98)+SUMIF(Abril!$C$3:$C$98,A129,Abril!$S$3:$S$98)</f>
        <v>0</v>
      </c>
    </row>
    <row r="130" spans="1:16" ht="15" x14ac:dyDescent="0.25">
      <c r="A130" s="276">
        <v>3249</v>
      </c>
      <c r="B130" s="277">
        <v>42854.535416666666</v>
      </c>
      <c r="C130" s="278">
        <v>30905830</v>
      </c>
      <c r="D130" s="278" t="s">
        <v>172</v>
      </c>
      <c r="E130" s="278" t="s">
        <v>176</v>
      </c>
      <c r="F130" s="278" t="s">
        <v>305</v>
      </c>
      <c r="G130" s="278" t="s">
        <v>978</v>
      </c>
      <c r="H130" s="278" t="s">
        <v>176</v>
      </c>
      <c r="I130" s="279">
        <v>169385</v>
      </c>
      <c r="J130" s="279"/>
      <c r="K130" s="278">
        <v>2849</v>
      </c>
      <c r="L130" s="210">
        <f>I130+J130*EERR!$D$2</f>
        <v>169385</v>
      </c>
      <c r="M130" s="136">
        <f>L130/EERR!$D$2</f>
        <v>258.31122091072683</v>
      </c>
      <c r="N130" s="136">
        <f>SUMIF(Abril!$B$3:$B$98,A130,Abril!$S$3:$S$98)+SUMIF(Abril!$C$3:$C$98,A130,Abril!$S$3:$S$98)</f>
        <v>338770</v>
      </c>
    </row>
    <row r="131" spans="1:16" ht="15" x14ac:dyDescent="0.25">
      <c r="A131" s="276">
        <v>53828</v>
      </c>
      <c r="B131" s="277">
        <v>42854.536805555559</v>
      </c>
      <c r="C131" s="278">
        <v>30905830</v>
      </c>
      <c r="D131" s="278" t="s">
        <v>172</v>
      </c>
      <c r="E131" s="278" t="s">
        <v>176</v>
      </c>
      <c r="F131" s="278" t="s">
        <v>305</v>
      </c>
      <c r="G131" s="278" t="s">
        <v>978</v>
      </c>
      <c r="H131" s="278" t="s">
        <v>176</v>
      </c>
      <c r="I131" s="279">
        <v>151065</v>
      </c>
      <c r="J131" s="279"/>
      <c r="K131" s="278">
        <v>2868</v>
      </c>
      <c r="L131" s="210">
        <f>I131+J131*EERR!$D$2</f>
        <v>151065</v>
      </c>
      <c r="M131" s="136">
        <f>L131/EERR!$D$2</f>
        <v>230.37331869338456</v>
      </c>
      <c r="N131" s="136">
        <f>SUMIF(Abril!$B$3:$B$98,A131,Abril!$S$3:$S$98)+SUMIF(Abril!$C$3:$C$98,A131,Abril!$S$3:$S$98)</f>
        <v>0</v>
      </c>
    </row>
    <row r="132" spans="1:16" ht="15" x14ac:dyDescent="0.25">
      <c r="A132" s="276">
        <v>29300</v>
      </c>
      <c r="B132" s="277">
        <v>42854.543055555558</v>
      </c>
      <c r="C132" s="278">
        <v>30975278</v>
      </c>
      <c r="D132" s="278" t="s">
        <v>172</v>
      </c>
      <c r="E132" s="278" t="s">
        <v>173</v>
      </c>
      <c r="F132" s="278" t="s">
        <v>178</v>
      </c>
      <c r="G132" s="278" t="s">
        <v>979</v>
      </c>
      <c r="H132" s="278" t="s">
        <v>175</v>
      </c>
      <c r="I132" s="279"/>
      <c r="J132" s="279">
        <v>305</v>
      </c>
      <c r="K132" s="278">
        <v>272704</v>
      </c>
      <c r="L132" s="210">
        <f>I132+J132*EERR!$D$2</f>
        <v>200000.7</v>
      </c>
      <c r="M132" s="136">
        <f>L132/EERR!$D$2</f>
        <v>305</v>
      </c>
      <c r="N132" s="136">
        <f>SUMIF(Abril!$B$3:$B$98,A132,Abril!$S$3:$S$98)+SUMIF(Abril!$C$3:$C$98,A132,Abril!$S$3:$S$98)</f>
        <v>0</v>
      </c>
    </row>
    <row r="133" spans="1:16" ht="15" x14ac:dyDescent="0.25">
      <c r="A133" s="276">
        <v>29300</v>
      </c>
      <c r="B133" s="277">
        <v>42854.543749999997</v>
      </c>
      <c r="C133" s="278">
        <v>30975278</v>
      </c>
      <c r="D133" s="278" t="s">
        <v>172</v>
      </c>
      <c r="E133" s="278" t="s">
        <v>173</v>
      </c>
      <c r="F133" s="278" t="s">
        <v>178</v>
      </c>
      <c r="G133" s="278" t="s">
        <v>950</v>
      </c>
      <c r="H133" s="278" t="s">
        <v>175</v>
      </c>
      <c r="I133" s="279"/>
      <c r="J133" s="279">
        <v>500</v>
      </c>
      <c r="K133" s="278">
        <v>75049</v>
      </c>
      <c r="L133" s="210">
        <f>I133+J133*EERR!$D$2</f>
        <v>327870</v>
      </c>
      <c r="M133" s="136">
        <f>L133/EERR!$D$2</f>
        <v>500</v>
      </c>
      <c r="N133" s="136">
        <f>SUMIF(Abril!$B$3:$B$98,A133,Abril!$S$3:$S$98)+SUMIF(Abril!$C$3:$C$98,A133,Abril!$S$3:$S$98)</f>
        <v>0</v>
      </c>
    </row>
    <row r="134" spans="1:16" ht="15" x14ac:dyDescent="0.25">
      <c r="A134" s="276">
        <v>57078</v>
      </c>
      <c r="B134" s="277">
        <v>42854.585416666669</v>
      </c>
      <c r="C134" s="278">
        <v>30975278</v>
      </c>
      <c r="D134" s="278" t="s">
        <v>172</v>
      </c>
      <c r="E134" s="278" t="s">
        <v>173</v>
      </c>
      <c r="F134" s="278" t="s">
        <v>174</v>
      </c>
      <c r="G134" s="278" t="s">
        <v>980</v>
      </c>
      <c r="H134" s="278" t="s">
        <v>175</v>
      </c>
      <c r="I134" s="279"/>
      <c r="J134" s="279">
        <v>175</v>
      </c>
      <c r="K134" s="278">
        <v>13</v>
      </c>
      <c r="L134" s="210">
        <f>I134+J134*EERR!$D$2</f>
        <v>114754.5</v>
      </c>
      <c r="M134" s="136">
        <f>L134/EERR!$D$2</f>
        <v>175</v>
      </c>
      <c r="N134" s="136">
        <f>SUMIF(Abril!$B$3:$B$98,A134,Abril!$S$3:$S$98)+SUMIF(Abril!$C$3:$C$98,A134,Abril!$S$3:$S$98)</f>
        <v>0</v>
      </c>
    </row>
    <row r="135" spans="1:16" ht="15" x14ac:dyDescent="0.25">
      <c r="A135" s="276">
        <v>97818</v>
      </c>
      <c r="B135" s="277">
        <v>42854.886111111111</v>
      </c>
      <c r="C135" s="278">
        <v>30905830</v>
      </c>
      <c r="D135" s="278" t="s">
        <v>172</v>
      </c>
      <c r="E135" s="278" t="s">
        <v>176</v>
      </c>
      <c r="F135" s="278" t="s">
        <v>174</v>
      </c>
      <c r="G135" s="278" t="s">
        <v>954</v>
      </c>
      <c r="H135" s="278" t="s">
        <v>176</v>
      </c>
      <c r="I135" s="279">
        <v>462243</v>
      </c>
      <c r="J135" s="279"/>
      <c r="K135" s="278">
        <v>209821</v>
      </c>
      <c r="L135" s="210">
        <f>I135+J135*EERR!$D$2</f>
        <v>462243</v>
      </c>
      <c r="M135" s="136">
        <f>L135/EERR!$D$2</f>
        <v>704.91810778662273</v>
      </c>
      <c r="N135" s="136">
        <f>SUMIF(Abril!$B$3:$B$98,A135,Abril!$S$3:$S$98)+SUMIF(Abril!$C$3:$C$98,A135,Abril!$S$3:$S$98)</f>
        <v>462243</v>
      </c>
    </row>
    <row r="136" spans="1:16" ht="15" x14ac:dyDescent="0.25">
      <c r="A136" s="276">
        <v>23868</v>
      </c>
      <c r="B136" s="277">
        <v>42855.805555555555</v>
      </c>
      <c r="C136" s="278">
        <v>30975278</v>
      </c>
      <c r="D136" s="278" t="s">
        <v>172</v>
      </c>
      <c r="E136" s="278" t="s">
        <v>173</v>
      </c>
      <c r="F136" s="278" t="s">
        <v>305</v>
      </c>
      <c r="G136" s="278" t="s">
        <v>981</v>
      </c>
      <c r="H136" s="278" t="s">
        <v>175</v>
      </c>
      <c r="I136" s="279"/>
      <c r="J136" s="279">
        <v>805</v>
      </c>
      <c r="K136" s="278">
        <v>70426</v>
      </c>
      <c r="L136" s="210">
        <f>I136+J136*EERR!$D$2</f>
        <v>527870.69999999995</v>
      </c>
      <c r="M136" s="136">
        <f>L136/EERR!$D$2</f>
        <v>804.99999999999989</v>
      </c>
      <c r="N136" s="136">
        <f>SUMIF(Abril!$B$3:$B$98,A136,Abril!$S$3:$S$98)+SUMIF(Abril!$C$3:$C$98,A136,Abril!$S$3:$S$98)</f>
        <v>0</v>
      </c>
    </row>
    <row r="137" spans="1:16" ht="15" x14ac:dyDescent="0.25">
      <c r="A137" s="276">
        <v>93374</v>
      </c>
      <c r="B137" s="277">
        <v>42855.936805555553</v>
      </c>
      <c r="C137" s="278">
        <v>30905830</v>
      </c>
      <c r="D137" s="278" t="s">
        <v>172</v>
      </c>
      <c r="E137" s="278" t="s">
        <v>176</v>
      </c>
      <c r="F137" s="278" t="s">
        <v>305</v>
      </c>
      <c r="G137" s="278" t="s">
        <v>982</v>
      </c>
      <c r="H137" s="278" t="s">
        <v>176</v>
      </c>
      <c r="I137" s="279">
        <v>154313</v>
      </c>
      <c r="J137" s="279"/>
      <c r="K137" s="278">
        <v>42240</v>
      </c>
      <c r="L137" s="210">
        <f>I137+J137*EERR!$D$2</f>
        <v>154313</v>
      </c>
      <c r="M137" s="136">
        <f>L137/EERR!$D$2</f>
        <v>235.32650135724523</v>
      </c>
      <c r="N137" s="136">
        <f>SUMIF(Abril!$B$3:$B$98,A137,Abril!$S$3:$S$98)+SUMIF(Abril!$C$3:$C$98,A137,Abril!$S$3:$S$98)</f>
        <v>0</v>
      </c>
    </row>
    <row r="138" spans="1:16" ht="15" x14ac:dyDescent="0.25">
      <c r="A138" s="276">
        <v>97704</v>
      </c>
      <c r="B138" s="277">
        <v>42855.941666666666</v>
      </c>
      <c r="C138" s="278">
        <v>30975278</v>
      </c>
      <c r="D138" s="278" t="s">
        <v>172</v>
      </c>
      <c r="E138" s="278" t="s">
        <v>173</v>
      </c>
      <c r="F138" s="278" t="s">
        <v>305</v>
      </c>
      <c r="G138" s="278" t="s">
        <v>983</v>
      </c>
      <c r="H138" s="278" t="s">
        <v>175</v>
      </c>
      <c r="I138" s="279"/>
      <c r="J138" s="279">
        <v>175</v>
      </c>
      <c r="K138" s="278">
        <v>78979</v>
      </c>
      <c r="L138" s="210">
        <f>I138+J138*EERR!$D$2</f>
        <v>114754.5</v>
      </c>
      <c r="M138" s="136">
        <f>L138/EERR!$D$2</f>
        <v>175</v>
      </c>
      <c r="N138" s="136">
        <f>SUMIF(Abril!$B$3:$B$98,A138,Abril!$S$3:$S$98)+SUMIF(Abril!$C$3:$C$98,A138,Abril!$S$3:$S$98)</f>
        <v>0</v>
      </c>
    </row>
    <row r="139" spans="1:16" ht="15" x14ac:dyDescent="0.25">
      <c r="A139" s="276">
        <v>97363</v>
      </c>
      <c r="B139" s="277">
        <v>42855.942361111112</v>
      </c>
      <c r="C139" s="278">
        <v>30905830</v>
      </c>
      <c r="D139" s="278" t="s">
        <v>172</v>
      </c>
      <c r="E139" s="278" t="s">
        <v>176</v>
      </c>
      <c r="F139" s="278" t="s">
        <v>305</v>
      </c>
      <c r="G139" s="278" t="s">
        <v>984</v>
      </c>
      <c r="H139" s="278" t="s">
        <v>176</v>
      </c>
      <c r="I139" s="279">
        <v>154313</v>
      </c>
      <c r="J139" s="279"/>
      <c r="K139" s="278">
        <v>203764</v>
      </c>
      <c r="L139" s="210">
        <f>I139+J139*EERR!$D$2</f>
        <v>154313</v>
      </c>
      <c r="M139" s="136">
        <f>L139/EERR!$D$2</f>
        <v>235.32650135724523</v>
      </c>
      <c r="N139" s="136">
        <f>SUMIF(Abril!$B$3:$B$98,A139,Abril!$S$3:$S$98)+SUMIF(Abril!$C$3:$C$98,A139,Abril!$S$3:$S$98)</f>
        <v>0</v>
      </c>
    </row>
    <row r="140" spans="1:16" ht="15" x14ac:dyDescent="0.25">
      <c r="A140" s="303">
        <v>45018</v>
      </c>
      <c r="B140" s="304">
        <v>42828.70208333333</v>
      </c>
      <c r="C140" s="305">
        <v>30905830</v>
      </c>
      <c r="D140" s="305" t="s">
        <v>172</v>
      </c>
      <c r="E140" s="305" t="s">
        <v>176</v>
      </c>
      <c r="F140" s="305" t="s">
        <v>198</v>
      </c>
      <c r="G140" s="305" t="s">
        <v>985</v>
      </c>
      <c r="H140" s="305" t="s">
        <v>199</v>
      </c>
      <c r="I140" s="306">
        <v>256011</v>
      </c>
      <c r="J140" s="306"/>
      <c r="K140" s="305">
        <v>85</v>
      </c>
      <c r="L140" s="210">
        <f>I140+J140*EERR!$D$2</f>
        <v>256011</v>
      </c>
      <c r="M140" s="136">
        <f>L140/EERR!$D$2</f>
        <v>390.41540854607007</v>
      </c>
      <c r="N140" s="136">
        <f>SUMIF(Abril!$B$3:$B$98,A140,Abril!$S$3:$S$98)+SUMIF(Abril!$C$3:$C$98,A140,Abril!$S$3:$S$98)</f>
        <v>788952</v>
      </c>
      <c r="P140" s="70" t="s">
        <v>987</v>
      </c>
    </row>
    <row r="141" spans="1:16" ht="15" x14ac:dyDescent="0.25">
      <c r="A141" s="303">
        <v>27904</v>
      </c>
      <c r="B141" s="304">
        <v>42845.502083333333</v>
      </c>
      <c r="C141" s="305">
        <v>30905830</v>
      </c>
      <c r="D141" s="305" t="s">
        <v>172</v>
      </c>
      <c r="E141" s="305" t="s">
        <v>176</v>
      </c>
      <c r="F141" s="305" t="s">
        <v>177</v>
      </c>
      <c r="G141" s="305" t="s">
        <v>986</v>
      </c>
      <c r="H141" s="305" t="s">
        <v>179</v>
      </c>
      <c r="I141" s="306">
        <v>347146</v>
      </c>
      <c r="J141" s="306"/>
      <c r="K141" s="305">
        <v>652317</v>
      </c>
      <c r="L141" s="210">
        <f>I141+J141*EERR!$D$2</f>
        <v>347146</v>
      </c>
      <c r="M141" s="136">
        <f>L141/EERR!$D$2</f>
        <v>529.39579711471004</v>
      </c>
      <c r="N141" s="136">
        <f>SUMIF(Abril!$B$3:$B$98,A141,Abril!$S$3:$S$98)+SUMIF(Abril!$C$3:$C$98,A141,Abril!$S$3:$S$98)</f>
        <v>694292</v>
      </c>
      <c r="P141" s="70" t="s">
        <v>987</v>
      </c>
    </row>
    <row r="142" spans="1:16" ht="15" x14ac:dyDescent="0.25">
      <c r="A142" s="303">
        <v>27904</v>
      </c>
      <c r="B142" s="304">
        <v>42845.625</v>
      </c>
      <c r="C142" s="305">
        <v>30905830</v>
      </c>
      <c r="D142" s="305" t="s">
        <v>172</v>
      </c>
      <c r="E142" s="305" t="s">
        <v>176</v>
      </c>
      <c r="F142" s="305" t="s">
        <v>177</v>
      </c>
      <c r="G142" s="305" t="s">
        <v>722</v>
      </c>
      <c r="H142" s="305" t="s">
        <v>176</v>
      </c>
      <c r="I142" s="306">
        <v>173573</v>
      </c>
      <c r="J142" s="306"/>
      <c r="K142" s="305">
        <v>609204</v>
      </c>
      <c r="L142" s="210">
        <f>I142+J142*EERR!$D$2</f>
        <v>173573</v>
      </c>
      <c r="M142" s="136">
        <f>L142/EERR!$D$2</f>
        <v>264.69789855735502</v>
      </c>
      <c r="N142" s="136">
        <f>SUMIF(Abril!$B$3:$B$98,A142,Abril!$S$3:$S$98)+SUMIF(Abril!$C$3:$C$98,A142,Abril!$S$3:$S$98)</f>
        <v>694292</v>
      </c>
      <c r="P142" s="70" t="s">
        <v>987</v>
      </c>
    </row>
    <row r="143" spans="1:16" ht="15" x14ac:dyDescent="0.25">
      <c r="A143" s="276"/>
      <c r="B143" s="277"/>
      <c r="C143" s="278"/>
      <c r="D143" s="278"/>
      <c r="E143" s="278"/>
      <c r="F143" s="278"/>
      <c r="G143" s="278"/>
      <c r="H143" s="278"/>
      <c r="I143" s="279"/>
      <c r="J143" s="279"/>
      <c r="K143" s="278"/>
      <c r="L143" s="210">
        <f>I143+J143*EERR!$D$2</f>
        <v>0</v>
      </c>
      <c r="M143" s="136">
        <f>L143/EERR!$D$2</f>
        <v>0</v>
      </c>
      <c r="N143" s="136">
        <f>SUMIF(Abril!$B$3:$B$98,A143,Abril!$S$3:$S$98)+SUMIF(Abril!$C$3:$C$98,A143,Abril!$S$3:$S$98)</f>
        <v>0</v>
      </c>
    </row>
    <row r="144" spans="1:16" ht="15" x14ac:dyDescent="0.25">
      <c r="A144" s="276"/>
      <c r="B144" s="277"/>
      <c r="C144" s="278"/>
      <c r="D144" s="278"/>
      <c r="E144" s="278"/>
      <c r="F144" s="278"/>
      <c r="G144" s="278"/>
      <c r="H144" s="278"/>
      <c r="I144" s="279"/>
      <c r="J144" s="279"/>
      <c r="K144" s="278"/>
      <c r="L144" s="210">
        <f>I144+J144*EERR!$D$2</f>
        <v>0</v>
      </c>
      <c r="M144" s="136">
        <f>L144/EERR!$D$2</f>
        <v>0</v>
      </c>
      <c r="N144" s="136">
        <f>SUMIF(Abril!$B$3:$B$98,A144,Abril!$S$3:$S$98)+SUMIF(Abril!$C$3:$C$98,A144,Abril!$S$3:$S$98)</f>
        <v>0</v>
      </c>
    </row>
    <row r="145" spans="1:14" ht="15" x14ac:dyDescent="0.25">
      <c r="A145" s="276"/>
      <c r="B145" s="277"/>
      <c r="C145" s="278"/>
      <c r="D145" s="278"/>
      <c r="E145" s="278"/>
      <c r="F145" s="278"/>
      <c r="G145" s="278"/>
      <c r="H145" s="278"/>
      <c r="I145" s="279"/>
      <c r="J145" s="279"/>
      <c r="K145" s="278"/>
      <c r="L145" s="210">
        <f>I145+J145*EERR!$D$2</f>
        <v>0</v>
      </c>
      <c r="M145" s="136">
        <f>L145/EERR!$D$2</f>
        <v>0</v>
      </c>
      <c r="N145" s="136">
        <f>SUMIF(Abril!$B$3:$B$98,A145,Abril!$S$3:$S$98)+SUMIF(Abril!$C$3:$C$98,A145,Abril!$S$3:$S$98)</f>
        <v>0</v>
      </c>
    </row>
    <row r="146" spans="1:14" ht="15" x14ac:dyDescent="0.25">
      <c r="A146" s="276"/>
      <c r="B146" s="277"/>
      <c r="C146" s="278"/>
      <c r="D146" s="278"/>
      <c r="E146" s="278"/>
      <c r="F146" s="278"/>
      <c r="G146" s="278"/>
      <c r="H146" s="278"/>
      <c r="I146" s="279"/>
      <c r="J146" s="279"/>
      <c r="K146" s="278"/>
      <c r="L146" s="210">
        <f>I146+J146*EERR!$D$2</f>
        <v>0</v>
      </c>
      <c r="M146" s="136">
        <f>L146/EERR!$D$2</f>
        <v>0</v>
      </c>
      <c r="N146" s="136">
        <f>SUMIF(Abril!$B$3:$B$98,A146,Abril!$S$3:$S$98)+SUMIF(Abril!$C$3:$C$98,A146,Abril!$S$3:$S$98)</f>
        <v>0</v>
      </c>
    </row>
    <row r="147" spans="1:14" ht="15" x14ac:dyDescent="0.25">
      <c r="A147" s="276"/>
      <c r="B147" s="277"/>
      <c r="C147" s="278"/>
      <c r="D147" s="278"/>
      <c r="E147" s="278"/>
      <c r="F147" s="278"/>
      <c r="G147" s="278"/>
      <c r="H147" s="278"/>
      <c r="I147" s="279"/>
      <c r="J147" s="279"/>
      <c r="K147" s="278"/>
      <c r="L147" s="210">
        <f>I147+J147*EERR!$D$2</f>
        <v>0</v>
      </c>
      <c r="M147" s="136">
        <f>L147/EERR!$D$2</f>
        <v>0</v>
      </c>
      <c r="N147" s="136">
        <f>SUMIF(Abril!$B$3:$B$98,A147,Abril!$S$3:$S$98)+SUMIF(Abril!$C$3:$C$98,A147,Abril!$S$3:$S$98)</f>
        <v>0</v>
      </c>
    </row>
    <row r="148" spans="1:14" ht="15" x14ac:dyDescent="0.25">
      <c r="A148" s="276"/>
      <c r="B148" s="277"/>
      <c r="C148" s="278"/>
      <c r="D148" s="278"/>
      <c r="E148" s="278"/>
      <c r="F148" s="278"/>
      <c r="G148" s="278"/>
      <c r="H148" s="278"/>
      <c r="I148" s="279"/>
      <c r="J148" s="279"/>
      <c r="K148" s="278"/>
      <c r="L148" s="210">
        <f>I148+J148*EERR!$D$2</f>
        <v>0</v>
      </c>
      <c r="M148" s="136">
        <f>L148/EERR!$D$2</f>
        <v>0</v>
      </c>
      <c r="N148" s="136">
        <f>SUMIF(Abril!$B$3:$B$98,A148,Abril!$S$3:$S$98)+SUMIF(Abril!$C$3:$C$98,A148,Abril!$S$3:$S$98)</f>
        <v>0</v>
      </c>
    </row>
    <row r="149" spans="1:14" ht="15" x14ac:dyDescent="0.25">
      <c r="A149" s="276"/>
      <c r="B149" s="277"/>
      <c r="C149" s="278"/>
      <c r="D149" s="278"/>
      <c r="E149" s="278"/>
      <c r="F149" s="278"/>
      <c r="G149" s="278"/>
      <c r="H149" s="278"/>
      <c r="I149" s="279"/>
      <c r="J149" s="279"/>
      <c r="K149" s="278"/>
      <c r="L149" s="210">
        <f>I149+J149*EERR!$D$2</f>
        <v>0</v>
      </c>
      <c r="M149" s="136">
        <f>L149/EERR!$D$2</f>
        <v>0</v>
      </c>
      <c r="N149" s="136">
        <f>SUMIF(Abril!$B$3:$B$98,A149,Abril!$S$3:$S$98)+SUMIF(Abril!$C$3:$C$98,A149,Abril!$S$3:$S$98)</f>
        <v>0</v>
      </c>
    </row>
    <row r="150" spans="1:14" ht="15" x14ac:dyDescent="0.25">
      <c r="A150" s="276"/>
      <c r="B150" s="277"/>
      <c r="C150" s="278"/>
      <c r="D150" s="278"/>
      <c r="E150" s="278"/>
      <c r="F150" s="278"/>
      <c r="G150" s="278"/>
      <c r="H150" s="278"/>
      <c r="I150" s="279"/>
      <c r="J150" s="279"/>
      <c r="K150" s="278"/>
      <c r="L150" s="210">
        <f>I150+J150*EERR!$D$2</f>
        <v>0</v>
      </c>
      <c r="M150" s="136">
        <f>L150/EERR!$D$2</f>
        <v>0</v>
      </c>
      <c r="N150" s="136">
        <f>SUMIF(Abril!$B$3:$B$98,A150,Abril!$S$3:$S$98)+SUMIF(Abril!$C$3:$C$98,A150,Abril!$S$3:$S$98)</f>
        <v>0</v>
      </c>
    </row>
    <row r="151" spans="1:14" ht="15" x14ac:dyDescent="0.25">
      <c r="A151" s="276"/>
      <c r="B151" s="277"/>
      <c r="C151" s="278"/>
      <c r="D151" s="278"/>
      <c r="E151" s="278"/>
      <c r="F151" s="278"/>
      <c r="G151" s="278"/>
      <c r="H151" s="278"/>
      <c r="I151" s="279"/>
      <c r="J151" s="279"/>
      <c r="K151" s="278"/>
      <c r="L151" s="210">
        <f>I151+J151*EERR!$D$2</f>
        <v>0</v>
      </c>
      <c r="M151" s="136">
        <f>L151/EERR!$D$2</f>
        <v>0</v>
      </c>
      <c r="N151" s="136">
        <f>SUMIF(Abril!$B$3:$B$98,A151,Abril!$S$3:$S$98)+SUMIF(Abril!$C$3:$C$98,A151,Abril!$S$3:$S$98)</f>
        <v>0</v>
      </c>
    </row>
    <row r="152" spans="1:14" ht="15" x14ac:dyDescent="0.25">
      <c r="A152" s="276"/>
      <c r="B152" s="277"/>
      <c r="C152" s="278"/>
      <c r="D152" s="278"/>
      <c r="E152" s="278"/>
      <c r="F152" s="278"/>
      <c r="G152" s="278"/>
      <c r="H152" s="278"/>
      <c r="I152" s="279"/>
      <c r="J152" s="279"/>
      <c r="K152" s="278"/>
      <c r="L152" s="210">
        <f>I152+J152*EERR!$D$2</f>
        <v>0</v>
      </c>
      <c r="M152" s="136">
        <f>L152/EERR!$D$2</f>
        <v>0</v>
      </c>
      <c r="N152" s="136">
        <f>SUMIF(Abril!$B$3:$B$98,A152,Abril!$S$3:$S$98)+SUMIF(Abril!$C$3:$C$98,A152,Abril!$S$3:$S$98)</f>
        <v>0</v>
      </c>
    </row>
    <row r="153" spans="1:14" ht="15" x14ac:dyDescent="0.25">
      <c r="A153" s="276"/>
      <c r="B153" s="277"/>
      <c r="C153" s="278"/>
      <c r="D153" s="278"/>
      <c r="E153" s="278"/>
      <c r="F153" s="278"/>
      <c r="G153" s="278"/>
      <c r="H153" s="278"/>
      <c r="I153" s="279"/>
      <c r="J153" s="279"/>
      <c r="K153" s="278"/>
      <c r="L153" s="210">
        <f>I153+J153*EERR!$D$2</f>
        <v>0</v>
      </c>
      <c r="M153" s="136">
        <f>L153/EERR!$D$2</f>
        <v>0</v>
      </c>
      <c r="N153" s="136">
        <f>SUMIF(Abril!$B$3:$B$98,A153,Abril!$S$3:$S$98)+SUMIF(Abril!$C$3:$C$98,A153,Abril!$S$3:$S$98)</f>
        <v>0</v>
      </c>
    </row>
    <row r="154" spans="1:14" ht="15" x14ac:dyDescent="0.25">
      <c r="A154" s="276"/>
      <c r="B154" s="277"/>
      <c r="C154" s="278"/>
      <c r="D154" s="278"/>
      <c r="E154" s="278"/>
      <c r="F154" s="278"/>
      <c r="G154" s="278"/>
      <c r="H154" s="278"/>
      <c r="I154" s="279"/>
      <c r="J154" s="279"/>
      <c r="K154" s="278"/>
      <c r="L154" s="210">
        <f>I154+J154*EERR!$D$2</f>
        <v>0</v>
      </c>
      <c r="M154" s="136">
        <f>L154/EERR!$D$2</f>
        <v>0</v>
      </c>
      <c r="N154" s="136">
        <f>SUMIF(Abril!$B$3:$B$98,A154,Abril!$S$3:$S$98)+SUMIF(Abril!$C$3:$C$98,A154,Abril!$S$3:$S$98)</f>
        <v>0</v>
      </c>
    </row>
    <row r="155" spans="1:14" ht="15" x14ac:dyDescent="0.25">
      <c r="A155" s="276"/>
      <c r="B155" s="277"/>
      <c r="C155" s="278"/>
      <c r="D155" s="278"/>
      <c r="E155" s="278"/>
      <c r="F155" s="278"/>
      <c r="G155" s="278"/>
      <c r="H155" s="278"/>
      <c r="I155" s="279"/>
      <c r="J155" s="279"/>
      <c r="K155" s="278"/>
      <c r="L155" s="210">
        <f>I155+J155*EERR!$D$2</f>
        <v>0</v>
      </c>
      <c r="M155" s="136">
        <f>L155/EERR!$D$2</f>
        <v>0</v>
      </c>
      <c r="N155" s="136">
        <f>SUMIF(Abril!$B$3:$B$98,A155,Abril!$S$3:$S$98)+SUMIF(Abril!$C$3:$C$98,A155,Abril!$S$3:$S$98)</f>
        <v>0</v>
      </c>
    </row>
    <row r="156" spans="1:14" ht="15" x14ac:dyDescent="0.25">
      <c r="A156" s="276"/>
      <c r="B156" s="277"/>
      <c r="C156" s="278"/>
      <c r="D156" s="278"/>
      <c r="E156" s="278"/>
      <c r="F156" s="278"/>
      <c r="G156" s="278"/>
      <c r="H156" s="278"/>
      <c r="I156" s="279"/>
      <c r="J156" s="279"/>
      <c r="K156" s="278"/>
      <c r="L156" s="210">
        <f>I156+J156*EERR!$D$2</f>
        <v>0</v>
      </c>
      <c r="M156" s="136">
        <f>L156/EERR!$D$2</f>
        <v>0</v>
      </c>
      <c r="N156" s="136">
        <f>SUMIF(Abril!$B$3:$B$98,A156,Abril!$S$3:$S$98)+SUMIF(Abril!$C$3:$C$98,A156,Abril!$S$3:$S$98)</f>
        <v>0</v>
      </c>
    </row>
    <row r="157" spans="1:14" ht="15" x14ac:dyDescent="0.25">
      <c r="A157" s="276"/>
      <c r="B157" s="277"/>
      <c r="C157" s="278"/>
      <c r="D157" s="278"/>
      <c r="E157" s="278"/>
      <c r="F157" s="278"/>
      <c r="G157" s="278"/>
      <c r="H157" s="278"/>
      <c r="I157" s="279"/>
      <c r="J157" s="279"/>
      <c r="K157" s="278"/>
      <c r="L157" s="210">
        <f>I157+J157*EERR!$D$2</f>
        <v>0</v>
      </c>
      <c r="M157" s="136">
        <f>L157/EERR!$D$2</f>
        <v>0</v>
      </c>
      <c r="N157" s="136">
        <f>SUMIF(Abril!$B$3:$B$98,A157,Abril!$S$3:$S$98)+SUMIF(Abril!$C$3:$C$98,A157,Abril!$S$3:$S$98)</f>
        <v>0</v>
      </c>
    </row>
    <row r="158" spans="1:14" ht="15" x14ac:dyDescent="0.25">
      <c r="A158" s="276"/>
      <c r="B158" s="277"/>
      <c r="C158" s="278"/>
      <c r="D158" s="278"/>
      <c r="E158" s="278"/>
      <c r="F158" s="278"/>
      <c r="G158" s="278"/>
      <c r="H158" s="278"/>
      <c r="I158" s="279"/>
      <c r="J158" s="279"/>
      <c r="K158" s="278"/>
      <c r="L158" s="210">
        <f>I158+J158*EERR!$D$2</f>
        <v>0</v>
      </c>
      <c r="M158" s="136">
        <f>L158/EERR!$D$2</f>
        <v>0</v>
      </c>
      <c r="N158" s="136">
        <f>SUMIF(Abril!$B$3:$B$98,A158,Abril!$S$3:$S$98)+SUMIF(Abril!$C$3:$C$98,A158,Abril!$S$3:$S$98)</f>
        <v>0</v>
      </c>
    </row>
    <row r="159" spans="1:14" ht="15" x14ac:dyDescent="0.25">
      <c r="A159" s="276"/>
      <c r="B159" s="277"/>
      <c r="C159" s="278"/>
      <c r="D159" s="278"/>
      <c r="E159" s="278"/>
      <c r="F159" s="278"/>
      <c r="G159" s="278"/>
      <c r="H159" s="278"/>
      <c r="I159" s="279"/>
      <c r="J159" s="279"/>
      <c r="K159" s="278"/>
      <c r="L159" s="210">
        <f>I159+J159*EERR!$D$2</f>
        <v>0</v>
      </c>
      <c r="M159" s="136">
        <f>L159/EERR!$D$2</f>
        <v>0</v>
      </c>
      <c r="N159" s="136">
        <f>SUMIF(Abril!$B$3:$B$98,A159,Abril!$S$3:$S$98)+SUMIF(Abril!$C$3:$C$98,A159,Abril!$S$3:$S$98)</f>
        <v>0</v>
      </c>
    </row>
    <row r="160" spans="1:14" ht="15" x14ac:dyDescent="0.25">
      <c r="A160" s="276"/>
      <c r="B160" s="277"/>
      <c r="C160" s="278"/>
      <c r="D160" s="278"/>
      <c r="E160" s="278"/>
      <c r="F160" s="278"/>
      <c r="G160" s="278"/>
      <c r="H160" s="278"/>
      <c r="I160" s="279"/>
      <c r="J160" s="279"/>
      <c r="K160" s="278"/>
      <c r="L160" s="210">
        <f>I160+J160*EERR!$D$2</f>
        <v>0</v>
      </c>
      <c r="M160" s="136">
        <f>L160/EERR!$D$2</f>
        <v>0</v>
      </c>
      <c r="N160" s="136">
        <f>SUMIF(Abril!$B$3:$B$98,A160,Abril!$S$3:$S$98)+SUMIF(Abril!$C$3:$C$98,A160,Abril!$S$3:$S$98)</f>
        <v>0</v>
      </c>
    </row>
    <row r="161" spans="1:14" ht="15" x14ac:dyDescent="0.25">
      <c r="A161" s="276"/>
      <c r="B161" s="277"/>
      <c r="C161" s="278"/>
      <c r="D161" s="278"/>
      <c r="E161" s="278"/>
      <c r="F161" s="278"/>
      <c r="G161" s="278"/>
      <c r="H161" s="278"/>
      <c r="I161" s="279"/>
      <c r="J161" s="279"/>
      <c r="K161" s="278"/>
      <c r="L161" s="210">
        <f>I161+J161*EERR!$D$2</f>
        <v>0</v>
      </c>
      <c r="M161" s="136">
        <f>L161/EERR!$D$2</f>
        <v>0</v>
      </c>
      <c r="N161" s="136">
        <f>SUMIF(Abril!$B$3:$B$98,A161,Abril!$S$3:$S$98)+SUMIF(Abril!$C$3:$C$98,A161,Abril!$S$3:$S$98)</f>
        <v>0</v>
      </c>
    </row>
    <row r="162" spans="1:14" ht="15" x14ac:dyDescent="0.25">
      <c r="A162" s="276"/>
      <c r="B162" s="277"/>
      <c r="C162" s="278"/>
      <c r="D162" s="278"/>
      <c r="E162" s="278"/>
      <c r="F162" s="278"/>
      <c r="G162" s="278"/>
      <c r="H162" s="278"/>
      <c r="I162" s="279"/>
      <c r="J162" s="279"/>
      <c r="K162" s="278"/>
      <c r="L162" s="210">
        <f>I162+J162*EERR!$D$2</f>
        <v>0</v>
      </c>
      <c r="M162" s="136">
        <f>L162/EERR!$D$2</f>
        <v>0</v>
      </c>
      <c r="N162" s="136">
        <f>SUMIF(Abril!$B$3:$B$98,A162,Abril!$S$3:$S$98)+SUMIF(Abril!$C$3:$C$98,A162,Abril!$S$3:$S$98)</f>
        <v>0</v>
      </c>
    </row>
    <row r="163" spans="1:14" ht="15" x14ac:dyDescent="0.25">
      <c r="A163" s="276"/>
      <c r="B163" s="277"/>
      <c r="C163" s="278"/>
      <c r="D163" s="278"/>
      <c r="E163" s="278"/>
      <c r="F163" s="278"/>
      <c r="G163" s="278"/>
      <c r="H163" s="278"/>
      <c r="I163" s="279"/>
      <c r="J163" s="279"/>
      <c r="K163" s="278"/>
      <c r="L163" s="210">
        <f>I163+J163*EERR!$D$2</f>
        <v>0</v>
      </c>
      <c r="M163" s="136">
        <f>L163/EERR!$D$2</f>
        <v>0</v>
      </c>
      <c r="N163" s="136">
        <f>SUMIF(Abril!$B$3:$B$98,A163,Abril!$S$3:$S$98)+SUMIF(Abril!$C$3:$C$98,A163,Abril!$S$3:$S$98)</f>
        <v>0</v>
      </c>
    </row>
    <row r="164" spans="1:14" ht="15" x14ac:dyDescent="0.25">
      <c r="A164" s="276"/>
      <c r="B164" s="277"/>
      <c r="C164" s="278"/>
      <c r="D164" s="278"/>
      <c r="E164" s="278"/>
      <c r="F164" s="278"/>
      <c r="G164" s="278"/>
      <c r="H164" s="278"/>
      <c r="I164" s="279"/>
      <c r="J164" s="279"/>
      <c r="K164" s="278"/>
      <c r="L164" s="210">
        <f>I164+J164*EERR!$D$2</f>
        <v>0</v>
      </c>
      <c r="M164" s="136">
        <f>L164/EERR!$D$2</f>
        <v>0</v>
      </c>
      <c r="N164" s="136">
        <f>SUMIF(Abril!$B$3:$B$98,A164,Abril!$S$3:$S$98)+SUMIF(Abril!$C$3:$C$98,A164,Abril!$S$3:$S$98)</f>
        <v>0</v>
      </c>
    </row>
    <row r="165" spans="1:14" ht="15" x14ac:dyDescent="0.25">
      <c r="A165" s="276"/>
      <c r="B165" s="277"/>
      <c r="C165" s="278"/>
      <c r="D165" s="278"/>
      <c r="E165" s="278"/>
      <c r="F165" s="278"/>
      <c r="G165" s="278"/>
      <c r="H165" s="278"/>
      <c r="I165" s="279"/>
      <c r="J165" s="279"/>
      <c r="K165" s="278"/>
      <c r="L165" s="210">
        <f>I165+J165*EERR!$D$2</f>
        <v>0</v>
      </c>
      <c r="M165" s="136">
        <f>L165/EERR!$D$2</f>
        <v>0</v>
      </c>
      <c r="N165" s="136">
        <f>SUMIF(Abril!$B$3:$B$98,A165,Abril!$S$3:$S$98)+SUMIF(Abril!$C$3:$C$98,A165,Abril!$S$3:$S$98)</f>
        <v>0</v>
      </c>
    </row>
    <row r="166" spans="1:14" ht="15" x14ac:dyDescent="0.25">
      <c r="A166" s="276"/>
      <c r="B166" s="277"/>
      <c r="C166" s="278"/>
      <c r="D166" s="278"/>
      <c r="E166" s="278"/>
      <c r="F166" s="278"/>
      <c r="G166" s="278"/>
      <c r="H166" s="278"/>
      <c r="I166" s="279"/>
      <c r="J166" s="279"/>
      <c r="K166" s="278"/>
      <c r="L166" s="210">
        <f>I166+J166*EERR!$D$2</f>
        <v>0</v>
      </c>
      <c r="M166" s="136">
        <f>L166/EERR!$D$2</f>
        <v>0</v>
      </c>
      <c r="N166" s="136">
        <f>SUMIF(Abril!$B$3:$B$98,A166,Abril!$S$3:$S$98)+SUMIF(Abril!$C$3:$C$98,A166,Abril!$S$3:$S$98)</f>
        <v>0</v>
      </c>
    </row>
    <row r="167" spans="1:14" ht="15" x14ac:dyDescent="0.25">
      <c r="A167" s="276"/>
      <c r="B167" s="277"/>
      <c r="C167" s="278"/>
      <c r="D167" s="278"/>
      <c r="E167" s="278"/>
      <c r="F167" s="278"/>
      <c r="G167" s="278"/>
      <c r="H167" s="278"/>
      <c r="I167" s="279"/>
      <c r="J167" s="279"/>
      <c r="K167" s="278"/>
      <c r="L167" s="210">
        <f>I167+J167*EERR!$D$2</f>
        <v>0</v>
      </c>
      <c r="M167" s="136">
        <f>L167/EERR!$D$2</f>
        <v>0</v>
      </c>
      <c r="N167" s="136">
        <f>SUMIF(Abril!$B$3:$B$98,A167,Abril!$S$3:$S$98)+SUMIF(Abril!$C$3:$C$98,A167,Abril!$S$3:$S$98)</f>
        <v>0</v>
      </c>
    </row>
    <row r="168" spans="1:14" ht="15" x14ac:dyDescent="0.25">
      <c r="A168" s="276"/>
      <c r="B168" s="277"/>
      <c r="C168" s="278"/>
      <c r="D168" s="278"/>
      <c r="E168" s="278"/>
      <c r="F168" s="278"/>
      <c r="G168" s="278"/>
      <c r="H168" s="278"/>
      <c r="I168" s="279"/>
      <c r="J168" s="279"/>
      <c r="K168" s="278"/>
      <c r="L168" s="210">
        <f>I168+J168*EERR!$D$2</f>
        <v>0</v>
      </c>
      <c r="M168" s="136">
        <f>L168/EERR!$D$2</f>
        <v>0</v>
      </c>
      <c r="N168" s="136">
        <f>SUMIF(Abril!$B$3:$B$98,A168,Abril!$S$3:$S$98)+SUMIF(Abril!$C$3:$C$98,A168,Abril!$S$3:$S$98)</f>
        <v>0</v>
      </c>
    </row>
    <row r="169" spans="1:14" ht="15" x14ac:dyDescent="0.25">
      <c r="A169" s="276"/>
      <c r="B169" s="277"/>
      <c r="C169" s="278"/>
      <c r="D169" s="278"/>
      <c r="E169" s="278"/>
      <c r="F169" s="278"/>
      <c r="G169" s="278"/>
      <c r="H169" s="278"/>
      <c r="I169" s="279"/>
      <c r="J169" s="279"/>
      <c r="K169" s="278"/>
      <c r="L169" s="210">
        <f>I169+J169*EERR!$D$2</f>
        <v>0</v>
      </c>
      <c r="M169" s="136">
        <f>L169/EERR!$D$2</f>
        <v>0</v>
      </c>
      <c r="N169" s="136">
        <f>SUMIF(Abril!$B$3:$B$98,A169,Abril!$S$3:$S$98)+SUMIF(Abril!$C$3:$C$98,A169,Abril!$S$3:$S$98)</f>
        <v>0</v>
      </c>
    </row>
    <row r="170" spans="1:14" ht="15" x14ac:dyDescent="0.25">
      <c r="A170" s="276"/>
      <c r="B170" s="277"/>
      <c r="C170" s="278"/>
      <c r="D170" s="278"/>
      <c r="E170" s="278"/>
      <c r="F170" s="278"/>
      <c r="G170" s="278"/>
      <c r="H170" s="278"/>
      <c r="I170" s="279"/>
      <c r="J170" s="279"/>
      <c r="K170" s="278"/>
      <c r="L170" s="210">
        <f>I170+J170*EERR!$D$2</f>
        <v>0</v>
      </c>
      <c r="M170" s="136">
        <f>L170/EERR!$D$2</f>
        <v>0</v>
      </c>
      <c r="N170" s="136">
        <f>SUMIF(Abril!$B$3:$B$98,A170,Abril!$S$3:$S$98)+SUMIF(Abril!$C$3:$C$98,A170,Abril!$S$3:$S$98)</f>
        <v>0</v>
      </c>
    </row>
    <row r="171" spans="1:14" ht="15" x14ac:dyDescent="0.25">
      <c r="A171" s="276"/>
      <c r="B171" s="277"/>
      <c r="C171" s="278"/>
      <c r="D171" s="278"/>
      <c r="E171" s="278"/>
      <c r="F171" s="278"/>
      <c r="G171" s="278"/>
      <c r="H171" s="278"/>
      <c r="I171" s="279"/>
      <c r="J171" s="279"/>
      <c r="K171" s="278"/>
      <c r="L171" s="210">
        <f>I171+J171*EERR!$D$2</f>
        <v>0</v>
      </c>
      <c r="M171" s="136">
        <f>L171/EERR!$D$2</f>
        <v>0</v>
      </c>
      <c r="N171" s="136">
        <f>SUMIF(Abril!$B$3:$B$98,A171,Abril!$S$3:$S$98)+SUMIF(Abril!$C$3:$C$98,A171,Abril!$S$3:$S$98)</f>
        <v>0</v>
      </c>
    </row>
    <row r="172" spans="1:14" ht="15" x14ac:dyDescent="0.25">
      <c r="A172" s="276"/>
      <c r="B172" s="277"/>
      <c r="C172" s="278"/>
      <c r="D172" s="278"/>
      <c r="E172" s="278"/>
      <c r="F172" s="278"/>
      <c r="G172" s="278"/>
      <c r="H172" s="278"/>
      <c r="I172" s="279"/>
      <c r="J172" s="279"/>
      <c r="K172" s="278"/>
      <c r="L172" s="210">
        <f>I172+J172*EERR!$D$2</f>
        <v>0</v>
      </c>
      <c r="M172" s="136">
        <f>L172/EERR!$D$2</f>
        <v>0</v>
      </c>
      <c r="N172" s="136">
        <f>SUMIF(Abril!$B$3:$B$98,A172,Abril!$S$3:$S$98)+SUMIF(Abril!$C$3:$C$98,A172,Abril!$S$3:$S$98)</f>
        <v>0</v>
      </c>
    </row>
    <row r="173" spans="1:14" ht="15" x14ac:dyDescent="0.25">
      <c r="A173" s="276"/>
      <c r="B173" s="277"/>
      <c r="C173" s="278"/>
      <c r="D173" s="278"/>
      <c r="E173" s="278"/>
      <c r="F173" s="278"/>
      <c r="G173" s="278"/>
      <c r="H173" s="278"/>
      <c r="I173" s="279"/>
      <c r="J173" s="279"/>
      <c r="K173" s="278"/>
      <c r="L173" s="210">
        <f>I173+J173*EERR!$D$2</f>
        <v>0</v>
      </c>
      <c r="M173" s="136">
        <f>L173/EERR!$D$2</f>
        <v>0</v>
      </c>
      <c r="N173" s="136">
        <f>SUMIF(Abril!$B$3:$B$98,A173,Abril!$S$3:$S$98)+SUMIF(Abril!$C$3:$C$98,A173,Abril!$S$3:$S$98)</f>
        <v>0</v>
      </c>
    </row>
    <row r="174" spans="1:14" ht="15" x14ac:dyDescent="0.25">
      <c r="A174" s="276"/>
      <c r="B174" s="277"/>
      <c r="C174" s="278"/>
      <c r="D174" s="278"/>
      <c r="E174" s="278"/>
      <c r="F174" s="278"/>
      <c r="G174" s="278"/>
      <c r="H174" s="278"/>
      <c r="I174" s="279"/>
      <c r="J174" s="279"/>
      <c r="K174" s="278"/>
      <c r="L174" s="210">
        <f>I174+J174*EERR!$D$2</f>
        <v>0</v>
      </c>
      <c r="M174" s="136">
        <f>L174/EERR!$D$2</f>
        <v>0</v>
      </c>
      <c r="N174" s="136">
        <f>SUMIF(Abril!$B$3:$B$98,A174,Abril!$S$3:$S$98)+SUMIF(Abril!$C$3:$C$98,A174,Abril!$S$3:$S$98)</f>
        <v>0</v>
      </c>
    </row>
    <row r="175" spans="1:14" ht="15" x14ac:dyDescent="0.25">
      <c r="A175" s="276"/>
      <c r="B175" s="277"/>
      <c r="C175" s="278"/>
      <c r="D175" s="278"/>
      <c r="E175" s="278"/>
      <c r="F175" s="278"/>
      <c r="G175" s="278"/>
      <c r="H175" s="278"/>
      <c r="I175" s="279"/>
      <c r="J175" s="279"/>
      <c r="K175" s="278"/>
      <c r="L175" s="210">
        <f>I175+J175*EERR!$D$2</f>
        <v>0</v>
      </c>
      <c r="M175" s="136">
        <f>L175/EERR!$D$2</f>
        <v>0</v>
      </c>
      <c r="N175" s="136">
        <f>SUMIF(Abril!$B$3:$B$98,A175,Abril!$S$3:$S$98)+SUMIF(Abril!$C$3:$C$98,A175,Abril!$S$3:$S$98)</f>
        <v>0</v>
      </c>
    </row>
    <row r="176" spans="1:14" ht="15" x14ac:dyDescent="0.25">
      <c r="A176" s="276"/>
      <c r="B176" s="277"/>
      <c r="C176" s="278"/>
      <c r="D176" s="278"/>
      <c r="E176" s="278"/>
      <c r="F176" s="278"/>
      <c r="G176" s="278"/>
      <c r="H176" s="278"/>
      <c r="I176" s="279"/>
      <c r="J176" s="279"/>
      <c r="K176" s="278"/>
      <c r="L176" s="210">
        <f>I176+J176*EERR!$D$2</f>
        <v>0</v>
      </c>
      <c r="M176" s="136">
        <f>L176/EERR!$D$2</f>
        <v>0</v>
      </c>
      <c r="N176" s="136">
        <f>SUMIF(Abril!$B$3:$B$98,A176,Abril!$S$3:$S$98)+SUMIF(Abril!$C$3:$C$98,A176,Abril!$S$3:$S$98)</f>
        <v>0</v>
      </c>
    </row>
    <row r="177" spans="1:18" ht="15" x14ac:dyDescent="0.25">
      <c r="A177" s="276"/>
      <c r="B177" s="277"/>
      <c r="C177" s="278"/>
      <c r="D177" s="278"/>
      <c r="E177" s="278"/>
      <c r="F177" s="278"/>
      <c r="G177" s="278"/>
      <c r="H177" s="278"/>
      <c r="I177" s="279"/>
      <c r="J177" s="279"/>
      <c r="K177" s="278"/>
      <c r="L177" s="210">
        <f>I177+J177*EERR!$D$2</f>
        <v>0</v>
      </c>
      <c r="M177" s="136">
        <f>L177/EERR!$D$2</f>
        <v>0</v>
      </c>
      <c r="N177" s="136">
        <f>SUMIF(Abril!$B$3:$B$98,A177,Abril!$S$3:$S$98)+SUMIF(Abril!$C$3:$C$98,A177,Abril!$S$3:$S$98)</f>
        <v>0</v>
      </c>
    </row>
    <row r="178" spans="1:18" ht="15" x14ac:dyDescent="0.25">
      <c r="A178" s="276"/>
      <c r="B178" s="277"/>
      <c r="C178" s="278"/>
      <c r="D178" s="278"/>
      <c r="E178" s="278"/>
      <c r="F178" s="278"/>
      <c r="G178" s="278"/>
      <c r="H178" s="278"/>
      <c r="I178" s="279"/>
      <c r="J178" s="279"/>
      <c r="K178" s="278"/>
      <c r="L178" s="210">
        <f>I178+J178*EERR!$D$2</f>
        <v>0</v>
      </c>
      <c r="M178" s="136">
        <f>L178/EERR!$D$2</f>
        <v>0</v>
      </c>
      <c r="N178" s="136">
        <f>SUMIF(Abril!$B$3:$B$98,A178,Abril!$S$3:$S$98)+SUMIF(Abril!$C$3:$C$98,A178,Abril!$S$3:$S$98)</f>
        <v>0</v>
      </c>
    </row>
    <row r="179" spans="1:18" ht="15" x14ac:dyDescent="0.25">
      <c r="A179" s="276"/>
      <c r="B179" s="277"/>
      <c r="C179" s="278"/>
      <c r="D179" s="278"/>
      <c r="E179" s="278"/>
      <c r="F179" s="278"/>
      <c r="G179" s="278"/>
      <c r="H179" s="278"/>
      <c r="I179" s="279"/>
      <c r="J179" s="279"/>
      <c r="K179" s="278"/>
      <c r="L179" s="210">
        <f>I179+J179*EERR!$D$2</f>
        <v>0</v>
      </c>
      <c r="M179" s="136">
        <f>L179/EERR!$D$2</f>
        <v>0</v>
      </c>
      <c r="N179" s="136">
        <f>SUMIF(Abril!$B$3:$B$98,A179,Abril!$S$3:$S$98)+SUMIF(Abril!$C$3:$C$98,A179,Abril!$S$3:$S$98)</f>
        <v>0</v>
      </c>
    </row>
    <row r="180" spans="1:18" ht="15" x14ac:dyDescent="0.25">
      <c r="A180" s="276"/>
      <c r="B180" s="277"/>
      <c r="C180" s="278"/>
      <c r="D180" s="278"/>
      <c r="E180" s="278"/>
      <c r="F180" s="278"/>
      <c r="G180" s="278"/>
      <c r="H180" s="278"/>
      <c r="I180" s="279"/>
      <c r="J180" s="279"/>
      <c r="K180" s="278"/>
      <c r="L180" s="210">
        <f>I180+J180*EERR!$D$2</f>
        <v>0</v>
      </c>
      <c r="M180" s="136">
        <f>L180/EERR!$D$2</f>
        <v>0</v>
      </c>
      <c r="N180" s="136">
        <f>SUMIF(Abril!$B$3:$B$98,A180,Abril!$S$3:$S$98)+SUMIF(Abril!$C$3:$C$98,A180,Abril!$S$3:$S$98)</f>
        <v>0</v>
      </c>
    </row>
    <row r="181" spans="1:18" ht="15" x14ac:dyDescent="0.25">
      <c r="A181" s="276"/>
      <c r="B181" s="277"/>
      <c r="C181" s="278"/>
      <c r="D181" s="278"/>
      <c r="E181" s="278"/>
      <c r="F181" s="278"/>
      <c r="G181" s="278"/>
      <c r="H181" s="278"/>
      <c r="I181" s="279"/>
      <c r="J181" s="279"/>
      <c r="K181" s="278"/>
      <c r="L181" s="210">
        <f>I181+J181*EERR!$D$2</f>
        <v>0</v>
      </c>
      <c r="M181" s="136">
        <f>L181/EERR!$D$2</f>
        <v>0</v>
      </c>
      <c r="N181" s="136">
        <f>SUMIF(Abril!$B$3:$B$98,A181,Abril!$S$3:$S$98)+SUMIF(Abril!$C$3:$C$98,A181,Abril!$S$3:$S$98)</f>
        <v>0</v>
      </c>
      <c r="Q181" s="224">
        <f>SUM(J2:J188)+Abril!K97</f>
        <v>44715</v>
      </c>
      <c r="R181" s="202">
        <f>Q181*EERR!D2</f>
        <v>29321414.100000001</v>
      </c>
    </row>
    <row r="182" spans="1:18" ht="15" x14ac:dyDescent="0.25">
      <c r="A182" s="276"/>
      <c r="B182" s="277"/>
      <c r="C182" s="278"/>
      <c r="D182" s="278"/>
      <c r="E182" s="278"/>
      <c r="F182" s="278"/>
      <c r="G182" s="278"/>
      <c r="H182" s="278"/>
      <c r="I182" s="279"/>
      <c r="J182" s="279"/>
      <c r="K182" s="278"/>
      <c r="L182" s="210">
        <f>I182+J182*EERR!$D$2</f>
        <v>0</v>
      </c>
      <c r="M182" s="136">
        <f>L182/EERR!$D$2</f>
        <v>0</v>
      </c>
      <c r="N182" s="136">
        <f>SUMIF(Abril!$B$3:$B$98,A182,Abril!$S$3:$S$98)+SUMIF(Abril!$C$3:$C$98,A182,Abril!$S$3:$S$98)</f>
        <v>0</v>
      </c>
    </row>
    <row r="183" spans="1:18" ht="15" x14ac:dyDescent="0.25">
      <c r="A183" s="276"/>
      <c r="B183" s="277"/>
      <c r="C183" s="278"/>
      <c r="D183" s="278"/>
      <c r="E183" s="278"/>
      <c r="F183" s="278"/>
      <c r="G183" s="278"/>
      <c r="H183" s="278"/>
      <c r="I183" s="279"/>
      <c r="J183" s="279"/>
      <c r="K183" s="278"/>
      <c r="L183" s="210">
        <f>I183+J183*EERR!$D$2</f>
        <v>0</v>
      </c>
      <c r="M183" s="136">
        <f>L183/EERR!$D$2</f>
        <v>0</v>
      </c>
      <c r="N183" s="136">
        <f>SUMIF(Abril!$B$3:$B$98,A183,Abril!$S$3:$S$98)+SUMIF(Abril!$C$3:$C$98,A183,Abril!$S$3:$S$98)</f>
        <v>0</v>
      </c>
    </row>
    <row r="184" spans="1:18" ht="15" x14ac:dyDescent="0.25">
      <c r="A184" s="276"/>
      <c r="B184" s="277"/>
      <c r="C184" s="278"/>
      <c r="D184" s="278"/>
      <c r="E184" s="278"/>
      <c r="F184" s="278"/>
      <c r="G184" s="278"/>
      <c r="H184" s="278"/>
      <c r="I184" s="279"/>
      <c r="J184" s="279"/>
      <c r="K184" s="278"/>
      <c r="L184" s="210">
        <f>I184+J184*EERR!$D$2</f>
        <v>0</v>
      </c>
      <c r="M184" s="136">
        <f>L184/EERR!$D$2</f>
        <v>0</v>
      </c>
      <c r="N184" s="136">
        <f>SUMIF(Abril!$B$3:$B$98,A184,Abril!$S$3:$S$98)+SUMIF(Abril!$C$3:$C$98,A184,Abril!$S$3:$S$98)</f>
        <v>0</v>
      </c>
    </row>
    <row r="185" spans="1:18" ht="15" x14ac:dyDescent="0.25">
      <c r="A185" s="276"/>
      <c r="B185" s="277"/>
      <c r="C185" s="278"/>
      <c r="D185" s="278"/>
      <c r="E185" s="278"/>
      <c r="F185" s="278"/>
      <c r="G185" s="278"/>
      <c r="H185" s="278"/>
      <c r="I185" s="279"/>
      <c r="J185" s="279"/>
      <c r="K185" s="278"/>
      <c r="L185" s="210">
        <f>I185+J185*EERR!$D$2</f>
        <v>0</v>
      </c>
      <c r="M185" s="136">
        <f>L185/EERR!$D$2</f>
        <v>0</v>
      </c>
      <c r="N185" s="136">
        <f>SUMIF(Abril!$B$3:$B$98,A185,Abril!$S$3:$S$98)+SUMIF(Abril!$C$3:$C$98,A185,Abril!$S$3:$S$98)</f>
        <v>0</v>
      </c>
    </row>
    <row r="186" spans="1:18" ht="15" x14ac:dyDescent="0.25">
      <c r="A186" s="276"/>
      <c r="B186" s="277"/>
      <c r="C186" s="278"/>
      <c r="D186" s="278"/>
      <c r="E186" s="278"/>
      <c r="F186" s="278"/>
      <c r="G186" s="278"/>
      <c r="H186" s="278"/>
      <c r="I186" s="279"/>
      <c r="J186" s="279"/>
      <c r="K186" s="278"/>
      <c r="L186" s="210">
        <f>I186+J186*EERR!$D$2</f>
        <v>0</v>
      </c>
      <c r="M186" s="136">
        <f>L186/EERR!$D$2</f>
        <v>0</v>
      </c>
      <c r="N186" s="136">
        <f>SUMIF(Abril!$B$3:$B$98,A186,Abril!$S$3:$S$98)+SUMIF(Abril!$C$3:$C$98,A186,Abril!$S$3:$S$98)</f>
        <v>0</v>
      </c>
    </row>
    <row r="187" spans="1:18" ht="15" x14ac:dyDescent="0.25">
      <c r="A187" s="276"/>
      <c r="B187" s="277"/>
      <c r="C187" s="278"/>
      <c r="D187" s="278"/>
      <c r="E187" s="278"/>
      <c r="F187" s="278"/>
      <c r="G187" s="278"/>
      <c r="H187" s="278"/>
      <c r="I187" s="279"/>
      <c r="J187" s="279"/>
      <c r="K187" s="278"/>
      <c r="L187" s="210">
        <f>I187+J187*EERR!$D$2</f>
        <v>0</v>
      </c>
      <c r="M187" s="136">
        <f>L187/EERR!$D$2</f>
        <v>0</v>
      </c>
      <c r="N187" s="136">
        <f>SUMIF(Abril!$B$3:$B$98,A187,Abril!$S$3:$S$98)+SUMIF(Abril!$C$3:$C$98,A187,Abril!$S$3:$S$98)</f>
        <v>0</v>
      </c>
    </row>
    <row r="188" spans="1:18" ht="15" x14ac:dyDescent="0.25">
      <c r="A188" s="276"/>
      <c r="B188" s="277"/>
      <c r="C188" s="278"/>
      <c r="D188" s="278"/>
      <c r="E188" s="278"/>
      <c r="F188" s="278"/>
      <c r="G188" s="278"/>
      <c r="H188" s="278"/>
      <c r="I188" s="279"/>
      <c r="J188" s="279"/>
      <c r="K188" s="278"/>
      <c r="L188" s="210">
        <f>I188+J188*EERR!$D$2</f>
        <v>0</v>
      </c>
      <c r="M188" s="136">
        <f>L188/EERR!$D$2</f>
        <v>0</v>
      </c>
      <c r="N188" s="136">
        <f>SUMIF(Abril!$B$3:$B$98,A188,Abril!$S$3:$S$98)+SUMIF(Abril!$C$3:$C$98,A188,Abril!$S$3:$S$98)</f>
        <v>0</v>
      </c>
    </row>
    <row r="189" spans="1:18" ht="15" x14ac:dyDescent="0.25">
      <c r="A189" s="276"/>
      <c r="B189" s="277"/>
      <c r="C189" s="278"/>
      <c r="D189" s="278"/>
      <c r="E189" s="278"/>
      <c r="F189" s="278"/>
      <c r="G189" s="278"/>
      <c r="H189" s="278"/>
      <c r="I189" s="279"/>
      <c r="J189" s="279"/>
      <c r="K189" s="278"/>
      <c r="L189" s="210">
        <f>I189+J189*EERR!$D$2</f>
        <v>0</v>
      </c>
      <c r="M189" s="136">
        <f>L189/EERR!$D$2</f>
        <v>0</v>
      </c>
      <c r="N189" s="136">
        <f>SUMIF(Abril!$B$3:$B$98,A189,Abril!$S$3:$S$98)+SUMIF(Abril!$C$3:$C$98,A189,Abril!$S$3:$S$98)</f>
        <v>0</v>
      </c>
    </row>
    <row r="190" spans="1:18" ht="15" x14ac:dyDescent="0.25">
      <c r="A190" s="276"/>
      <c r="B190" s="277"/>
      <c r="C190" s="278"/>
      <c r="D190" s="278"/>
      <c r="E190" s="278"/>
      <c r="F190" s="278"/>
      <c r="G190" s="278"/>
      <c r="H190" s="278"/>
      <c r="I190" s="279"/>
      <c r="J190" s="279"/>
      <c r="K190" s="278"/>
      <c r="L190" s="210">
        <f>I190+J190*EERR!$D$2</f>
        <v>0</v>
      </c>
      <c r="M190" s="136">
        <f>L190/EERR!$D$2</f>
        <v>0</v>
      </c>
      <c r="N190" s="136">
        <f>SUMIF(Abril!$B$3:$B$98,A190,Abril!$S$3:$S$98)+SUMIF(Abril!$C$3:$C$98,A190,Abril!$S$3:$S$98)</f>
        <v>0</v>
      </c>
    </row>
    <row r="191" spans="1:18" ht="15" x14ac:dyDescent="0.25">
      <c r="A191" s="276"/>
      <c r="B191" s="277"/>
      <c r="C191" s="278"/>
      <c r="D191" s="278"/>
      <c r="E191" s="278"/>
      <c r="F191" s="278"/>
      <c r="G191" s="278"/>
      <c r="H191" s="278"/>
      <c r="I191" s="279"/>
      <c r="J191" s="279"/>
      <c r="K191" s="278"/>
      <c r="L191" s="210">
        <f>I191+J191*EERR!$D$2</f>
        <v>0</v>
      </c>
      <c r="M191" s="136">
        <f>L191/EERR!$D$2</f>
        <v>0</v>
      </c>
      <c r="N191" s="136">
        <f>SUMIF(Abril!$B$3:$B$98,A191,Abril!$S$3:$S$98)+SUMIF(Abril!$C$3:$C$98,A191,Abril!$S$3:$S$98)</f>
        <v>0</v>
      </c>
    </row>
    <row r="192" spans="1:18" ht="15" x14ac:dyDescent="0.25">
      <c r="A192" s="276"/>
      <c r="B192" s="277"/>
      <c r="C192" s="278"/>
      <c r="D192" s="278"/>
      <c r="E192" s="278"/>
      <c r="F192" s="278"/>
      <c r="G192" s="278"/>
      <c r="H192" s="278"/>
      <c r="I192" s="279"/>
      <c r="J192" s="279"/>
      <c r="K192" s="278"/>
      <c r="L192" s="210">
        <f>I192+J192*EERR!$D$2</f>
        <v>0</v>
      </c>
      <c r="M192" s="136">
        <f>L192/EERR!$D$2</f>
        <v>0</v>
      </c>
      <c r="N192" s="136">
        <f>SUMIF(Abril!$B$3:$B$98,A192,Abril!$S$3:$S$98)+SUMIF(Abril!$C$3:$C$98,A192,Abril!$S$3:$S$98)</f>
        <v>0</v>
      </c>
    </row>
    <row r="193" spans="1:14" ht="15" x14ac:dyDescent="0.25">
      <c r="A193" s="276"/>
      <c r="B193" s="277"/>
      <c r="C193" s="278"/>
      <c r="D193" s="278"/>
      <c r="E193" s="278"/>
      <c r="F193" s="278"/>
      <c r="G193" s="278"/>
      <c r="H193" s="278"/>
      <c r="I193" s="279"/>
      <c r="J193" s="279"/>
      <c r="K193" s="278"/>
      <c r="L193" s="210">
        <f>I193+J193*EERR!$D$2</f>
        <v>0</v>
      </c>
      <c r="M193" s="136">
        <f>L193/EERR!$D$2</f>
        <v>0</v>
      </c>
      <c r="N193" s="136">
        <f>SUMIF(Abril!$B$3:$B$98,A193,Abril!$S$3:$S$98)+SUMIF(Abril!$C$3:$C$98,A193,Abril!$S$3:$S$98)</f>
        <v>0</v>
      </c>
    </row>
    <row r="194" spans="1:14" ht="15" x14ac:dyDescent="0.25">
      <c r="A194" s="276"/>
      <c r="B194" s="277"/>
      <c r="C194" s="278"/>
      <c r="D194" s="278"/>
      <c r="E194" s="278"/>
      <c r="F194" s="278"/>
      <c r="G194" s="278"/>
      <c r="H194" s="278"/>
      <c r="I194" s="279"/>
      <c r="J194" s="279"/>
      <c r="K194" s="278"/>
      <c r="L194" s="210">
        <f>I194+J194*EERR!$D$2</f>
        <v>0</v>
      </c>
      <c r="M194" s="136">
        <f>L194/EERR!$D$2</f>
        <v>0</v>
      </c>
      <c r="N194" s="136">
        <f>SUMIF(Abril!$B$3:$B$98,A194,Abril!$S$3:$S$98)+SUMIF(Abril!$C$3:$C$98,A194,Abril!$S$3:$S$98)</f>
        <v>0</v>
      </c>
    </row>
    <row r="195" spans="1:14" ht="15" x14ac:dyDescent="0.25">
      <c r="A195" s="276"/>
      <c r="B195" s="277"/>
      <c r="C195" s="278"/>
      <c r="D195" s="278"/>
      <c r="E195" s="278"/>
      <c r="F195" s="278"/>
      <c r="G195" s="278"/>
      <c r="H195" s="278"/>
      <c r="I195" s="279"/>
      <c r="J195" s="279"/>
      <c r="K195" s="278"/>
      <c r="L195" s="210">
        <f>I195+J195*EERR!$D$2</f>
        <v>0</v>
      </c>
      <c r="M195" s="136">
        <f>L195/EERR!$D$2</f>
        <v>0</v>
      </c>
      <c r="N195" s="136">
        <f>SUMIF(Abril!$B$3:$B$98,A195,Abril!$S$3:$S$98)+SUMIF(Abril!$C$3:$C$98,A195,Abril!$S$3:$S$98)</f>
        <v>0</v>
      </c>
    </row>
    <row r="196" spans="1:14" ht="15" x14ac:dyDescent="0.25">
      <c r="A196" s="276"/>
      <c r="B196" s="277"/>
      <c r="C196" s="278"/>
      <c r="D196" s="278"/>
      <c r="E196" s="278"/>
      <c r="F196" s="278"/>
      <c r="G196" s="278"/>
      <c r="H196" s="278"/>
      <c r="I196" s="279"/>
      <c r="J196" s="279"/>
      <c r="K196" s="278"/>
      <c r="L196" s="210">
        <f>I196+J196*EERR!$D$2</f>
        <v>0</v>
      </c>
      <c r="M196" s="136">
        <f>L196/EERR!$D$2</f>
        <v>0</v>
      </c>
      <c r="N196" s="136">
        <f>SUMIF(Abril!$B$3:$B$98,A196,Abril!$S$3:$S$98)+SUMIF(Abril!$C$3:$C$98,A196,Abril!$S$3:$S$98)</f>
        <v>0</v>
      </c>
    </row>
    <row r="197" spans="1:14" ht="15" x14ac:dyDescent="0.25">
      <c r="A197" s="276"/>
      <c r="B197" s="277"/>
      <c r="C197" s="278"/>
      <c r="D197" s="278"/>
      <c r="E197" s="278"/>
      <c r="F197" s="278"/>
      <c r="G197" s="278"/>
      <c r="H197" s="278"/>
      <c r="I197" s="279"/>
      <c r="J197" s="279"/>
      <c r="K197" s="278"/>
      <c r="L197" s="210">
        <f>I197+J197*EERR!$D$2</f>
        <v>0</v>
      </c>
      <c r="M197" s="136">
        <f>L197/EERR!$D$2</f>
        <v>0</v>
      </c>
      <c r="N197" s="136">
        <f>SUMIF(Abril!$B$3:$B$98,A197,Abril!$S$3:$S$98)+SUMIF(Abril!$C$3:$C$98,A197,Abril!$S$3:$S$98)</f>
        <v>0</v>
      </c>
    </row>
    <row r="198" spans="1:14" ht="15" x14ac:dyDescent="0.25">
      <c r="A198" s="259"/>
      <c r="B198" s="260"/>
      <c r="C198" s="261"/>
      <c r="D198" s="261"/>
      <c r="E198" s="261"/>
      <c r="F198" s="261"/>
      <c r="G198" s="261"/>
      <c r="H198" s="261"/>
      <c r="I198" s="262"/>
      <c r="J198" s="262"/>
      <c r="K198" s="261"/>
      <c r="L198" s="210">
        <f>I198+J198*EERR!$D$2</f>
        <v>0</v>
      </c>
      <c r="M198" s="136">
        <f>L198/EERR!$D$2</f>
        <v>0</v>
      </c>
      <c r="N198" s="136">
        <f>SUMIF(Abril!$B$3:$B$98,A198,Abril!$S$3:$S$98)+SUMIF(Abril!$C$3:$C$98,A198,Abril!$S$3:$S$98)</f>
        <v>0</v>
      </c>
    </row>
    <row r="199" spans="1:14" ht="15" x14ac:dyDescent="0.25">
      <c r="A199" s="259"/>
      <c r="B199" s="260"/>
      <c r="C199" s="261"/>
      <c r="D199" s="261"/>
      <c r="E199" s="261"/>
      <c r="F199" s="261"/>
      <c r="G199" s="261"/>
      <c r="H199" s="261"/>
      <c r="I199" s="262"/>
      <c r="J199" s="262"/>
      <c r="K199" s="261"/>
      <c r="L199" s="210">
        <f>I199+J199*EERR!$D$2</f>
        <v>0</v>
      </c>
      <c r="M199" s="136">
        <f>L199/EERR!$D$2</f>
        <v>0</v>
      </c>
      <c r="N199" s="136">
        <f>SUMIF(Abril!$B$3:$B$98,A199,Abril!$S$3:$S$98)+SUMIF(Abril!$C$3:$C$98,A199,Abril!$S$3:$S$98)</f>
        <v>0</v>
      </c>
    </row>
    <row r="200" spans="1:14" ht="15" x14ac:dyDescent="0.25">
      <c r="A200" s="259"/>
      <c r="B200" s="260"/>
      <c r="C200" s="261"/>
      <c r="D200" s="261"/>
      <c r="E200" s="261"/>
      <c r="F200" s="261"/>
      <c r="G200" s="261"/>
      <c r="H200" s="261"/>
      <c r="I200" s="262"/>
      <c r="J200" s="262"/>
      <c r="K200" s="261"/>
      <c r="L200" s="210">
        <f>I200+J200*EERR!$D$2</f>
        <v>0</v>
      </c>
      <c r="M200" s="136">
        <f>L200/EERR!$D$2</f>
        <v>0</v>
      </c>
      <c r="N200" s="136">
        <f>SUMIF(Abril!$B$3:$B$98,A200,Abril!$S$3:$S$98)+SUMIF(Abril!$C$3:$C$98,A200,Abril!$S$3:$S$98)</f>
        <v>0</v>
      </c>
    </row>
    <row r="201" spans="1:14" ht="15" x14ac:dyDescent="0.25">
      <c r="A201" s="259"/>
      <c r="B201" s="260"/>
      <c r="C201" s="261"/>
      <c r="D201" s="261"/>
      <c r="E201" s="261"/>
      <c r="F201" s="261"/>
      <c r="G201" s="261"/>
      <c r="H201" s="261"/>
      <c r="I201" s="262"/>
      <c r="J201" s="262"/>
      <c r="K201" s="261"/>
      <c r="L201" s="210">
        <f>I201+J201*EERR!$D$2</f>
        <v>0</v>
      </c>
      <c r="M201" s="136">
        <f>L201/EERR!$D$2</f>
        <v>0</v>
      </c>
      <c r="N201" s="136">
        <f>SUMIF(Abril!$B$3:$B$98,A201,Abril!$S$3:$S$98)+SUMIF(Abril!$C$3:$C$98,A201,Abril!$S$3:$S$98)</f>
        <v>0</v>
      </c>
    </row>
    <row r="202" spans="1:14" ht="15" x14ac:dyDescent="0.25">
      <c r="A202" s="259"/>
      <c r="B202" s="260"/>
      <c r="C202" s="261"/>
      <c r="D202" s="261"/>
      <c r="E202" s="261"/>
      <c r="F202" s="261"/>
      <c r="G202" s="261"/>
      <c r="H202" s="261"/>
      <c r="I202" s="262"/>
      <c r="J202" s="262"/>
      <c r="K202" s="261"/>
      <c r="L202" s="210">
        <f>I202+J202*EERR!$D$2</f>
        <v>0</v>
      </c>
      <c r="M202" s="136">
        <f>L202/EERR!$D$2</f>
        <v>0</v>
      </c>
      <c r="N202" s="136">
        <f>SUMIF(Abril!$B$3:$B$98,A202,Abril!$S$3:$S$98)+SUMIF(Abril!$C$3:$C$98,A202,Abril!$S$3:$S$98)</f>
        <v>0</v>
      </c>
    </row>
    <row r="203" spans="1:14" ht="15" x14ac:dyDescent="0.25">
      <c r="A203" s="259"/>
      <c r="B203" s="260"/>
      <c r="C203" s="261"/>
      <c r="D203" s="261"/>
      <c r="E203" s="261"/>
      <c r="F203" s="261"/>
      <c r="G203" s="261"/>
      <c r="H203" s="261"/>
      <c r="I203" s="262"/>
      <c r="J203" s="262"/>
      <c r="K203" s="261"/>
      <c r="L203" s="210">
        <f>I203+J203*EERR!$D$2</f>
        <v>0</v>
      </c>
      <c r="M203" s="136">
        <f>L203/EERR!$D$2</f>
        <v>0</v>
      </c>
      <c r="N203" s="136">
        <f>SUMIF(Abril!$B$3:$B$98,A203,Abril!$S$3:$S$98)+SUMIF(Abril!$C$3:$C$98,A203,Abril!$S$3:$S$98)</f>
        <v>0</v>
      </c>
    </row>
    <row r="204" spans="1:14" ht="15" x14ac:dyDescent="0.25">
      <c r="A204" s="259"/>
      <c r="B204" s="260"/>
      <c r="C204" s="261"/>
      <c r="D204" s="261"/>
      <c r="E204" s="261"/>
      <c r="F204" s="261"/>
      <c r="G204" s="261"/>
      <c r="H204" s="261"/>
      <c r="I204" s="262"/>
      <c r="J204" s="262"/>
      <c r="K204" s="261"/>
      <c r="L204" s="210">
        <f>I204+J204*EERR!$D$2</f>
        <v>0</v>
      </c>
      <c r="M204" s="136">
        <f>L204/EERR!$D$2</f>
        <v>0</v>
      </c>
      <c r="N204" s="136">
        <f>SUMIF(Abril!$B$3:$B$98,A204,Abril!$S$3:$S$98)+SUMIF(Abril!$C$3:$C$98,A204,Abril!$S$3:$S$98)</f>
        <v>0</v>
      </c>
    </row>
    <row r="205" spans="1:14" ht="15" x14ac:dyDescent="0.25">
      <c r="A205" s="259"/>
      <c r="B205" s="260"/>
      <c r="C205" s="261"/>
      <c r="D205" s="261"/>
      <c r="E205" s="261"/>
      <c r="F205" s="261"/>
      <c r="G205" s="261"/>
      <c r="H205" s="261"/>
      <c r="I205" s="262"/>
      <c r="J205" s="262"/>
      <c r="K205" s="261"/>
      <c r="L205" s="210">
        <f>I205+J205*EERR!$D$2</f>
        <v>0</v>
      </c>
      <c r="M205" s="136">
        <f>L205/EERR!$D$2</f>
        <v>0</v>
      </c>
      <c r="N205" s="136">
        <f>SUMIF(Abril!$B$3:$B$98,A205,Abril!$S$3:$S$98)+SUMIF(Abril!$C$3:$C$98,A205,Abril!$S$3:$S$98)</f>
        <v>0</v>
      </c>
    </row>
    <row r="206" spans="1:14" ht="15" x14ac:dyDescent="0.25">
      <c r="A206" s="259"/>
      <c r="B206" s="260"/>
      <c r="C206" s="261"/>
      <c r="D206" s="261"/>
      <c r="E206" s="261"/>
      <c r="F206" s="261"/>
      <c r="G206" s="261"/>
      <c r="H206" s="261"/>
      <c r="I206" s="262"/>
      <c r="J206" s="262"/>
      <c r="K206" s="261"/>
      <c r="L206" s="210">
        <f>I206+J206*EERR!$D$2</f>
        <v>0</v>
      </c>
      <c r="M206" s="136">
        <f>L206/EERR!$D$2</f>
        <v>0</v>
      </c>
      <c r="N206" s="136">
        <f>SUMIF(Abril!$B$3:$B$98,A206,Abril!$S$3:$S$98)+SUMIF(Abril!$C$3:$C$98,A206,Abril!$S$3:$S$98)</f>
        <v>0</v>
      </c>
    </row>
    <row r="207" spans="1:14" ht="15" x14ac:dyDescent="0.25">
      <c r="A207" s="259"/>
      <c r="B207" s="260"/>
      <c r="C207" s="261"/>
      <c r="D207" s="261"/>
      <c r="E207" s="261"/>
      <c r="F207" s="261"/>
      <c r="G207" s="261"/>
      <c r="H207" s="261"/>
      <c r="I207" s="262"/>
      <c r="J207" s="262"/>
      <c r="K207" s="261"/>
      <c r="L207" s="210">
        <f>I207+J207*EERR!$D$2</f>
        <v>0</v>
      </c>
      <c r="M207" s="136">
        <f>L207/EERR!$D$2</f>
        <v>0</v>
      </c>
      <c r="N207" s="136">
        <f>SUMIF(Abril!$B$3:$B$98,A207,Abril!$S$3:$S$98)+SUMIF(Abril!$C$3:$C$98,A207,Abril!$S$3:$S$98)</f>
        <v>0</v>
      </c>
    </row>
    <row r="208" spans="1:14" ht="15" x14ac:dyDescent="0.25">
      <c r="A208" s="259"/>
      <c r="B208" s="260"/>
      <c r="C208" s="261"/>
      <c r="D208" s="261"/>
      <c r="E208" s="261"/>
      <c r="F208" s="261"/>
      <c r="G208" s="261"/>
      <c r="H208" s="261"/>
      <c r="I208" s="262"/>
      <c r="J208" s="262"/>
      <c r="K208" s="261"/>
      <c r="L208" s="210">
        <f>I208+J208*EERR!$D$2</f>
        <v>0</v>
      </c>
      <c r="M208" s="136">
        <f>L208/EERR!$D$2</f>
        <v>0</v>
      </c>
      <c r="N208" s="136">
        <f>SUMIF(Abril!$B$3:$B$98,A208,Abril!$S$3:$S$98)+SUMIF(Abril!$C$3:$C$98,A208,Abril!$S$3:$S$98)</f>
        <v>0</v>
      </c>
    </row>
    <row r="209" spans="1:18" ht="15" x14ac:dyDescent="0.25">
      <c r="A209" s="259"/>
      <c r="B209" s="260"/>
      <c r="C209" s="261"/>
      <c r="D209" s="261"/>
      <c r="E209" s="261"/>
      <c r="F209" s="261"/>
      <c r="G209" s="261"/>
      <c r="H209" s="261"/>
      <c r="I209" s="262"/>
      <c r="J209" s="262"/>
      <c r="K209" s="261"/>
      <c r="L209" s="210">
        <f>I209+J209*EERR!$D$2</f>
        <v>0</v>
      </c>
      <c r="M209" s="136">
        <f>L209/EERR!$D$2</f>
        <v>0</v>
      </c>
      <c r="N209" s="136">
        <f>SUMIF(Abril!$B$3:$B$98,A209,Abril!$S$3:$S$98)+SUMIF(Abril!$C$3:$C$98,A209,Abril!$S$3:$S$98)</f>
        <v>0</v>
      </c>
    </row>
    <row r="210" spans="1:18" ht="15" x14ac:dyDescent="0.25">
      <c r="A210" s="153"/>
      <c r="B210" s="147"/>
      <c r="C210" s="134"/>
      <c r="D210" s="134"/>
      <c r="E210" s="134"/>
      <c r="F210" s="134"/>
      <c r="G210" s="134"/>
      <c r="H210" s="134"/>
      <c r="I210" s="135"/>
      <c r="J210" s="135"/>
      <c r="K210" s="134"/>
      <c r="L210" s="210">
        <f>I210+J210*EERR!$D$2</f>
        <v>0</v>
      </c>
      <c r="M210" s="136">
        <f>L210/EERR!$D$2</f>
        <v>0</v>
      </c>
      <c r="N210" s="136">
        <f>SUMIF(Abril!$B$3:$B$98,A210,Abril!$S$3:$S$98)+SUMIF(Abril!$C$3:$C$98,A210,Abril!$S$3:$S$98)</f>
        <v>0</v>
      </c>
    </row>
    <row r="211" spans="1:18" ht="15" x14ac:dyDescent="0.25">
      <c r="A211" s="153"/>
      <c r="B211" s="147"/>
      <c r="C211" s="134"/>
      <c r="D211" s="134"/>
      <c r="E211" s="134"/>
      <c r="F211" s="134"/>
      <c r="G211" s="134"/>
      <c r="H211" s="134"/>
      <c r="I211" s="135"/>
      <c r="J211" s="135"/>
      <c r="K211" s="134"/>
      <c r="L211" s="210">
        <f>I211+J211*EERR!$D$2</f>
        <v>0</v>
      </c>
      <c r="M211" s="136">
        <f>L211/EERR!$D$2</f>
        <v>0</v>
      </c>
      <c r="N211" s="136">
        <f>SUMIF(Abril!$B$3:$B$98,A211,Abril!$S$3:$S$98)+SUMIF(Abril!$C$3:$C$98,A211,Abril!$S$3:$S$98)</f>
        <v>0</v>
      </c>
    </row>
    <row r="212" spans="1:18" ht="15" x14ac:dyDescent="0.25">
      <c r="A212" s="153"/>
      <c r="B212" s="147"/>
      <c r="C212" s="134"/>
      <c r="D212" s="134"/>
      <c r="E212" s="134"/>
      <c r="F212" s="134"/>
      <c r="G212" s="134"/>
      <c r="H212" s="134"/>
      <c r="I212" s="135"/>
      <c r="J212" s="135"/>
      <c r="K212" s="134"/>
      <c r="L212" s="210">
        <f>I212+J212*EERR!$D$2</f>
        <v>0</v>
      </c>
      <c r="M212" s="136">
        <f>L212/EERR!$D$2</f>
        <v>0</v>
      </c>
      <c r="N212" s="136">
        <f>SUMIF(Abril!$B$3:$B$98,A212,Abril!$S$3:$S$98)+SUMIF(Abril!$C$3:$C$98,A212,Abril!$S$3:$S$98)</f>
        <v>0</v>
      </c>
    </row>
    <row r="213" spans="1:18" ht="15" x14ac:dyDescent="0.25">
      <c r="A213" s="153"/>
      <c r="B213" s="147"/>
      <c r="C213" s="134"/>
      <c r="D213" s="134"/>
      <c r="E213" s="134"/>
      <c r="F213" s="134"/>
      <c r="G213" s="134"/>
      <c r="H213" s="134"/>
      <c r="I213" s="135"/>
      <c r="J213" s="135"/>
      <c r="K213" s="134"/>
      <c r="L213" s="210">
        <f>I213+J213*EERR!$D$2</f>
        <v>0</v>
      </c>
      <c r="M213" s="136">
        <f>L213/EERR!$D$2</f>
        <v>0</v>
      </c>
      <c r="N213" s="136">
        <f>SUMIF(Abril!$B$3:$B$98,A213,Abril!$S$3:$S$98)+SUMIF(Abril!$C$3:$C$98,A213,Abril!$S$3:$S$98)</f>
        <v>0</v>
      </c>
    </row>
    <row r="214" spans="1:18" ht="15" x14ac:dyDescent="0.25">
      <c r="A214" s="153"/>
      <c r="B214" s="147"/>
      <c r="C214" s="134"/>
      <c r="D214" s="134"/>
      <c r="E214" s="134"/>
      <c r="F214" s="134"/>
      <c r="G214" s="134"/>
      <c r="H214" s="134"/>
      <c r="I214" s="135"/>
      <c r="J214" s="135"/>
      <c r="K214" s="134"/>
      <c r="L214" s="210">
        <f>I214+J214*EERR!$D$2</f>
        <v>0</v>
      </c>
      <c r="M214" s="136">
        <f>L214/EERR!$D$2</f>
        <v>0</v>
      </c>
      <c r="N214" s="136">
        <f>SUMIF(Abril!$B$3:$B$98,A214,Abril!$S$3:$S$98)+SUMIF(Abril!$C$3:$C$98,A214,Abril!$S$3:$S$98)</f>
        <v>0</v>
      </c>
    </row>
    <row r="215" spans="1:18" ht="15" x14ac:dyDescent="0.25">
      <c r="A215" s="153"/>
      <c r="B215" s="147"/>
      <c r="C215" s="134"/>
      <c r="D215" s="134"/>
      <c r="E215" s="134"/>
      <c r="F215" s="134"/>
      <c r="G215" s="134"/>
      <c r="H215" s="134"/>
      <c r="I215" s="135"/>
      <c r="J215" s="135"/>
      <c r="K215" s="134"/>
      <c r="L215" s="210">
        <f>I215+J215*EERR!$D$2</f>
        <v>0</v>
      </c>
      <c r="M215" s="136">
        <f>L215/EERR!$D$2</f>
        <v>0</v>
      </c>
      <c r="N215" s="136">
        <f>SUMIF(Abril!$B$3:$B$98,A215,Abril!$S$3:$S$98)+SUMIF(Abril!$C$3:$C$98,A215,Abril!$S$3:$S$98)</f>
        <v>0</v>
      </c>
    </row>
    <row r="216" spans="1:18" ht="15" x14ac:dyDescent="0.25">
      <c r="A216" s="153"/>
      <c r="B216" s="147"/>
      <c r="C216" s="134"/>
      <c r="D216" s="134"/>
      <c r="E216" s="134"/>
      <c r="F216" s="134"/>
      <c r="G216" s="134"/>
      <c r="H216" s="134"/>
      <c r="I216" s="135"/>
      <c r="J216" s="135"/>
      <c r="K216" s="134"/>
      <c r="L216" s="210">
        <f>I216+J216*EERR!$D$2</f>
        <v>0</v>
      </c>
      <c r="M216" s="136">
        <f>L216/EERR!$D$2</f>
        <v>0</v>
      </c>
      <c r="N216" s="136">
        <f>SUMIF(Abril!$B$3:$B$98,A216,Abril!$S$3:$S$98)+SUMIF(Abril!$C$3:$C$98,A216,Abril!$S$3:$S$98)</f>
        <v>0</v>
      </c>
    </row>
    <row r="217" spans="1:18" ht="15" x14ac:dyDescent="0.25">
      <c r="A217" s="153"/>
      <c r="B217" s="147"/>
      <c r="C217" s="134"/>
      <c r="D217" s="134"/>
      <c r="E217" s="134"/>
      <c r="F217" s="134"/>
      <c r="G217" s="134"/>
      <c r="H217" s="134"/>
      <c r="I217" s="135"/>
      <c r="J217" s="135"/>
      <c r="K217" s="134"/>
      <c r="L217" s="210">
        <f>I217+J217*EERR!$D$2</f>
        <v>0</v>
      </c>
      <c r="M217" s="136">
        <f>L217/EERR!$D$2</f>
        <v>0</v>
      </c>
      <c r="N217" s="136">
        <f>SUMIF(Abril!$B$3:$B$98,A217,Abril!$S$3:$S$98)+SUMIF(Abril!$C$3:$C$98,A217,Abril!$S$3:$S$98)</f>
        <v>0</v>
      </c>
    </row>
    <row r="218" spans="1:18" ht="15" x14ac:dyDescent="0.25">
      <c r="A218" s="153"/>
      <c r="B218" s="147"/>
      <c r="C218" s="134"/>
      <c r="D218" s="134"/>
      <c r="E218" s="134"/>
      <c r="F218" s="134"/>
      <c r="G218" s="134"/>
      <c r="H218" s="134"/>
      <c r="I218" s="135"/>
      <c r="J218" s="135"/>
      <c r="K218" s="134"/>
      <c r="L218" s="210">
        <f>I218+J218*EERR!$D$2</f>
        <v>0</v>
      </c>
      <c r="M218" s="136">
        <f>L218/EERR!$D$2</f>
        <v>0</v>
      </c>
      <c r="N218" s="136">
        <f>SUMIF(Abril!$B$3:$B$98,A218,Abril!$S$3:$S$98)+SUMIF(Abril!$C$3:$C$98,A218,Abril!$S$3:$S$98)</f>
        <v>0</v>
      </c>
    </row>
    <row r="219" spans="1:18" ht="15" x14ac:dyDescent="0.25">
      <c r="A219" s="153"/>
      <c r="B219" s="147"/>
      <c r="C219" s="134"/>
      <c r="D219" s="134"/>
      <c r="E219" s="134"/>
      <c r="F219" s="134"/>
      <c r="G219" s="134"/>
      <c r="H219" s="134"/>
      <c r="I219" s="135"/>
      <c r="J219" s="135"/>
      <c r="K219" s="134"/>
      <c r="L219" s="210">
        <f>I219+J219*EERR!$D$2</f>
        <v>0</v>
      </c>
      <c r="M219" s="136">
        <f>L219/EERR!$D$2</f>
        <v>0</v>
      </c>
      <c r="N219" s="136">
        <f>SUMIF(Abril!$B$3:$B$98,A219,Abril!$S$3:$S$98)+SUMIF(Abril!$C$3:$C$98,A219,Abril!$S$3:$S$98)</f>
        <v>0</v>
      </c>
    </row>
    <row r="220" spans="1:18" ht="15" x14ac:dyDescent="0.25">
      <c r="A220" s="153"/>
      <c r="B220" s="147"/>
      <c r="C220" s="134"/>
      <c r="D220" s="134"/>
      <c r="E220" s="134"/>
      <c r="F220" s="134"/>
      <c r="G220" s="134"/>
      <c r="H220" s="134"/>
      <c r="I220" s="135"/>
      <c r="J220" s="135"/>
      <c r="K220" s="134"/>
      <c r="L220" s="210">
        <f>I220+J220*EERR!$D$2</f>
        <v>0</v>
      </c>
      <c r="M220" s="136">
        <f>L220/EERR!$D$2</f>
        <v>0</v>
      </c>
      <c r="N220" s="136">
        <f>SUMIF(Abril!$B$3:$B$98,A220,Abril!$S$3:$S$98)+SUMIF(Abril!$C$3:$C$98,A220,Abril!$S$3:$S$98)</f>
        <v>0</v>
      </c>
    </row>
    <row r="221" spans="1:18" ht="15" x14ac:dyDescent="0.25">
      <c r="A221" s="153"/>
      <c r="B221" s="147"/>
      <c r="C221" s="134"/>
      <c r="D221" s="134"/>
      <c r="E221" s="134"/>
      <c r="F221" s="134"/>
      <c r="G221" s="134"/>
      <c r="H221" s="134"/>
      <c r="I221" s="135"/>
      <c r="J221" s="135"/>
      <c r="K221" s="134"/>
      <c r="L221" s="210">
        <f>I221+J221*EERR!$D$2</f>
        <v>0</v>
      </c>
      <c r="M221" s="136">
        <f>L221/EERR!$D$2</f>
        <v>0</v>
      </c>
      <c r="N221" s="136">
        <f>SUMIF(Abril!$B$3:$B$98,A221,Abril!$S$3:$S$98)+SUMIF(Abril!$C$3:$C$98,A221,Abril!$S$3:$S$98)</f>
        <v>0</v>
      </c>
    </row>
    <row r="222" spans="1:18" ht="15" x14ac:dyDescent="0.25">
      <c r="A222" s="153"/>
      <c r="B222" s="147"/>
      <c r="C222" s="134"/>
      <c r="D222" s="134"/>
      <c r="E222" s="134"/>
      <c r="F222" s="134"/>
      <c r="G222" s="134"/>
      <c r="H222" s="134"/>
      <c r="I222" s="135"/>
      <c r="J222" s="135"/>
      <c r="K222" s="134"/>
      <c r="L222" s="210">
        <f>I222+J222*EERR!$D$2</f>
        <v>0</v>
      </c>
      <c r="M222" s="136">
        <f>L222/EERR!$D$2</f>
        <v>0</v>
      </c>
      <c r="N222" s="136">
        <f>SUMIF(Abril!$B$3:$B$98,A222,Abril!$S$3:$S$98)+SUMIF(Abril!$C$3:$C$98,A222,Abril!$S$3:$S$98)</f>
        <v>0</v>
      </c>
    </row>
    <row r="223" spans="1:18" ht="15" x14ac:dyDescent="0.25">
      <c r="A223" s="153"/>
      <c r="B223" s="147"/>
      <c r="C223" s="134"/>
      <c r="D223" s="134"/>
      <c r="E223" s="134"/>
      <c r="F223" s="134"/>
      <c r="G223" s="134"/>
      <c r="H223" s="134"/>
      <c r="I223" s="135"/>
      <c r="J223" s="135"/>
      <c r="K223" s="134"/>
      <c r="L223" s="210">
        <f>I223+J223*EERR!$D$2</f>
        <v>0</v>
      </c>
      <c r="M223" s="136">
        <f>L223/EERR!$D$2</f>
        <v>0</v>
      </c>
      <c r="N223" s="136">
        <f>SUMIF(Abril!$B$3:$B$98,A223,Abril!$S$3:$S$98)+SUMIF(Abril!$C$3:$C$98,A223,Abril!$S$3:$S$98)</f>
        <v>0</v>
      </c>
    </row>
    <row r="224" spans="1:18" ht="15" x14ac:dyDescent="0.25">
      <c r="A224" s="225"/>
      <c r="B224" s="225"/>
      <c r="C224" s="225"/>
      <c r="D224" s="225"/>
      <c r="E224" s="225"/>
      <c r="F224" s="225"/>
      <c r="G224" s="225"/>
      <c r="H224" s="225"/>
      <c r="I224" s="226">
        <f>SUM(I2:I223)</f>
        <v>5696839</v>
      </c>
      <c r="J224" s="226">
        <f>SUM(J2:J223)</f>
        <v>33666</v>
      </c>
      <c r="K224" s="225"/>
      <c r="L224" s="210">
        <f>I224+J224*EERR!$D$2</f>
        <v>27772981.84</v>
      </c>
      <c r="M224" s="136">
        <f>L224/EERR!$D$2</f>
        <v>42353.64906822826</v>
      </c>
      <c r="N224" s="136">
        <f>SUMIF(Abril!$B$3:$B$98,A224,Abril!$S$3:$S$98)+SUMIF(Abril!$C$3:$C$98,A224,Abril!$S$3:$S$98)</f>
        <v>0</v>
      </c>
      <c r="O224" s="201"/>
      <c r="P224" s="201"/>
      <c r="R224" s="70">
        <v>7096000</v>
      </c>
    </row>
    <row r="225" spans="1:18" ht="15" x14ac:dyDescent="0.25">
      <c r="I225" s="224">
        <f>I224-I11</f>
        <v>5696839</v>
      </c>
      <c r="J225" s="70"/>
      <c r="L225" s="210">
        <f>I225+J225*EERR!$D$2</f>
        <v>5696839</v>
      </c>
      <c r="M225" s="136">
        <f>L225/EERR!$D$2</f>
        <v>8687.649068228262</v>
      </c>
      <c r="N225" s="136">
        <f>SUMIF(Abril!$B$3:$B$98,A225,Abril!$S$3:$S$98)+SUMIF(Abril!$C$3:$C$98,A225,Abril!$S$3:$S$98)</f>
        <v>0</v>
      </c>
      <c r="O225" s="201"/>
      <c r="P225" s="201"/>
      <c r="R225" s="70">
        <f>R224*0.19</f>
        <v>1348240</v>
      </c>
    </row>
    <row r="226" spans="1:18" ht="15" x14ac:dyDescent="0.25">
      <c r="H226" s="70" t="s">
        <v>140</v>
      </c>
      <c r="I226" s="224">
        <f>I225*0.19</f>
        <v>1082399.4099999999</v>
      </c>
      <c r="J226" s="70"/>
      <c r="L226" s="210">
        <f>I226+J226*EERR!$D$2</f>
        <v>1082399.4099999999</v>
      </c>
      <c r="M226" s="136">
        <f>L226/EERR!$D$2</f>
        <v>1650.6533229633694</v>
      </c>
      <c r="N226" s="136">
        <f>SUMIF(Abril!$B$3:$B$98,A226,Abril!$S$3:$S$98)+SUMIF(Abril!$C$3:$C$98,A226,Abril!$S$3:$S$98)</f>
        <v>0</v>
      </c>
      <c r="Q226" s="227"/>
    </row>
    <row r="227" spans="1:18" ht="15" x14ac:dyDescent="0.25">
      <c r="I227" s="70"/>
      <c r="J227" s="70"/>
      <c r="L227" s="210">
        <f>I227+J227*EERR!$D$2</f>
        <v>0</v>
      </c>
      <c r="M227" s="136">
        <f>L227/EERR!$D$2</f>
        <v>0</v>
      </c>
      <c r="N227" s="136">
        <f>SUMIF(Abril!$B$3:$B$98,A227,Abril!$S$3:$S$98)+SUMIF(Abril!$C$3:$C$98,A227,Abril!$S$3:$S$98)</f>
        <v>0</v>
      </c>
    </row>
    <row r="228" spans="1:18" ht="15" x14ac:dyDescent="0.25">
      <c r="I228" s="70"/>
      <c r="J228" s="70"/>
      <c r="L228" s="210">
        <f>I228+J228*EERR!$D$2</f>
        <v>0</v>
      </c>
      <c r="M228" s="136">
        <f>L228/EERR!$D$2</f>
        <v>0</v>
      </c>
      <c r="N228" s="136">
        <f>SUMIF(Abril!$B$3:$B$98,A228,Abril!$S$3:$S$98)+SUMIF(Abril!$C$3:$C$98,A228,Abril!$S$3:$S$98)</f>
        <v>0</v>
      </c>
    </row>
    <row r="229" spans="1:18" ht="15" x14ac:dyDescent="0.25">
      <c r="L229" s="210">
        <f>I229+J229*EERR!$D$2</f>
        <v>0</v>
      </c>
      <c r="M229" s="136">
        <f>L229/EERR!$D$2</f>
        <v>0</v>
      </c>
      <c r="N229" s="136">
        <f>SUMIF(Abril!$B$3:$B$98,A229,Abril!$S$3:$S$98)+SUMIF(Abril!$C$3:$C$98,A229,Abril!$S$3:$S$98)</f>
        <v>0</v>
      </c>
    </row>
    <row r="230" spans="1:18" ht="15" x14ac:dyDescent="0.25">
      <c r="A230" s="188" t="s">
        <v>143</v>
      </c>
      <c r="B230" s="222" t="s">
        <v>144</v>
      </c>
      <c r="C230" s="188" t="s">
        <v>145</v>
      </c>
      <c r="D230" s="188" t="s">
        <v>146</v>
      </c>
      <c r="E230" s="188" t="s">
        <v>147</v>
      </c>
      <c r="F230" s="188" t="s">
        <v>148</v>
      </c>
      <c r="G230" s="188" t="s">
        <v>149</v>
      </c>
      <c r="H230" s="188" t="s">
        <v>150</v>
      </c>
      <c r="I230" s="190" t="s">
        <v>151</v>
      </c>
      <c r="J230" s="190" t="s">
        <v>152</v>
      </c>
      <c r="K230" s="188" t="s">
        <v>153</v>
      </c>
      <c r="L230" s="210" t="e">
        <f>I230+J230*EERR!$D$2</f>
        <v>#VALUE!</v>
      </c>
      <c r="M230" s="136" t="e">
        <f>L230/EERR!$D$2</f>
        <v>#VALUE!</v>
      </c>
      <c r="N230" s="136">
        <f>SUMIF(Abril!$B$3:$B$98,A230,Abril!$S$3:$S$98)+SUMIF(Abril!$C$3:$C$98,A230,Abril!$S$3:$S$98)</f>
        <v>0</v>
      </c>
      <c r="O230" s="223" t="s">
        <v>81</v>
      </c>
      <c r="P230" s="223" t="s">
        <v>127</v>
      </c>
    </row>
    <row r="231" spans="1:18" ht="15" x14ac:dyDescent="0.25">
      <c r="A231" s="153">
        <v>88941</v>
      </c>
      <c r="B231" s="147" t="s">
        <v>412</v>
      </c>
      <c r="C231" s="134" t="s">
        <v>251</v>
      </c>
      <c r="D231" s="134" t="s">
        <v>172</v>
      </c>
      <c r="E231" s="134" t="s">
        <v>173</v>
      </c>
      <c r="F231" s="134" t="s">
        <v>178</v>
      </c>
      <c r="G231" s="134" t="s">
        <v>413</v>
      </c>
      <c r="H231" s="134" t="s">
        <v>175</v>
      </c>
      <c r="I231" s="135"/>
      <c r="J231" s="135">
        <v>585</v>
      </c>
      <c r="K231" s="134" t="s">
        <v>414</v>
      </c>
      <c r="L231" s="210">
        <f>I231+J231*EERR!$D$2</f>
        <v>383607.9</v>
      </c>
      <c r="M231" s="136">
        <f>L231/EERR!$D$2</f>
        <v>585</v>
      </c>
      <c r="N231" s="136">
        <f>SUMIF(Abril!$B$3:$B$98,A231,Abril!$S$3:$S$98)+SUMIF(Abril!$C$3:$C$98,A231,Abril!$S$3:$S$98)</f>
        <v>0</v>
      </c>
    </row>
    <row r="232" spans="1:18" ht="15" x14ac:dyDescent="0.25">
      <c r="A232" s="153">
        <v>11879</v>
      </c>
      <c r="B232" s="147" t="s">
        <v>415</v>
      </c>
      <c r="C232" s="134" t="s">
        <v>250</v>
      </c>
      <c r="D232" s="134" t="s">
        <v>172</v>
      </c>
      <c r="E232" s="134" t="s">
        <v>176</v>
      </c>
      <c r="F232" s="134" t="s">
        <v>178</v>
      </c>
      <c r="G232" s="134" t="s">
        <v>416</v>
      </c>
      <c r="H232" s="134" t="s">
        <v>176</v>
      </c>
      <c r="I232" s="135">
        <v>135540</v>
      </c>
      <c r="J232" s="135"/>
      <c r="K232" s="134" t="s">
        <v>417</v>
      </c>
      <c r="L232" s="210">
        <f>I232+J232*EERR!$D$2</f>
        <v>135540</v>
      </c>
      <c r="M232" s="136">
        <f>L232/EERR!$D$2</f>
        <v>206.69777655778205</v>
      </c>
      <c r="N232" s="136">
        <f>SUMIF(Abril!$B$3:$B$98,A232,Abril!$S$3:$S$98)+SUMIF(Abril!$C$3:$C$98,A232,Abril!$S$3:$S$98)</f>
        <v>0</v>
      </c>
    </row>
    <row r="233" spans="1:18" ht="15" x14ac:dyDescent="0.25">
      <c r="A233" s="153">
        <v>21686</v>
      </c>
      <c r="B233" s="147" t="s">
        <v>418</v>
      </c>
      <c r="C233" s="134" t="s">
        <v>251</v>
      </c>
      <c r="D233" s="134" t="s">
        <v>172</v>
      </c>
      <c r="E233" s="134" t="s">
        <v>173</v>
      </c>
      <c r="F233" s="134" t="s">
        <v>178</v>
      </c>
      <c r="G233" s="134" t="s">
        <v>419</v>
      </c>
      <c r="H233" s="134" t="s">
        <v>175</v>
      </c>
      <c r="I233" s="135"/>
      <c r="J233" s="135">
        <v>195</v>
      </c>
      <c r="K233" s="134" t="s">
        <v>420</v>
      </c>
      <c r="L233" s="210">
        <f>I233+J233*EERR!$D$2</f>
        <v>127869.3</v>
      </c>
      <c r="M233" s="136">
        <f>L233/EERR!$D$2</f>
        <v>195</v>
      </c>
      <c r="N233" s="136">
        <f>SUMIF(Abril!$B$3:$B$98,A233,Abril!$S$3:$S$98)+SUMIF(Abril!$C$3:$C$98,A233,Abril!$S$3:$S$98)</f>
        <v>0</v>
      </c>
    </row>
    <row r="234" spans="1:18" ht="15" x14ac:dyDescent="0.25">
      <c r="A234" s="153">
        <v>6440</v>
      </c>
      <c r="B234" s="147" t="s">
        <v>421</v>
      </c>
      <c r="C234" s="134" t="s">
        <v>251</v>
      </c>
      <c r="D234" s="134" t="s">
        <v>172</v>
      </c>
      <c r="E234" s="134" t="s">
        <v>173</v>
      </c>
      <c r="F234" s="134" t="s">
        <v>177</v>
      </c>
      <c r="G234" s="134" t="s">
        <v>422</v>
      </c>
      <c r="H234" s="134" t="s">
        <v>175</v>
      </c>
      <c r="I234" s="135"/>
      <c r="J234" s="135">
        <v>195</v>
      </c>
      <c r="K234" s="134" t="s">
        <v>423</v>
      </c>
      <c r="L234" s="210">
        <f>I234+J234*EERR!$D$2</f>
        <v>127869.3</v>
      </c>
      <c r="M234" s="136">
        <f>L234/EERR!$D$2</f>
        <v>195</v>
      </c>
      <c r="N234" s="136">
        <f>SUMIF(Abril!$B$3:$B$98,A234,Abril!$S$3:$S$98)+SUMIF(Abril!$C$3:$C$98,A234,Abril!$S$3:$S$98)</f>
        <v>0</v>
      </c>
    </row>
    <row r="235" spans="1:18" ht="15" x14ac:dyDescent="0.25">
      <c r="A235" s="153">
        <v>49448</v>
      </c>
      <c r="B235" s="147" t="s">
        <v>424</v>
      </c>
      <c r="C235" s="134" t="s">
        <v>250</v>
      </c>
      <c r="D235" s="134" t="s">
        <v>172</v>
      </c>
      <c r="E235" s="134" t="s">
        <v>176</v>
      </c>
      <c r="F235" s="134" t="s">
        <v>177</v>
      </c>
      <c r="G235" s="134" t="s">
        <v>425</v>
      </c>
      <c r="H235" s="134" t="s">
        <v>176</v>
      </c>
      <c r="I235" s="135">
        <v>135541</v>
      </c>
      <c r="J235" s="135"/>
      <c r="K235" s="134" t="s">
        <v>426</v>
      </c>
      <c r="L235" s="210">
        <f>I235+J235*EERR!$D$2</f>
        <v>135541</v>
      </c>
      <c r="M235" s="136">
        <f>L235/EERR!$D$2</f>
        <v>206.69930155244455</v>
      </c>
      <c r="N235" s="136">
        <f>SUMIF(Abril!$B$3:$B$98,A235,Abril!$S$3:$S$98)+SUMIF(Abril!$C$3:$C$98,A235,Abril!$S$3:$S$98)</f>
        <v>0</v>
      </c>
    </row>
    <row r="236" spans="1:18" ht="15" x14ac:dyDescent="0.25">
      <c r="A236" s="153">
        <v>5707</v>
      </c>
      <c r="B236" s="147" t="s">
        <v>427</v>
      </c>
      <c r="C236" s="134" t="s">
        <v>250</v>
      </c>
      <c r="D236" s="134" t="s">
        <v>172</v>
      </c>
      <c r="E236" s="134" t="s">
        <v>176</v>
      </c>
      <c r="F236" s="134" t="s">
        <v>177</v>
      </c>
      <c r="G236" s="134" t="s">
        <v>428</v>
      </c>
      <c r="H236" s="134" t="s">
        <v>176</v>
      </c>
      <c r="I236" s="135">
        <v>135541</v>
      </c>
      <c r="J236" s="135"/>
      <c r="K236" s="134" t="s">
        <v>429</v>
      </c>
      <c r="L236" s="210">
        <f>I236+J236*EERR!$D$2</f>
        <v>135541</v>
      </c>
      <c r="M236" s="136">
        <f>L236/EERR!$D$2</f>
        <v>206.69930155244455</v>
      </c>
      <c r="N236" s="136">
        <f>SUMIF(Abril!$B$3:$B$98,A236,Abril!$S$3:$S$98)+SUMIF(Abril!$C$3:$C$98,A236,Abril!$S$3:$S$98)</f>
        <v>0</v>
      </c>
    </row>
    <row r="237" spans="1:18" ht="15" x14ac:dyDescent="0.25">
      <c r="A237" s="153">
        <v>86440</v>
      </c>
      <c r="B237" s="147" t="s">
        <v>430</v>
      </c>
      <c r="C237" s="134" t="s">
        <v>251</v>
      </c>
      <c r="D237" s="134" t="s">
        <v>172</v>
      </c>
      <c r="E237" s="134" t="s">
        <v>173</v>
      </c>
      <c r="F237" s="134" t="s">
        <v>178</v>
      </c>
      <c r="G237" s="134" t="s">
        <v>393</v>
      </c>
      <c r="H237" s="134" t="s">
        <v>175</v>
      </c>
      <c r="I237" s="135"/>
      <c r="J237" s="135">
        <v>585</v>
      </c>
      <c r="K237" s="134" t="s">
        <v>431</v>
      </c>
      <c r="L237" s="210">
        <f>I237+J237*EERR!$D$2</f>
        <v>383607.9</v>
      </c>
      <c r="M237" s="136">
        <f>L237/EERR!$D$2</f>
        <v>585</v>
      </c>
      <c r="N237" s="136">
        <f>SUMIF(Abril!$B$3:$B$98,A237,Abril!$S$3:$S$98)+SUMIF(Abril!$C$3:$C$98,A237,Abril!$S$3:$S$98)</f>
        <v>0</v>
      </c>
    </row>
    <row r="238" spans="1:18" ht="15" x14ac:dyDescent="0.25">
      <c r="A238" s="153">
        <v>1433</v>
      </c>
      <c r="B238" s="147" t="s">
        <v>432</v>
      </c>
      <c r="C238" s="134" t="s">
        <v>251</v>
      </c>
      <c r="D238" s="134" t="s">
        <v>172</v>
      </c>
      <c r="E238" s="134" t="s">
        <v>173</v>
      </c>
      <c r="F238" s="134" t="s">
        <v>177</v>
      </c>
      <c r="G238" s="134" t="s">
        <v>394</v>
      </c>
      <c r="H238" s="134" t="s">
        <v>175</v>
      </c>
      <c r="I238" s="135"/>
      <c r="J238" s="135">
        <v>702</v>
      </c>
      <c r="K238" s="134" t="s">
        <v>433</v>
      </c>
      <c r="L238" s="210">
        <f>I238+J238*EERR!$D$2</f>
        <v>460329.48</v>
      </c>
      <c r="M238" s="136">
        <f>L238/EERR!$D$2</f>
        <v>702</v>
      </c>
      <c r="N238" s="136">
        <f>SUMIF(Abril!$B$3:$B$98,A238,Abril!$S$3:$S$98)+SUMIF(Abril!$C$3:$C$98,A238,Abril!$S$3:$S$98)</f>
        <v>0</v>
      </c>
    </row>
    <row r="239" spans="1:18" ht="15" x14ac:dyDescent="0.25">
      <c r="A239" s="153">
        <v>14071</v>
      </c>
      <c r="B239" s="147" t="s">
        <v>434</v>
      </c>
      <c r="C239" s="134" t="s">
        <v>251</v>
      </c>
      <c r="D239" s="134" t="s">
        <v>172</v>
      </c>
      <c r="E239" s="134" t="s">
        <v>173</v>
      </c>
      <c r="F239" s="134" t="s">
        <v>178</v>
      </c>
      <c r="G239" s="134" t="s">
        <v>435</v>
      </c>
      <c r="H239" s="134" t="s">
        <v>175</v>
      </c>
      <c r="I239" s="135"/>
      <c r="J239" s="135">
        <v>585</v>
      </c>
      <c r="K239" s="134" t="s">
        <v>436</v>
      </c>
      <c r="L239" s="210">
        <f>I239+J239*EERR!$D$2</f>
        <v>383607.9</v>
      </c>
      <c r="M239" s="136">
        <f>L239/EERR!$D$2</f>
        <v>585</v>
      </c>
      <c r="N239" s="136">
        <f>SUMIF(Abril!$B$3:$B$98,A239,Abril!$S$3:$S$98)+SUMIF(Abril!$C$3:$C$98,A239,Abril!$S$3:$S$98)</f>
        <v>0</v>
      </c>
    </row>
    <row r="240" spans="1:18" ht="15" x14ac:dyDescent="0.25">
      <c r="A240" s="153">
        <v>30847</v>
      </c>
      <c r="B240" s="147" t="s">
        <v>437</v>
      </c>
      <c r="C240" s="134" t="s">
        <v>250</v>
      </c>
      <c r="D240" s="134" t="s">
        <v>172</v>
      </c>
      <c r="E240" s="134" t="s">
        <v>176</v>
      </c>
      <c r="F240" s="134" t="s">
        <v>177</v>
      </c>
      <c r="G240" s="134" t="s">
        <v>438</v>
      </c>
      <c r="H240" s="134" t="s">
        <v>176</v>
      </c>
      <c r="I240" s="135">
        <v>574045</v>
      </c>
      <c r="J240" s="135"/>
      <c r="K240" s="134" t="s">
        <v>439</v>
      </c>
      <c r="L240" s="210">
        <f>I240+J240*EERR!$D$2</f>
        <v>574045</v>
      </c>
      <c r="M240" s="136">
        <f>L240/EERR!$D$2</f>
        <v>875.41556104553638</v>
      </c>
      <c r="N240" s="136">
        <f>SUMIF(Abril!$B$3:$B$98,A240,Abril!$S$3:$S$98)+SUMIF(Abril!$C$3:$C$98,A240,Abril!$S$3:$S$98)</f>
        <v>0</v>
      </c>
    </row>
    <row r="241" spans="1:17" ht="15" x14ac:dyDescent="0.25">
      <c r="A241" s="153">
        <v>44522</v>
      </c>
      <c r="B241" s="147" t="s">
        <v>440</v>
      </c>
      <c r="C241" s="134" t="s">
        <v>251</v>
      </c>
      <c r="D241" s="134" t="s">
        <v>172</v>
      </c>
      <c r="E241" s="134" t="s">
        <v>173</v>
      </c>
      <c r="F241" s="134" t="s">
        <v>178</v>
      </c>
      <c r="G241" s="134" t="s">
        <v>441</v>
      </c>
      <c r="H241" s="134" t="s">
        <v>175</v>
      </c>
      <c r="I241" s="135"/>
      <c r="J241" s="135">
        <v>342</v>
      </c>
      <c r="K241" s="134" t="s">
        <v>442</v>
      </c>
      <c r="L241" s="210">
        <f>I241+J241*EERR!$D$2</f>
        <v>224263.08000000002</v>
      </c>
      <c r="M241" s="136">
        <f>L241/EERR!$D$2</f>
        <v>342</v>
      </c>
      <c r="N241" s="136">
        <f>SUMIF(Abril!$B$3:$B$98,A241,Abril!$S$3:$S$98)+SUMIF(Abril!$C$3:$C$98,A241,Abril!$S$3:$S$98)</f>
        <v>0</v>
      </c>
    </row>
    <row r="242" spans="1:17" ht="15" x14ac:dyDescent="0.25">
      <c r="A242" s="153">
        <v>82472</v>
      </c>
      <c r="B242" s="147" t="s">
        <v>443</v>
      </c>
      <c r="C242" s="134" t="s">
        <v>251</v>
      </c>
      <c r="D242" s="134" t="s">
        <v>172</v>
      </c>
      <c r="E242" s="134" t="s">
        <v>173</v>
      </c>
      <c r="F242" s="134" t="s">
        <v>174</v>
      </c>
      <c r="G242" s="134" t="s">
        <v>444</v>
      </c>
      <c r="H242" s="134" t="s">
        <v>175</v>
      </c>
      <c r="I242" s="135"/>
      <c r="J242" s="135">
        <v>342</v>
      </c>
      <c r="K242" s="134" t="s">
        <v>445</v>
      </c>
      <c r="L242" s="210">
        <f>I242+J242*EERR!$D$2</f>
        <v>224263.08000000002</v>
      </c>
      <c r="M242" s="136">
        <f>L242/EERR!$D$2</f>
        <v>342</v>
      </c>
      <c r="N242" s="136">
        <f>SUMIF(Abril!$B$3:$B$98,A242,Abril!$S$3:$S$98)+SUMIF(Abril!$C$3:$C$98,A242,Abril!$S$3:$S$98)</f>
        <v>0</v>
      </c>
    </row>
    <row r="243" spans="1:17" ht="15" x14ac:dyDescent="0.25">
      <c r="A243" s="153">
        <v>59843</v>
      </c>
      <c r="B243" s="147" t="s">
        <v>446</v>
      </c>
      <c r="C243" s="134" t="s">
        <v>250</v>
      </c>
      <c r="D243" s="134" t="s">
        <v>172</v>
      </c>
      <c r="E243" s="134" t="s">
        <v>176</v>
      </c>
      <c r="F243" s="134" t="s">
        <v>177</v>
      </c>
      <c r="G243" s="134" t="s">
        <v>447</v>
      </c>
      <c r="H243" s="134" t="s">
        <v>176</v>
      </c>
      <c r="I243" s="135">
        <v>133816</v>
      </c>
      <c r="J243" s="135"/>
      <c r="K243" s="134" t="s">
        <v>448</v>
      </c>
      <c r="L243" s="210">
        <f>I243+J243*EERR!$D$2</f>
        <v>133816</v>
      </c>
      <c r="M243" s="136">
        <f>L243/EERR!$D$2</f>
        <v>204.06868575959984</v>
      </c>
      <c r="N243" s="136">
        <f>SUMIF(Abril!$B$3:$B$98,A243,Abril!$S$3:$S$98)+SUMIF(Abril!$C$3:$C$98,A243,Abril!$S$3:$S$98)</f>
        <v>0</v>
      </c>
    </row>
    <row r="244" spans="1:17" ht="15" x14ac:dyDescent="0.25">
      <c r="A244" s="153">
        <v>53144</v>
      </c>
      <c r="B244" s="147" t="s">
        <v>449</v>
      </c>
      <c r="C244" s="134" t="s">
        <v>251</v>
      </c>
      <c r="D244" s="134" t="s">
        <v>172</v>
      </c>
      <c r="E244" s="134" t="s">
        <v>173</v>
      </c>
      <c r="F244" s="134" t="s">
        <v>177</v>
      </c>
      <c r="G244" s="134" t="s">
        <v>450</v>
      </c>
      <c r="H244" s="134" t="s">
        <v>175</v>
      </c>
      <c r="I244" s="135"/>
      <c r="J244" s="135">
        <v>186.2</v>
      </c>
      <c r="K244" s="134" t="s">
        <v>451</v>
      </c>
      <c r="L244" s="210">
        <f>I244+J244*EERR!$D$2</f>
        <v>122098.788</v>
      </c>
      <c r="M244" s="136">
        <f>L244/EERR!$D$2</f>
        <v>186.2</v>
      </c>
      <c r="N244" s="136">
        <f>SUMIF(Abril!$B$3:$B$98,A244,Abril!$S$3:$S$98)+SUMIF(Abril!$C$3:$C$98,A244,Abril!$S$3:$S$98)</f>
        <v>0</v>
      </c>
    </row>
    <row r="245" spans="1:17" ht="15" x14ac:dyDescent="0.25">
      <c r="A245" s="153">
        <v>70413</v>
      </c>
      <c r="B245" s="147" t="s">
        <v>452</v>
      </c>
      <c r="C245" s="134" t="s">
        <v>251</v>
      </c>
      <c r="D245" s="134" t="s">
        <v>172</v>
      </c>
      <c r="E245" s="134" t="s">
        <v>173</v>
      </c>
      <c r="F245" s="134" t="s">
        <v>177</v>
      </c>
      <c r="G245" s="134" t="s">
        <v>453</v>
      </c>
      <c r="H245" s="134" t="s">
        <v>175</v>
      </c>
      <c r="I245" s="135"/>
      <c r="J245" s="135">
        <v>195</v>
      </c>
      <c r="K245" s="134" t="s">
        <v>454</v>
      </c>
      <c r="L245" s="210">
        <f>I245+J245*EERR!$D$2</f>
        <v>127869.3</v>
      </c>
      <c r="M245" s="136">
        <f>L245/EERR!$D$2</f>
        <v>195</v>
      </c>
      <c r="N245" s="136">
        <f>SUMIF(Abril!$B$3:$B$98,A245,Abril!$S$3:$S$98)+SUMIF(Abril!$C$3:$C$98,A245,Abril!$S$3:$S$98)</f>
        <v>0</v>
      </c>
    </row>
    <row r="246" spans="1:17" ht="15" x14ac:dyDescent="0.25">
      <c r="A246" s="153">
        <v>38656</v>
      </c>
      <c r="B246" s="147" t="s">
        <v>455</v>
      </c>
      <c r="C246" s="134" t="s">
        <v>251</v>
      </c>
      <c r="D246" s="134" t="s">
        <v>172</v>
      </c>
      <c r="E246" s="134" t="s">
        <v>173</v>
      </c>
      <c r="F246" s="134" t="s">
        <v>178</v>
      </c>
      <c r="G246" s="134" t="s">
        <v>397</v>
      </c>
      <c r="H246" s="134" t="s">
        <v>175</v>
      </c>
      <c r="I246" s="135"/>
      <c r="J246" s="135">
        <v>370.5</v>
      </c>
      <c r="K246" s="134" t="s">
        <v>456</v>
      </c>
      <c r="L246" s="210">
        <f>I246+J246*EERR!$D$2</f>
        <v>242951.67</v>
      </c>
      <c r="M246" s="136">
        <f>L246/EERR!$D$2</f>
        <v>370.5</v>
      </c>
      <c r="N246" s="136">
        <f>SUMIF(Abril!$B$3:$B$98,A246,Abril!$S$3:$S$98)+SUMIF(Abril!$C$3:$C$98,A246,Abril!$S$3:$S$98)</f>
        <v>0</v>
      </c>
    </row>
    <row r="247" spans="1:17" ht="15" x14ac:dyDescent="0.25">
      <c r="A247" s="153">
        <v>18086</v>
      </c>
      <c r="B247" s="147" t="s">
        <v>457</v>
      </c>
      <c r="C247" s="134" t="s">
        <v>251</v>
      </c>
      <c r="D247" s="134" t="s">
        <v>172</v>
      </c>
      <c r="E247" s="134" t="s">
        <v>173</v>
      </c>
      <c r="F247" s="134" t="s">
        <v>178</v>
      </c>
      <c r="G247" s="134" t="s">
        <v>397</v>
      </c>
      <c r="H247" s="134" t="s">
        <v>175</v>
      </c>
      <c r="I247" s="135"/>
      <c r="J247" s="135">
        <v>370.5</v>
      </c>
      <c r="K247" s="134" t="s">
        <v>458</v>
      </c>
      <c r="L247" s="210">
        <f>I247+J247*EERR!$D$2</f>
        <v>242951.67</v>
      </c>
      <c r="M247" s="136">
        <f>L247/EERR!$D$2</f>
        <v>370.5</v>
      </c>
      <c r="N247" s="136">
        <f>SUMIF(Abril!$B$3:$B$98,A247,Abril!$S$3:$S$98)+SUMIF(Abril!$C$3:$C$98,A247,Abril!$S$3:$S$98)</f>
        <v>0</v>
      </c>
      <c r="Q247" s="70" t="s">
        <v>261</v>
      </c>
    </row>
    <row r="248" spans="1:17" ht="15" x14ac:dyDescent="0.25">
      <c r="A248" s="153">
        <v>73207</v>
      </c>
      <c r="B248" s="147" t="s">
        <v>459</v>
      </c>
      <c r="C248" s="134" t="s">
        <v>251</v>
      </c>
      <c r="D248" s="134" t="s">
        <v>172</v>
      </c>
      <c r="E248" s="134" t="s">
        <v>173</v>
      </c>
      <c r="F248" s="134" t="s">
        <v>174</v>
      </c>
      <c r="G248" s="134" t="s">
        <v>460</v>
      </c>
      <c r="H248" s="134" t="s">
        <v>175</v>
      </c>
      <c r="I248" s="135"/>
      <c r="J248" s="135">
        <v>195</v>
      </c>
      <c r="K248" s="134" t="s">
        <v>461</v>
      </c>
      <c r="L248" s="210">
        <f>I248+J248*EERR!$D$2</f>
        <v>127869.3</v>
      </c>
      <c r="M248" s="136">
        <f>L248/EERR!$D$2</f>
        <v>195</v>
      </c>
      <c r="N248" s="136">
        <f>SUMIF(Abril!$B$3:$B$98,A248,Abril!$S$3:$S$98)+SUMIF(Abril!$C$3:$C$98,A248,Abril!$S$3:$S$98)</f>
        <v>0</v>
      </c>
    </row>
    <row r="249" spans="1:17" ht="15" x14ac:dyDescent="0.25">
      <c r="A249" s="153">
        <v>19572</v>
      </c>
      <c r="B249" s="147" t="s">
        <v>462</v>
      </c>
      <c r="C249" s="134" t="s">
        <v>251</v>
      </c>
      <c r="D249" s="134" t="s">
        <v>172</v>
      </c>
      <c r="E249" s="134" t="s">
        <v>173</v>
      </c>
      <c r="F249" s="134" t="s">
        <v>178</v>
      </c>
      <c r="G249" s="134" t="s">
        <v>463</v>
      </c>
      <c r="H249" s="134" t="s">
        <v>175</v>
      </c>
      <c r="I249" s="135"/>
      <c r="J249" s="135">
        <v>390</v>
      </c>
      <c r="K249" s="134" t="s">
        <v>464</v>
      </c>
      <c r="L249" s="210">
        <f>I249+J249*EERR!$D$2</f>
        <v>255738.6</v>
      </c>
      <c r="M249" s="136">
        <f>L249/EERR!$D$2</f>
        <v>390</v>
      </c>
      <c r="N249" s="136">
        <f>SUMIF(Abril!$B$3:$B$98,A249,Abril!$S$3:$S$98)+SUMIF(Abril!$C$3:$C$98,A249,Abril!$S$3:$S$98)</f>
        <v>0</v>
      </c>
    </row>
    <row r="250" spans="1:17" ht="15" x14ac:dyDescent="0.25">
      <c r="A250" s="153">
        <v>76712</v>
      </c>
      <c r="B250" s="147" t="s">
        <v>465</v>
      </c>
      <c r="C250" s="134" t="s">
        <v>250</v>
      </c>
      <c r="D250" s="134" t="s">
        <v>172</v>
      </c>
      <c r="E250" s="134" t="s">
        <v>176</v>
      </c>
      <c r="F250" s="134" t="s">
        <v>177</v>
      </c>
      <c r="G250" s="134" t="s">
        <v>392</v>
      </c>
      <c r="H250" s="134" t="s">
        <v>176</v>
      </c>
      <c r="I250" s="135">
        <v>151761</v>
      </c>
      <c r="J250" s="135"/>
      <c r="K250" s="134" t="s">
        <v>466</v>
      </c>
      <c r="L250" s="210">
        <f>I250+J250*EERR!$D$2</f>
        <v>151761</v>
      </c>
      <c r="M250" s="136">
        <f>L250/EERR!$D$2</f>
        <v>231.43471497849757</v>
      </c>
      <c r="N250" s="136">
        <f>SUMIF(Abril!$B$3:$B$98,A250,Abril!$S$3:$S$98)+SUMIF(Abril!$C$3:$C$98,A250,Abril!$S$3:$S$98)</f>
        <v>0</v>
      </c>
    </row>
    <row r="251" spans="1:17" ht="15" x14ac:dyDescent="0.25">
      <c r="A251" s="153">
        <v>88941</v>
      </c>
      <c r="B251" s="147" t="s">
        <v>467</v>
      </c>
      <c r="C251" s="134" t="s">
        <v>251</v>
      </c>
      <c r="D251" s="134" t="s">
        <v>172</v>
      </c>
      <c r="E251" s="134" t="s">
        <v>173</v>
      </c>
      <c r="F251" s="134" t="s">
        <v>178</v>
      </c>
      <c r="G251" s="134" t="s">
        <v>413</v>
      </c>
      <c r="H251" s="134" t="s">
        <v>175</v>
      </c>
      <c r="I251" s="135"/>
      <c r="J251" s="135">
        <v>195</v>
      </c>
      <c r="K251" s="134" t="s">
        <v>468</v>
      </c>
      <c r="L251" s="210">
        <f>I251+J251*EERR!$D$2</f>
        <v>127869.3</v>
      </c>
      <c r="M251" s="136">
        <f>L251/EERR!$D$2</f>
        <v>195</v>
      </c>
      <c r="N251" s="136">
        <f>SUMIF(Abril!$B$3:$B$98,A251,Abril!$S$3:$S$98)+SUMIF(Abril!$C$3:$C$98,A251,Abril!$S$3:$S$98)</f>
        <v>0</v>
      </c>
    </row>
    <row r="252" spans="1:17" ht="15" x14ac:dyDescent="0.25">
      <c r="A252" s="153">
        <v>21779</v>
      </c>
      <c r="B252" s="147" t="s">
        <v>469</v>
      </c>
      <c r="C252" s="134" t="s">
        <v>250</v>
      </c>
      <c r="D252" s="134" t="s">
        <v>172</v>
      </c>
      <c r="E252" s="134" t="s">
        <v>176</v>
      </c>
      <c r="F252" s="134" t="s">
        <v>178</v>
      </c>
      <c r="G252" s="134" t="s">
        <v>470</v>
      </c>
      <c r="H252" s="134" t="s">
        <v>179</v>
      </c>
      <c r="I252" s="135">
        <v>723067</v>
      </c>
      <c r="J252" s="135"/>
      <c r="K252" s="134" t="s">
        <v>471</v>
      </c>
      <c r="L252" s="210">
        <f>I252+J252*EERR!$D$2</f>
        <v>723067</v>
      </c>
      <c r="M252" s="136">
        <f>L252/EERR!$D$2</f>
        <v>1102.6733156433952</v>
      </c>
      <c r="N252" s="136">
        <f>SUMIF(Abril!$B$3:$B$98,A252,Abril!$S$3:$S$98)+SUMIF(Abril!$C$3:$C$98,A252,Abril!$S$3:$S$98)</f>
        <v>0</v>
      </c>
    </row>
    <row r="253" spans="1:17" ht="15" x14ac:dyDescent="0.25">
      <c r="A253" s="153">
        <v>90248</v>
      </c>
      <c r="B253" s="147" t="s">
        <v>472</v>
      </c>
      <c r="C253" s="134" t="s">
        <v>251</v>
      </c>
      <c r="D253" s="134" t="s">
        <v>172</v>
      </c>
      <c r="E253" s="134" t="s">
        <v>173</v>
      </c>
      <c r="F253" s="134" t="s">
        <v>178</v>
      </c>
      <c r="G253" s="134" t="s">
        <v>391</v>
      </c>
      <c r="H253" s="134" t="s">
        <v>175</v>
      </c>
      <c r="I253" s="135"/>
      <c r="J253" s="135">
        <v>175.5</v>
      </c>
      <c r="K253" s="134" t="s">
        <v>473</v>
      </c>
      <c r="L253" s="210">
        <f>I253+J253*EERR!$D$2</f>
        <v>115082.37</v>
      </c>
      <c r="M253" s="136">
        <f>L253/EERR!$D$2</f>
        <v>175.5</v>
      </c>
      <c r="N253" s="136">
        <f>SUMIF(Abril!$B$3:$B$98,A253,Abril!$S$3:$S$98)+SUMIF(Abril!$C$3:$C$98,A253,Abril!$S$3:$S$98)</f>
        <v>0</v>
      </c>
    </row>
    <row r="254" spans="1:17" ht="15" x14ac:dyDescent="0.25">
      <c r="A254" s="153">
        <v>94391</v>
      </c>
      <c r="B254" s="147" t="s">
        <v>474</v>
      </c>
      <c r="C254" s="134" t="s">
        <v>250</v>
      </c>
      <c r="D254" s="134" t="s">
        <v>172</v>
      </c>
      <c r="E254" s="134" t="s">
        <v>176</v>
      </c>
      <c r="F254" s="134" t="s">
        <v>178</v>
      </c>
      <c r="G254" s="134" t="s">
        <v>475</v>
      </c>
      <c r="H254" s="134" t="s">
        <v>176</v>
      </c>
      <c r="I254" s="135">
        <v>152225</v>
      </c>
      <c r="J254" s="135"/>
      <c r="K254" s="134" t="s">
        <v>476</v>
      </c>
      <c r="L254" s="210">
        <f>I254+J254*EERR!$D$2</f>
        <v>152225</v>
      </c>
      <c r="M254" s="136">
        <f>L254/EERR!$D$2</f>
        <v>232.14231250190625</v>
      </c>
      <c r="N254" s="136">
        <f>SUMIF(Abril!$B$3:$B$98,A254,Abril!$S$3:$S$98)+SUMIF(Abril!$C$3:$C$98,A254,Abril!$S$3:$S$98)</f>
        <v>0</v>
      </c>
    </row>
    <row r="255" spans="1:17" ht="15" x14ac:dyDescent="0.25">
      <c r="A255" s="153">
        <v>39604</v>
      </c>
      <c r="B255" s="147" t="s">
        <v>477</v>
      </c>
      <c r="C255" s="134" t="s">
        <v>250</v>
      </c>
      <c r="D255" s="134" t="s">
        <v>172</v>
      </c>
      <c r="E255" s="134" t="s">
        <v>176</v>
      </c>
      <c r="F255" s="134" t="s">
        <v>177</v>
      </c>
      <c r="G255" s="134" t="s">
        <v>478</v>
      </c>
      <c r="H255" s="134" t="s">
        <v>176</v>
      </c>
      <c r="I255" s="135">
        <v>152225</v>
      </c>
      <c r="J255" s="135"/>
      <c r="K255" s="134" t="s">
        <v>479</v>
      </c>
      <c r="L255" s="210">
        <f>I255+J255*EERR!$D$2</f>
        <v>152225</v>
      </c>
      <c r="M255" s="136">
        <f>L255/EERR!$D$2</f>
        <v>232.14231250190625</v>
      </c>
      <c r="N255" s="136">
        <f>SUMIF(Abril!$B$3:$B$98,A255,Abril!$S$3:$S$98)+SUMIF(Abril!$C$3:$C$98,A255,Abril!$S$3:$S$98)</f>
        <v>0</v>
      </c>
    </row>
    <row r="256" spans="1:17" ht="15" x14ac:dyDescent="0.25">
      <c r="A256" s="153">
        <v>19572</v>
      </c>
      <c r="B256" s="147" t="s">
        <v>480</v>
      </c>
      <c r="C256" s="134" t="s">
        <v>251</v>
      </c>
      <c r="D256" s="134" t="s">
        <v>172</v>
      </c>
      <c r="E256" s="134" t="s">
        <v>173</v>
      </c>
      <c r="F256" s="134" t="s">
        <v>177</v>
      </c>
      <c r="G256" s="134" t="s">
        <v>481</v>
      </c>
      <c r="H256" s="134" t="s">
        <v>175</v>
      </c>
      <c r="I256" s="135"/>
      <c r="J256" s="135">
        <v>390</v>
      </c>
      <c r="K256" s="134" t="s">
        <v>482</v>
      </c>
      <c r="L256" s="210">
        <f>I256+J256*EERR!$D$2</f>
        <v>255738.6</v>
      </c>
      <c r="M256" s="136">
        <f>L256/EERR!$D$2</f>
        <v>390</v>
      </c>
      <c r="N256" s="136">
        <f>SUMIF(Abril!$B$3:$B$98,A256,Abril!$S$3:$S$98)+SUMIF(Abril!$C$3:$C$98,A256,Abril!$S$3:$S$98)</f>
        <v>0</v>
      </c>
      <c r="Q256" s="70" t="s">
        <v>262</v>
      </c>
    </row>
    <row r="257" spans="1:14" ht="15" x14ac:dyDescent="0.25">
      <c r="A257" s="153">
        <v>11483</v>
      </c>
      <c r="B257" s="147" t="s">
        <v>483</v>
      </c>
      <c r="C257" s="134" t="s">
        <v>251</v>
      </c>
      <c r="D257" s="134" t="s">
        <v>172</v>
      </c>
      <c r="E257" s="134" t="s">
        <v>173</v>
      </c>
      <c r="F257" s="134" t="s">
        <v>174</v>
      </c>
      <c r="G257" s="134" t="s">
        <v>399</v>
      </c>
      <c r="H257" s="134" t="s">
        <v>175</v>
      </c>
      <c r="I257" s="135"/>
      <c r="J257" s="135">
        <v>195</v>
      </c>
      <c r="K257" s="134" t="s">
        <v>484</v>
      </c>
      <c r="L257" s="210">
        <f>I257+J257*EERR!$D$2</f>
        <v>127869.3</v>
      </c>
      <c r="M257" s="136">
        <f>L257/EERR!$D$2</f>
        <v>195</v>
      </c>
      <c r="N257" s="136">
        <f>SUMIF(Abril!$B$3:$B$98,A257,Abril!$S$3:$S$98)+SUMIF(Abril!$C$3:$C$98,A257,Abril!$S$3:$S$98)</f>
        <v>0</v>
      </c>
    </row>
    <row r="258" spans="1:14" ht="15" x14ac:dyDescent="0.25">
      <c r="A258" s="153">
        <v>6440</v>
      </c>
      <c r="B258" s="147" t="s">
        <v>485</v>
      </c>
      <c r="C258" s="134" t="s">
        <v>251</v>
      </c>
      <c r="D258" s="134" t="s">
        <v>172</v>
      </c>
      <c r="E258" s="134" t="s">
        <v>173</v>
      </c>
      <c r="F258" s="134" t="s">
        <v>177</v>
      </c>
      <c r="G258" s="134" t="s">
        <v>422</v>
      </c>
      <c r="H258" s="134" t="s">
        <v>175</v>
      </c>
      <c r="I258" s="135"/>
      <c r="J258" s="135">
        <v>390</v>
      </c>
      <c r="K258" s="134" t="s">
        <v>486</v>
      </c>
      <c r="L258" s="210">
        <f>I258+J258*EERR!$D$2</f>
        <v>255738.6</v>
      </c>
      <c r="M258" s="136">
        <f>L258/EERR!$D$2</f>
        <v>390</v>
      </c>
      <c r="N258" s="136">
        <f>SUMIF(Abril!$B$3:$B$98,A258,Abril!$S$3:$S$98)+SUMIF(Abril!$C$3:$C$98,A258,Abril!$S$3:$S$98)</f>
        <v>0</v>
      </c>
    </row>
    <row r="259" spans="1:14" ht="15" x14ac:dyDescent="0.25">
      <c r="A259" s="153">
        <v>78340</v>
      </c>
      <c r="B259" s="147" t="s">
        <v>487</v>
      </c>
      <c r="C259" s="134" t="s">
        <v>251</v>
      </c>
      <c r="D259" s="134" t="s">
        <v>172</v>
      </c>
      <c r="E259" s="134" t="s">
        <v>173</v>
      </c>
      <c r="F259" s="134" t="s">
        <v>178</v>
      </c>
      <c r="G259" s="134" t="s">
        <v>402</v>
      </c>
      <c r="H259" s="134" t="s">
        <v>175</v>
      </c>
      <c r="I259" s="135"/>
      <c r="J259" s="135">
        <v>195</v>
      </c>
      <c r="K259" s="134" t="s">
        <v>488</v>
      </c>
      <c r="L259" s="210">
        <f>I259+J259*EERR!$D$2</f>
        <v>127869.3</v>
      </c>
      <c r="M259" s="136">
        <f>L259/EERR!$D$2</f>
        <v>195</v>
      </c>
      <c r="N259" s="136">
        <f>SUMIF(Abril!$B$3:$B$98,A259,Abril!$S$3:$S$98)+SUMIF(Abril!$C$3:$C$98,A259,Abril!$S$3:$S$98)</f>
        <v>0</v>
      </c>
    </row>
    <row r="260" spans="1:14" ht="15" x14ac:dyDescent="0.25">
      <c r="A260" s="153"/>
      <c r="B260" s="147">
        <v>42802</v>
      </c>
      <c r="C260" s="134">
        <v>30975278</v>
      </c>
      <c r="D260" s="134" t="s">
        <v>172</v>
      </c>
      <c r="E260" s="134" t="s">
        <v>375</v>
      </c>
      <c r="F260" s="134" t="s">
        <v>178</v>
      </c>
      <c r="G260" s="134" t="s">
        <v>402</v>
      </c>
      <c r="H260" s="134" t="s">
        <v>175</v>
      </c>
      <c r="I260" s="135"/>
      <c r="J260" s="135">
        <v>195</v>
      </c>
      <c r="K260" s="134">
        <v>910624</v>
      </c>
      <c r="L260" s="210">
        <f>I260+J260*EERR!$D$2</f>
        <v>127869.3</v>
      </c>
      <c r="M260" s="136">
        <f>L260/EERR!$D$2</f>
        <v>195</v>
      </c>
      <c r="N260" s="136">
        <f>SUMIF(Abril!$B$3:$B$98,A260,Abril!$S$3:$S$98)+SUMIF(Abril!$C$3:$C$98,A260,Abril!$S$3:$S$98)</f>
        <v>0</v>
      </c>
    </row>
    <row r="261" spans="1:14" ht="15" x14ac:dyDescent="0.25">
      <c r="A261" s="153">
        <v>88249</v>
      </c>
      <c r="B261" s="147" t="s">
        <v>489</v>
      </c>
      <c r="C261" s="134" t="s">
        <v>251</v>
      </c>
      <c r="D261" s="134" t="s">
        <v>172</v>
      </c>
      <c r="E261" s="134" t="s">
        <v>173</v>
      </c>
      <c r="F261" s="134" t="s">
        <v>177</v>
      </c>
      <c r="G261" s="134" t="s">
        <v>490</v>
      </c>
      <c r="H261" s="134" t="s">
        <v>175</v>
      </c>
      <c r="I261" s="135"/>
      <c r="J261" s="135">
        <v>185.25</v>
      </c>
      <c r="K261" s="134" t="s">
        <v>491</v>
      </c>
      <c r="L261" s="210">
        <f>I261+J261*EERR!$D$2</f>
        <v>121475.83500000001</v>
      </c>
      <c r="M261" s="136">
        <f>L261/EERR!$D$2</f>
        <v>185.25</v>
      </c>
      <c r="N261" s="136">
        <f>SUMIF(Abril!$B$3:$B$98,A261,Abril!$S$3:$S$98)+SUMIF(Abril!$C$3:$C$98,A261,Abril!$S$3:$S$98)</f>
        <v>0</v>
      </c>
    </row>
    <row r="262" spans="1:14" ht="15" x14ac:dyDescent="0.25">
      <c r="A262" s="153">
        <v>49474</v>
      </c>
      <c r="B262" s="147" t="s">
        <v>489</v>
      </c>
      <c r="C262" s="134" t="s">
        <v>251</v>
      </c>
      <c r="D262" s="134" t="s">
        <v>172</v>
      </c>
      <c r="E262" s="134" t="s">
        <v>173</v>
      </c>
      <c r="F262" s="134" t="s">
        <v>178</v>
      </c>
      <c r="G262" s="134" t="s">
        <v>492</v>
      </c>
      <c r="H262" s="134" t="s">
        <v>175</v>
      </c>
      <c r="I262" s="135"/>
      <c r="J262" s="135">
        <v>195</v>
      </c>
      <c r="K262" s="134" t="s">
        <v>493</v>
      </c>
      <c r="L262" s="210">
        <f>I262+J262*EERR!$D$2</f>
        <v>127869.3</v>
      </c>
      <c r="M262" s="136">
        <f>L262/EERR!$D$2</f>
        <v>195</v>
      </c>
      <c r="N262" s="136">
        <f>SUMIF(Abril!$B$3:$B$98,A262,Abril!$S$3:$S$98)+SUMIF(Abril!$C$3:$C$98,A262,Abril!$S$3:$S$98)</f>
        <v>0</v>
      </c>
    </row>
    <row r="263" spans="1:14" ht="15" x14ac:dyDescent="0.25">
      <c r="A263" s="153">
        <v>22950</v>
      </c>
      <c r="B263" s="147" t="s">
        <v>494</v>
      </c>
      <c r="C263" s="134" t="s">
        <v>251</v>
      </c>
      <c r="D263" s="134" t="s">
        <v>172</v>
      </c>
      <c r="E263" s="134" t="s">
        <v>173</v>
      </c>
      <c r="F263" s="134" t="s">
        <v>177</v>
      </c>
      <c r="G263" s="134" t="s">
        <v>495</v>
      </c>
      <c r="H263" s="134" t="s">
        <v>175</v>
      </c>
      <c r="I263" s="135"/>
      <c r="J263" s="135">
        <v>175.5</v>
      </c>
      <c r="K263" s="134" t="s">
        <v>496</v>
      </c>
      <c r="L263" s="210">
        <f>I263+J263*EERR!$D$2</f>
        <v>115082.37</v>
      </c>
      <c r="M263" s="136">
        <f>L263/EERR!$D$2</f>
        <v>175.5</v>
      </c>
      <c r="N263" s="136">
        <f>SUMIF(Abril!$B$3:$B$98,A263,Abril!$S$3:$S$98)+SUMIF(Abril!$C$3:$C$98,A263,Abril!$S$3:$S$98)</f>
        <v>0</v>
      </c>
    </row>
    <row r="264" spans="1:14" ht="15" x14ac:dyDescent="0.25">
      <c r="A264" s="153">
        <v>70338</v>
      </c>
      <c r="B264" s="147" t="s">
        <v>497</v>
      </c>
      <c r="C264" s="134" t="s">
        <v>250</v>
      </c>
      <c r="D264" s="134" t="s">
        <v>172</v>
      </c>
      <c r="E264" s="134" t="s">
        <v>176</v>
      </c>
      <c r="F264" s="134" t="s">
        <v>177</v>
      </c>
      <c r="G264" s="134" t="s">
        <v>498</v>
      </c>
      <c r="H264" s="134" t="s">
        <v>176</v>
      </c>
      <c r="I264" s="135">
        <v>153153</v>
      </c>
      <c r="J264" s="135"/>
      <c r="K264" s="134" t="s">
        <v>499</v>
      </c>
      <c r="L264" s="210">
        <f>I264+J264*EERR!$D$2</f>
        <v>153153</v>
      </c>
      <c r="M264" s="136">
        <f>L264/EERR!$D$2</f>
        <v>233.55750754872358</v>
      </c>
      <c r="N264" s="136">
        <f>SUMIF(Abril!$B$3:$B$98,A264,Abril!$S$3:$S$98)+SUMIF(Abril!$C$3:$C$98,A264,Abril!$S$3:$S$98)</f>
        <v>0</v>
      </c>
    </row>
    <row r="265" spans="1:14" ht="15" x14ac:dyDescent="0.25">
      <c r="A265" s="153">
        <v>48194</v>
      </c>
      <c r="B265" s="147" t="s">
        <v>500</v>
      </c>
      <c r="C265" s="134" t="s">
        <v>251</v>
      </c>
      <c r="D265" s="134" t="s">
        <v>172</v>
      </c>
      <c r="E265" s="134" t="s">
        <v>173</v>
      </c>
      <c r="F265" s="134" t="s">
        <v>178</v>
      </c>
      <c r="G265" s="134" t="s">
        <v>501</v>
      </c>
      <c r="H265" s="134" t="s">
        <v>175</v>
      </c>
      <c r="I265" s="135"/>
      <c r="J265" s="135">
        <v>195</v>
      </c>
      <c r="K265" s="134" t="s">
        <v>502</v>
      </c>
      <c r="L265" s="210">
        <f>I265+J265*EERR!$D$2</f>
        <v>127869.3</v>
      </c>
      <c r="M265" s="136">
        <f>L265/EERR!$D$2</f>
        <v>195</v>
      </c>
      <c r="N265" s="136">
        <f>SUMIF(Abril!$B$3:$B$98,A265,Abril!$S$3:$S$98)+SUMIF(Abril!$C$3:$C$98,A265,Abril!$S$3:$S$98)</f>
        <v>0</v>
      </c>
    </row>
    <row r="266" spans="1:14" ht="15" x14ac:dyDescent="0.25">
      <c r="A266" s="153">
        <v>55935</v>
      </c>
      <c r="B266" s="147" t="s">
        <v>503</v>
      </c>
      <c r="C266" s="134" t="s">
        <v>251</v>
      </c>
      <c r="D266" s="134" t="s">
        <v>172</v>
      </c>
      <c r="E266" s="134" t="s">
        <v>173</v>
      </c>
      <c r="F266" s="134" t="s">
        <v>178</v>
      </c>
      <c r="G266" s="134" t="s">
        <v>504</v>
      </c>
      <c r="H266" s="134" t="s">
        <v>175</v>
      </c>
      <c r="I266" s="135"/>
      <c r="J266" s="135">
        <v>195</v>
      </c>
      <c r="K266" s="134" t="s">
        <v>505</v>
      </c>
      <c r="L266" s="210">
        <f>I266+J266*EERR!$D$2</f>
        <v>127869.3</v>
      </c>
      <c r="M266" s="136">
        <f>L266/EERR!$D$2</f>
        <v>195</v>
      </c>
      <c r="N266" s="136">
        <f>SUMIF(Abril!$B$3:$B$98,A266,Abril!$S$3:$S$98)+SUMIF(Abril!$C$3:$C$98,A266,Abril!$S$3:$S$98)</f>
        <v>0</v>
      </c>
    </row>
    <row r="267" spans="1:14" ht="15" x14ac:dyDescent="0.25">
      <c r="A267" s="153">
        <v>90703</v>
      </c>
      <c r="B267" s="147" t="s">
        <v>506</v>
      </c>
      <c r="C267" s="134" t="s">
        <v>250</v>
      </c>
      <c r="D267" s="134" t="s">
        <v>172</v>
      </c>
      <c r="E267" s="134" t="s">
        <v>176</v>
      </c>
      <c r="F267" s="134" t="s">
        <v>177</v>
      </c>
      <c r="G267" s="134" t="s">
        <v>507</v>
      </c>
      <c r="H267" s="134" t="s">
        <v>176</v>
      </c>
      <c r="I267" s="135">
        <v>153153</v>
      </c>
      <c r="J267" s="135"/>
      <c r="K267" s="134" t="s">
        <v>508</v>
      </c>
      <c r="L267" s="210">
        <f>I267+J267*EERR!$D$2</f>
        <v>153153</v>
      </c>
      <c r="M267" s="136">
        <f>L267/EERR!$D$2</f>
        <v>233.55750754872358</v>
      </c>
      <c r="N267" s="136">
        <f>SUMIF(Abril!$B$3:$B$98,A267,Abril!$S$3:$S$98)+SUMIF(Abril!$C$3:$C$98,A267,Abril!$S$3:$S$98)</f>
        <v>0</v>
      </c>
    </row>
    <row r="268" spans="1:14" ht="15" x14ac:dyDescent="0.25">
      <c r="A268" s="153">
        <v>7343</v>
      </c>
      <c r="B268" s="147" t="s">
        <v>506</v>
      </c>
      <c r="C268" s="134" t="s">
        <v>251</v>
      </c>
      <c r="D268" s="134" t="s">
        <v>172</v>
      </c>
      <c r="E268" s="134" t="s">
        <v>173</v>
      </c>
      <c r="F268" s="134" t="s">
        <v>178</v>
      </c>
      <c r="G268" s="134" t="s">
        <v>509</v>
      </c>
      <c r="H268" s="134" t="s">
        <v>175</v>
      </c>
      <c r="I268" s="135"/>
      <c r="J268" s="135">
        <v>195</v>
      </c>
      <c r="K268" s="134" t="s">
        <v>510</v>
      </c>
      <c r="L268" s="210">
        <f>I268+J268*EERR!$D$2</f>
        <v>127869.3</v>
      </c>
      <c r="M268" s="136">
        <f>L268/EERR!$D$2</f>
        <v>195</v>
      </c>
      <c r="N268" s="136">
        <f>SUMIF(Abril!$B$3:$B$98,A268,Abril!$S$3:$S$98)+SUMIF(Abril!$C$3:$C$98,A268,Abril!$S$3:$S$98)</f>
        <v>0</v>
      </c>
    </row>
    <row r="269" spans="1:14" ht="15" x14ac:dyDescent="0.25">
      <c r="A269" s="153">
        <v>45628</v>
      </c>
      <c r="B269" s="147" t="s">
        <v>511</v>
      </c>
      <c r="C269" s="134" t="s">
        <v>251</v>
      </c>
      <c r="D269" s="134" t="s">
        <v>172</v>
      </c>
      <c r="E269" s="134" t="s">
        <v>173</v>
      </c>
      <c r="F269" s="134" t="s">
        <v>177</v>
      </c>
      <c r="G269" s="134" t="s">
        <v>512</v>
      </c>
      <c r="H269" s="134" t="s">
        <v>175</v>
      </c>
      <c r="I269" s="135"/>
      <c r="J269" s="135">
        <v>195</v>
      </c>
      <c r="K269" s="134" t="s">
        <v>513</v>
      </c>
      <c r="L269" s="210">
        <f>I269+J269*EERR!$D$2</f>
        <v>127869.3</v>
      </c>
      <c r="M269" s="136">
        <f>L269/EERR!$D$2</f>
        <v>195</v>
      </c>
      <c r="N269" s="136">
        <f>SUMIF(Abril!$B$3:$B$98,A269,Abril!$S$3:$S$98)+SUMIF(Abril!$C$3:$C$98,A269,Abril!$S$3:$S$98)</f>
        <v>0</v>
      </c>
    </row>
    <row r="270" spans="1:14" ht="15" x14ac:dyDescent="0.25">
      <c r="A270" s="153">
        <v>67321</v>
      </c>
      <c r="B270" s="147" t="s">
        <v>514</v>
      </c>
      <c r="C270" s="134" t="s">
        <v>251</v>
      </c>
      <c r="D270" s="134" t="s">
        <v>172</v>
      </c>
      <c r="E270" s="134" t="s">
        <v>173</v>
      </c>
      <c r="F270" s="134" t="s">
        <v>177</v>
      </c>
      <c r="G270" s="134" t="s">
        <v>515</v>
      </c>
      <c r="H270" s="134" t="s">
        <v>175</v>
      </c>
      <c r="I270" s="135"/>
      <c r="J270" s="135">
        <v>195</v>
      </c>
      <c r="K270" s="134" t="s">
        <v>516</v>
      </c>
      <c r="L270" s="210">
        <f>I270+J270*EERR!$D$2</f>
        <v>127869.3</v>
      </c>
      <c r="M270" s="136">
        <f>L270/EERR!$D$2</f>
        <v>195</v>
      </c>
      <c r="N270" s="136">
        <f>SUMIF(Abril!$B$3:$B$98,A270,Abril!$S$3:$S$98)+SUMIF(Abril!$C$3:$C$98,A270,Abril!$S$3:$S$98)</f>
        <v>0</v>
      </c>
    </row>
    <row r="271" spans="1:14" ht="15" x14ac:dyDescent="0.25">
      <c r="A271" s="153">
        <v>50953</v>
      </c>
      <c r="B271" s="147" t="s">
        <v>517</v>
      </c>
      <c r="C271" s="134" t="s">
        <v>251</v>
      </c>
      <c r="D271" s="134" t="s">
        <v>172</v>
      </c>
      <c r="E271" s="134" t="s">
        <v>173</v>
      </c>
      <c r="F271" s="134" t="s">
        <v>178</v>
      </c>
      <c r="G271" s="134" t="s">
        <v>518</v>
      </c>
      <c r="H271" s="134" t="s">
        <v>175</v>
      </c>
      <c r="I271" s="135"/>
      <c r="J271" s="135">
        <v>196</v>
      </c>
      <c r="K271" s="134" t="s">
        <v>519</v>
      </c>
      <c r="L271" s="210">
        <f>I271+J271*EERR!$D$2</f>
        <v>128525.04000000001</v>
      </c>
      <c r="M271" s="136">
        <f>L271/EERR!$D$2</f>
        <v>196</v>
      </c>
      <c r="N271" s="136">
        <f>SUMIF(Abril!$B$3:$B$98,A271,Abril!$S$3:$S$98)+SUMIF(Abril!$C$3:$C$98,A271,Abril!$S$3:$S$98)</f>
        <v>0</v>
      </c>
    </row>
    <row r="272" spans="1:14" ht="15" x14ac:dyDescent="0.25">
      <c r="A272" s="153">
        <v>23320</v>
      </c>
      <c r="B272" s="147" t="s">
        <v>517</v>
      </c>
      <c r="C272" s="134" t="s">
        <v>251</v>
      </c>
      <c r="D272" s="134" t="s">
        <v>172</v>
      </c>
      <c r="E272" s="134" t="s">
        <v>173</v>
      </c>
      <c r="F272" s="134" t="s">
        <v>178</v>
      </c>
      <c r="G272" s="134" t="s">
        <v>520</v>
      </c>
      <c r="H272" s="134" t="s">
        <v>175</v>
      </c>
      <c r="I272" s="135"/>
      <c r="J272" s="135">
        <v>390</v>
      </c>
      <c r="K272" s="134" t="s">
        <v>521</v>
      </c>
      <c r="L272" s="210">
        <f>I272+J272*EERR!$D$2</f>
        <v>255738.6</v>
      </c>
      <c r="M272" s="136">
        <f>L272/EERR!$D$2</f>
        <v>390</v>
      </c>
      <c r="N272" s="136">
        <f>SUMIF(Abril!$B$3:$B$98,A272,Abril!$S$3:$S$98)+SUMIF(Abril!$C$3:$C$98,A272,Abril!$S$3:$S$98)</f>
        <v>0</v>
      </c>
    </row>
    <row r="273" spans="1:17" ht="15" x14ac:dyDescent="0.25">
      <c r="A273" s="153">
        <v>68971</v>
      </c>
      <c r="B273" s="147" t="s">
        <v>522</v>
      </c>
      <c r="C273" s="134" t="s">
        <v>251</v>
      </c>
      <c r="D273" s="134" t="s">
        <v>172</v>
      </c>
      <c r="E273" s="134" t="s">
        <v>173</v>
      </c>
      <c r="F273" s="134" t="s">
        <v>177</v>
      </c>
      <c r="G273" s="134" t="s">
        <v>523</v>
      </c>
      <c r="H273" s="134" t="s">
        <v>175</v>
      </c>
      <c r="I273" s="135"/>
      <c r="J273" s="135">
        <v>195</v>
      </c>
      <c r="K273" s="134" t="s">
        <v>524</v>
      </c>
      <c r="L273" s="210">
        <f>I273+J273*EERR!$D$2</f>
        <v>127869.3</v>
      </c>
      <c r="M273" s="136">
        <f>L273/EERR!$D$2</f>
        <v>195</v>
      </c>
      <c r="N273" s="136">
        <f>SUMIF(Abril!$B$3:$B$98,A273,Abril!$S$3:$S$98)+SUMIF(Abril!$C$3:$C$98,A273,Abril!$S$3:$S$98)</f>
        <v>0</v>
      </c>
    </row>
    <row r="274" spans="1:17" ht="15" x14ac:dyDescent="0.25">
      <c r="A274" s="153">
        <v>70330</v>
      </c>
      <c r="B274" s="147" t="s">
        <v>525</v>
      </c>
      <c r="C274" s="134" t="s">
        <v>251</v>
      </c>
      <c r="D274" s="134" t="s">
        <v>172</v>
      </c>
      <c r="E274" s="134" t="s">
        <v>173</v>
      </c>
      <c r="F274" s="134" t="s">
        <v>178</v>
      </c>
      <c r="G274" s="134" t="s">
        <v>526</v>
      </c>
      <c r="H274" s="134" t="s">
        <v>175</v>
      </c>
      <c r="I274" s="135"/>
      <c r="J274" s="135">
        <v>190</v>
      </c>
      <c r="K274" s="134" t="s">
        <v>527</v>
      </c>
      <c r="L274" s="210">
        <f>I274+J274*EERR!$D$2</f>
        <v>124590.6</v>
      </c>
      <c r="M274" s="136">
        <f>L274/EERR!$D$2</f>
        <v>190</v>
      </c>
      <c r="N274" s="136">
        <f>SUMIF(Abril!$B$3:$B$98,A274,Abril!$S$3:$S$98)+SUMIF(Abril!$C$3:$C$98,A274,Abril!$S$3:$S$98)</f>
        <v>0</v>
      </c>
    </row>
    <row r="275" spans="1:17" ht="15" x14ac:dyDescent="0.25">
      <c r="A275" s="153">
        <v>56256</v>
      </c>
      <c r="B275" s="147" t="s">
        <v>528</v>
      </c>
      <c r="C275" s="134" t="s">
        <v>251</v>
      </c>
      <c r="D275" s="134" t="s">
        <v>172</v>
      </c>
      <c r="E275" s="134" t="s">
        <v>173</v>
      </c>
      <c r="F275" s="134" t="s">
        <v>177</v>
      </c>
      <c r="G275" s="134" t="s">
        <v>529</v>
      </c>
      <c r="H275" s="134" t="s">
        <v>175</v>
      </c>
      <c r="I275" s="135"/>
      <c r="J275" s="135">
        <v>195</v>
      </c>
      <c r="K275" s="134" t="s">
        <v>530</v>
      </c>
      <c r="L275" s="210">
        <f>I275+J275*EERR!$D$2</f>
        <v>127869.3</v>
      </c>
      <c r="M275" s="136">
        <f>L275/EERR!$D$2</f>
        <v>195</v>
      </c>
      <c r="N275" s="136">
        <f>SUMIF(Abril!$B$3:$B$98,A275,Abril!$S$3:$S$98)+SUMIF(Abril!$C$3:$C$98,A275,Abril!$S$3:$S$98)</f>
        <v>0</v>
      </c>
    </row>
    <row r="276" spans="1:17" ht="15" x14ac:dyDescent="0.25">
      <c r="A276" s="153">
        <v>86796</v>
      </c>
      <c r="B276" s="147" t="s">
        <v>531</v>
      </c>
      <c r="C276" s="134" t="s">
        <v>251</v>
      </c>
      <c r="D276" s="134" t="s">
        <v>172</v>
      </c>
      <c r="E276" s="134" t="s">
        <v>173</v>
      </c>
      <c r="F276" s="134" t="s">
        <v>178</v>
      </c>
      <c r="G276" s="134" t="s">
        <v>532</v>
      </c>
      <c r="H276" s="134" t="s">
        <v>175</v>
      </c>
      <c r="I276" s="135"/>
      <c r="J276" s="135">
        <v>195</v>
      </c>
      <c r="K276" s="134" t="s">
        <v>533</v>
      </c>
      <c r="L276" s="210">
        <f>I276+J276*EERR!$D$2</f>
        <v>127869.3</v>
      </c>
      <c r="M276" s="136">
        <f>L276/EERR!$D$2</f>
        <v>195</v>
      </c>
      <c r="N276" s="136">
        <f>SUMIF(Abril!$B$3:$B$98,A276,Abril!$S$3:$S$98)+SUMIF(Abril!$C$3:$C$98,A276,Abril!$S$3:$S$98)</f>
        <v>0</v>
      </c>
    </row>
    <row r="277" spans="1:17" ht="15" x14ac:dyDescent="0.25">
      <c r="A277" s="153">
        <v>47404</v>
      </c>
      <c r="B277" s="147" t="s">
        <v>534</v>
      </c>
      <c r="C277" s="134" t="s">
        <v>251</v>
      </c>
      <c r="D277" s="134" t="s">
        <v>172</v>
      </c>
      <c r="E277" s="134" t="s">
        <v>173</v>
      </c>
      <c r="F277" s="134" t="s">
        <v>177</v>
      </c>
      <c r="G277" s="134" t="s">
        <v>535</v>
      </c>
      <c r="H277" s="134" t="s">
        <v>175</v>
      </c>
      <c r="I277" s="135"/>
      <c r="J277" s="135">
        <v>171</v>
      </c>
      <c r="K277" s="134" t="s">
        <v>536</v>
      </c>
      <c r="L277" s="210">
        <f>I277+J277*EERR!$D$2</f>
        <v>112131.54000000001</v>
      </c>
      <c r="M277" s="136">
        <f>L277/EERR!$D$2</f>
        <v>171</v>
      </c>
      <c r="N277" s="136">
        <f>SUMIF(Abril!$B$3:$B$98,A277,Abril!$S$3:$S$98)+SUMIF(Abril!$C$3:$C$98,A277,Abril!$S$3:$S$98)</f>
        <v>0</v>
      </c>
    </row>
    <row r="278" spans="1:17" ht="15" x14ac:dyDescent="0.25">
      <c r="A278" s="153">
        <v>22916</v>
      </c>
      <c r="B278" s="147" t="s">
        <v>537</v>
      </c>
      <c r="C278" s="134" t="s">
        <v>251</v>
      </c>
      <c r="D278" s="134" t="s">
        <v>172</v>
      </c>
      <c r="E278" s="134" t="s">
        <v>173</v>
      </c>
      <c r="F278" s="134" t="s">
        <v>177</v>
      </c>
      <c r="G278" s="134" t="s">
        <v>538</v>
      </c>
      <c r="H278" s="134" t="s">
        <v>175</v>
      </c>
      <c r="I278" s="135"/>
      <c r="J278" s="135">
        <v>195</v>
      </c>
      <c r="K278" s="134" t="s">
        <v>539</v>
      </c>
      <c r="L278" s="210">
        <f>I278+J278*EERR!$D$2</f>
        <v>127869.3</v>
      </c>
      <c r="M278" s="136">
        <f>L278/EERR!$D$2</f>
        <v>195</v>
      </c>
      <c r="N278" s="136">
        <f>SUMIF(Abril!$B$3:$B$98,A278,Abril!$S$3:$S$98)+SUMIF(Abril!$C$3:$C$98,A278,Abril!$S$3:$S$98)</f>
        <v>0</v>
      </c>
      <c r="Q278" s="275">
        <v>1</v>
      </c>
    </row>
    <row r="279" spans="1:17" ht="15" x14ac:dyDescent="0.25">
      <c r="A279" s="153">
        <v>8616</v>
      </c>
      <c r="B279" s="147" t="s">
        <v>540</v>
      </c>
      <c r="C279" s="134" t="s">
        <v>250</v>
      </c>
      <c r="D279" s="134" t="s">
        <v>172</v>
      </c>
      <c r="E279" s="134" t="s">
        <v>176</v>
      </c>
      <c r="F279" s="134" t="s">
        <v>177</v>
      </c>
      <c r="G279" s="134" t="s">
        <v>481</v>
      </c>
      <c r="H279" s="134" t="s">
        <v>176</v>
      </c>
      <c r="I279" s="135">
        <v>7000</v>
      </c>
      <c r="J279" s="135"/>
      <c r="K279" s="134" t="s">
        <v>541</v>
      </c>
      <c r="L279" s="210">
        <f>I279+J279*EERR!$D$2</f>
        <v>7000</v>
      </c>
      <c r="M279" s="136">
        <f>L279/EERR!$D$2</f>
        <v>10.674962637630768</v>
      </c>
      <c r="N279" s="136">
        <f>SUMIF(Abril!$B$3:$B$98,A279,Abril!$S$3:$S$98)+SUMIF(Abril!$C$3:$C$98,A279,Abril!$S$3:$S$98)</f>
        <v>0</v>
      </c>
    </row>
    <row r="280" spans="1:17" ht="15" x14ac:dyDescent="0.25">
      <c r="A280" s="153">
        <v>6514</v>
      </c>
      <c r="B280" s="147" t="s">
        <v>542</v>
      </c>
      <c r="C280" s="134" t="s">
        <v>250</v>
      </c>
      <c r="D280" s="134" t="s">
        <v>172</v>
      </c>
      <c r="E280" s="134" t="s">
        <v>176</v>
      </c>
      <c r="F280" s="134" t="s">
        <v>177</v>
      </c>
      <c r="G280" s="134" t="s">
        <v>396</v>
      </c>
      <c r="H280" s="134" t="s">
        <v>176</v>
      </c>
      <c r="I280" s="135">
        <v>154133</v>
      </c>
      <c r="J280" s="135"/>
      <c r="K280" s="134" t="s">
        <v>543</v>
      </c>
      <c r="L280" s="210">
        <f>I280+J280*EERR!$D$2</f>
        <v>154133</v>
      </c>
      <c r="M280" s="136">
        <f>L280/EERR!$D$2</f>
        <v>235.05200231799188</v>
      </c>
      <c r="N280" s="136">
        <f>SUMIF(Abril!$B$3:$B$98,A280,Abril!$S$3:$S$98)+SUMIF(Abril!$C$3:$C$98,A280,Abril!$S$3:$S$98)</f>
        <v>0</v>
      </c>
    </row>
    <row r="281" spans="1:17" ht="15" x14ac:dyDescent="0.25">
      <c r="A281" s="153">
        <v>1003</v>
      </c>
      <c r="B281" s="147" t="s">
        <v>544</v>
      </c>
      <c r="C281" s="134" t="s">
        <v>251</v>
      </c>
      <c r="D281" s="134" t="s">
        <v>172</v>
      </c>
      <c r="E281" s="134" t="s">
        <v>173</v>
      </c>
      <c r="F281" s="134" t="s">
        <v>174</v>
      </c>
      <c r="G281" s="134" t="s">
        <v>545</v>
      </c>
      <c r="H281" s="134" t="s">
        <v>175</v>
      </c>
      <c r="I281" s="135"/>
      <c r="J281" s="135">
        <v>370.5</v>
      </c>
      <c r="K281" s="134" t="s">
        <v>395</v>
      </c>
      <c r="L281" s="210">
        <f>I281+J281*EERR!$D$2</f>
        <v>242951.67</v>
      </c>
      <c r="M281" s="136">
        <f>L281/EERR!$D$2</f>
        <v>370.5</v>
      </c>
      <c r="N281" s="136">
        <f>SUMIF(Abril!$B$3:$B$98,A281,Abril!$S$3:$S$98)+SUMIF(Abril!$C$3:$C$98,A281,Abril!$S$3:$S$98)</f>
        <v>0</v>
      </c>
    </row>
    <row r="282" spans="1:17" ht="15" x14ac:dyDescent="0.25">
      <c r="A282" s="153">
        <v>6579</v>
      </c>
      <c r="B282" s="147" t="s">
        <v>546</v>
      </c>
      <c r="C282" s="134" t="s">
        <v>250</v>
      </c>
      <c r="D282" s="134" t="s">
        <v>172</v>
      </c>
      <c r="E282" s="134" t="s">
        <v>176</v>
      </c>
      <c r="F282" s="134" t="s">
        <v>177</v>
      </c>
      <c r="G282" s="134" t="s">
        <v>547</v>
      </c>
      <c r="H282" s="134" t="s">
        <v>176</v>
      </c>
      <c r="I282" s="135">
        <v>146597</v>
      </c>
      <c r="J282" s="135"/>
      <c r="K282" s="134" t="s">
        <v>548</v>
      </c>
      <c r="L282" s="210">
        <f>I282+J282*EERR!$D$2</f>
        <v>146597</v>
      </c>
      <c r="M282" s="136">
        <f>L282/EERR!$D$2</f>
        <v>223.55964254125109</v>
      </c>
      <c r="N282" s="136">
        <f>SUMIF(Abril!$B$3:$B$98,A282,Abril!$S$3:$S$98)+SUMIF(Abril!$C$3:$C$98,A282,Abril!$S$3:$S$98)</f>
        <v>0</v>
      </c>
    </row>
    <row r="283" spans="1:17" ht="15" x14ac:dyDescent="0.25">
      <c r="A283" s="153">
        <v>29836</v>
      </c>
      <c r="B283" s="147" t="s">
        <v>549</v>
      </c>
      <c r="C283" s="134" t="s">
        <v>251</v>
      </c>
      <c r="D283" s="134" t="s">
        <v>172</v>
      </c>
      <c r="E283" s="134" t="s">
        <v>173</v>
      </c>
      <c r="F283" s="134" t="s">
        <v>174</v>
      </c>
      <c r="G283" s="134" t="s">
        <v>550</v>
      </c>
      <c r="H283" s="134" t="s">
        <v>175</v>
      </c>
      <c r="I283" s="135"/>
      <c r="J283" s="135">
        <v>185.25</v>
      </c>
      <c r="K283" s="134" t="s">
        <v>377</v>
      </c>
      <c r="L283" s="210">
        <f>I283+J283*EERR!$D$2</f>
        <v>121475.83500000001</v>
      </c>
      <c r="M283" s="136">
        <f>L283/EERR!$D$2</f>
        <v>185.25</v>
      </c>
      <c r="N283" s="136">
        <f>SUMIF(Abril!$B$3:$B$98,A283,Abril!$S$3:$S$98)+SUMIF(Abril!$C$3:$C$98,A283,Abril!$S$3:$S$98)</f>
        <v>0</v>
      </c>
    </row>
    <row r="284" spans="1:17" ht="15" x14ac:dyDescent="0.25">
      <c r="A284" s="153">
        <v>7910</v>
      </c>
      <c r="B284" s="147" t="s">
        <v>551</v>
      </c>
      <c r="C284" s="134" t="s">
        <v>251</v>
      </c>
      <c r="D284" s="134" t="s">
        <v>172</v>
      </c>
      <c r="E284" s="134" t="s">
        <v>173</v>
      </c>
      <c r="F284" s="134" t="s">
        <v>178</v>
      </c>
      <c r="G284" s="134" t="s">
        <v>552</v>
      </c>
      <c r="H284" s="134" t="s">
        <v>175</v>
      </c>
      <c r="I284" s="135"/>
      <c r="J284" s="135">
        <v>195</v>
      </c>
      <c r="K284" s="134" t="s">
        <v>553</v>
      </c>
      <c r="L284" s="210">
        <f>I284+J284*EERR!$D$2</f>
        <v>127869.3</v>
      </c>
      <c r="M284" s="136">
        <f>L284/EERR!$D$2</f>
        <v>195</v>
      </c>
      <c r="N284" s="136">
        <f>SUMIF(Abril!$B$3:$B$98,A284,Abril!$S$3:$S$98)+SUMIF(Abril!$C$3:$C$98,A284,Abril!$S$3:$S$98)</f>
        <v>0</v>
      </c>
    </row>
    <row r="285" spans="1:17" ht="15" x14ac:dyDescent="0.25">
      <c r="A285" s="153">
        <v>30584</v>
      </c>
      <c r="B285" s="147" t="s">
        <v>554</v>
      </c>
      <c r="C285" s="134" t="s">
        <v>251</v>
      </c>
      <c r="D285" s="134" t="s">
        <v>172</v>
      </c>
      <c r="E285" s="134" t="s">
        <v>173</v>
      </c>
      <c r="F285" s="134" t="s">
        <v>177</v>
      </c>
      <c r="G285" s="134" t="s">
        <v>555</v>
      </c>
      <c r="H285" s="134" t="s">
        <v>175</v>
      </c>
      <c r="I285" s="135"/>
      <c r="J285" s="135">
        <v>185.25</v>
      </c>
      <c r="K285" s="134" t="s">
        <v>556</v>
      </c>
      <c r="L285" s="210">
        <f>I285+J285*EERR!$D$2</f>
        <v>121475.83500000001</v>
      </c>
      <c r="M285" s="136">
        <f>L285/EERR!$D$2</f>
        <v>185.25</v>
      </c>
      <c r="N285" s="136">
        <f>SUMIF(Abril!$B$3:$B$98,A285,Abril!$S$3:$S$98)+SUMIF(Abril!$C$3:$C$98,A285,Abril!$S$3:$S$98)</f>
        <v>0</v>
      </c>
    </row>
    <row r="286" spans="1:17" ht="15" x14ac:dyDescent="0.25">
      <c r="A286" s="153">
        <v>12535</v>
      </c>
      <c r="B286" s="147" t="s">
        <v>554</v>
      </c>
      <c r="C286" s="134" t="s">
        <v>251</v>
      </c>
      <c r="D286" s="134" t="s">
        <v>172</v>
      </c>
      <c r="E286" s="134" t="s">
        <v>173</v>
      </c>
      <c r="F286" s="134" t="s">
        <v>178</v>
      </c>
      <c r="G286" s="134" t="s">
        <v>557</v>
      </c>
      <c r="H286" s="134" t="s">
        <v>175</v>
      </c>
      <c r="I286" s="135"/>
      <c r="J286" s="135">
        <v>195</v>
      </c>
      <c r="K286" s="134" t="s">
        <v>558</v>
      </c>
      <c r="L286" s="210">
        <f>I286+J286*EERR!$D$2</f>
        <v>127869.3</v>
      </c>
      <c r="M286" s="136">
        <f>L286/EERR!$D$2</f>
        <v>195</v>
      </c>
      <c r="N286" s="136">
        <f>SUMIF(Abril!$B$3:$B$98,A286,Abril!$S$3:$S$98)+SUMIF(Abril!$C$3:$C$98,A286,Abril!$S$3:$S$98)</f>
        <v>0</v>
      </c>
    </row>
    <row r="287" spans="1:17" ht="15" x14ac:dyDescent="0.25">
      <c r="A287" s="153">
        <v>48768</v>
      </c>
      <c r="B287" s="147" t="s">
        <v>559</v>
      </c>
      <c r="C287" s="134" t="s">
        <v>250</v>
      </c>
      <c r="D287" s="134" t="s">
        <v>172</v>
      </c>
      <c r="E287" s="134" t="s">
        <v>176</v>
      </c>
      <c r="F287" s="134" t="s">
        <v>177</v>
      </c>
      <c r="G287" s="134" t="s">
        <v>560</v>
      </c>
      <c r="H287" s="134" t="s">
        <v>176</v>
      </c>
      <c r="I287" s="135">
        <v>146597</v>
      </c>
      <c r="J287" s="135"/>
      <c r="K287" s="134" t="s">
        <v>561</v>
      </c>
      <c r="L287" s="210">
        <f>I287+J287*EERR!$D$2</f>
        <v>146597</v>
      </c>
      <c r="M287" s="136">
        <f>L287/EERR!$D$2</f>
        <v>223.55964254125109</v>
      </c>
      <c r="N287" s="136">
        <f>SUMIF(Abril!$B$3:$B$98,A287,Abril!$S$3:$S$98)+SUMIF(Abril!$C$3:$C$98,A287,Abril!$S$3:$S$98)</f>
        <v>438910</v>
      </c>
    </row>
    <row r="288" spans="1:17" ht="15" x14ac:dyDescent="0.25">
      <c r="A288" s="153">
        <v>60663</v>
      </c>
      <c r="B288" s="147" t="s">
        <v>562</v>
      </c>
      <c r="C288" s="134" t="s">
        <v>251</v>
      </c>
      <c r="D288" s="134" t="s">
        <v>172</v>
      </c>
      <c r="E288" s="134" t="s">
        <v>173</v>
      </c>
      <c r="F288" s="134" t="s">
        <v>178</v>
      </c>
      <c r="G288" s="134" t="s">
        <v>563</v>
      </c>
      <c r="H288" s="134" t="s">
        <v>175</v>
      </c>
      <c r="I288" s="135"/>
      <c r="J288" s="135">
        <v>195</v>
      </c>
      <c r="K288" s="134" t="s">
        <v>564</v>
      </c>
      <c r="L288" s="210">
        <f>I288+J288*EERR!$D$2</f>
        <v>127869.3</v>
      </c>
      <c r="M288" s="136">
        <f>L288/EERR!$D$2</f>
        <v>195</v>
      </c>
      <c r="N288" s="136">
        <f>SUMIF(Abril!$B$3:$B$98,A288,Abril!$S$3:$S$98)+SUMIF(Abril!$C$3:$C$98,A288,Abril!$S$3:$S$98)</f>
        <v>0</v>
      </c>
    </row>
    <row r="289" spans="1:14" ht="15" x14ac:dyDescent="0.25">
      <c r="A289" s="153">
        <v>35778</v>
      </c>
      <c r="B289" s="147" t="s">
        <v>565</v>
      </c>
      <c r="C289" s="134" t="s">
        <v>250</v>
      </c>
      <c r="D289" s="134" t="s">
        <v>172</v>
      </c>
      <c r="E289" s="134" t="s">
        <v>176</v>
      </c>
      <c r="F289" s="134" t="s">
        <v>174</v>
      </c>
      <c r="G289" s="134" t="s">
        <v>566</v>
      </c>
      <c r="H289" s="134" t="s">
        <v>176</v>
      </c>
      <c r="I289" s="135">
        <v>146597</v>
      </c>
      <c r="J289" s="135"/>
      <c r="K289" s="134" t="s">
        <v>567</v>
      </c>
      <c r="L289" s="210">
        <f>I289+J289*EERR!$D$2</f>
        <v>146597</v>
      </c>
      <c r="M289" s="136">
        <f>L289/EERR!$D$2</f>
        <v>223.55964254125109</v>
      </c>
      <c r="N289" s="136">
        <f>SUMIF(Abril!$B$3:$B$98,A289,Abril!$S$3:$S$98)+SUMIF(Abril!$C$3:$C$98,A289,Abril!$S$3:$S$98)</f>
        <v>146597</v>
      </c>
    </row>
    <row r="290" spans="1:14" ht="15" x14ac:dyDescent="0.25">
      <c r="A290" s="153">
        <v>35965</v>
      </c>
      <c r="B290" s="147" t="s">
        <v>565</v>
      </c>
      <c r="C290" s="134" t="s">
        <v>251</v>
      </c>
      <c r="D290" s="134" t="s">
        <v>172</v>
      </c>
      <c r="E290" s="134" t="s">
        <v>173</v>
      </c>
      <c r="F290" s="134" t="s">
        <v>178</v>
      </c>
      <c r="G290" s="134" t="s">
        <v>568</v>
      </c>
      <c r="H290" s="134" t="s">
        <v>175</v>
      </c>
      <c r="I290" s="135"/>
      <c r="J290" s="135">
        <v>175.5</v>
      </c>
      <c r="K290" s="134" t="s">
        <v>569</v>
      </c>
      <c r="L290" s="210">
        <f>I290+J290*EERR!$D$2</f>
        <v>115082.37</v>
      </c>
      <c r="M290" s="136">
        <f>L290/EERR!$D$2</f>
        <v>175.5</v>
      </c>
      <c r="N290" s="136">
        <f>SUMIF(Abril!$B$3:$B$98,A290,Abril!$S$3:$S$98)+SUMIF(Abril!$C$3:$C$98,A290,Abril!$S$3:$S$98)</f>
        <v>0</v>
      </c>
    </row>
    <row r="291" spans="1:14" ht="15" x14ac:dyDescent="0.25">
      <c r="A291" s="153">
        <v>56680</v>
      </c>
      <c r="B291" s="147" t="s">
        <v>570</v>
      </c>
      <c r="C291" s="134" t="s">
        <v>251</v>
      </c>
      <c r="D291" s="134" t="s">
        <v>172</v>
      </c>
      <c r="E291" s="134" t="s">
        <v>173</v>
      </c>
      <c r="F291" s="134" t="s">
        <v>178</v>
      </c>
      <c r="G291" s="134" t="s">
        <v>571</v>
      </c>
      <c r="H291" s="134" t="s">
        <v>175</v>
      </c>
      <c r="I291" s="135"/>
      <c r="J291" s="135">
        <v>195</v>
      </c>
      <c r="K291" s="134" t="s">
        <v>572</v>
      </c>
      <c r="L291" s="210">
        <f>I291+J291*EERR!$D$2</f>
        <v>127869.3</v>
      </c>
      <c r="M291" s="136">
        <f>L291/EERR!$D$2</f>
        <v>195</v>
      </c>
      <c r="N291" s="136">
        <f>SUMIF(Abril!$B$3:$B$98,A291,Abril!$S$3:$S$98)+SUMIF(Abril!$C$3:$C$98,A291,Abril!$S$3:$S$98)</f>
        <v>0</v>
      </c>
    </row>
    <row r="292" spans="1:14" ht="15" x14ac:dyDescent="0.25">
      <c r="A292" s="153">
        <v>66938</v>
      </c>
      <c r="B292" s="147" t="s">
        <v>570</v>
      </c>
      <c r="C292" s="134" t="s">
        <v>251</v>
      </c>
      <c r="D292" s="134" t="s">
        <v>172</v>
      </c>
      <c r="E292" s="134" t="s">
        <v>173</v>
      </c>
      <c r="F292" s="134" t="s">
        <v>178</v>
      </c>
      <c r="G292" s="134" t="s">
        <v>573</v>
      </c>
      <c r="H292" s="134" t="s">
        <v>175</v>
      </c>
      <c r="I292" s="135"/>
      <c r="J292" s="135">
        <v>195</v>
      </c>
      <c r="K292" s="134" t="s">
        <v>574</v>
      </c>
      <c r="L292" s="210">
        <f>I292+J292*EERR!$D$2</f>
        <v>127869.3</v>
      </c>
      <c r="M292" s="136">
        <f>L292/EERR!$D$2</f>
        <v>195</v>
      </c>
      <c r="N292" s="136">
        <f>SUMIF(Abril!$B$3:$B$98,A292,Abril!$S$3:$S$98)+SUMIF(Abril!$C$3:$C$98,A292,Abril!$S$3:$S$98)</f>
        <v>0</v>
      </c>
    </row>
    <row r="293" spans="1:14" ht="15" x14ac:dyDescent="0.25">
      <c r="A293" s="153">
        <v>72687</v>
      </c>
      <c r="B293" s="147" t="s">
        <v>575</v>
      </c>
      <c r="C293" s="134" t="s">
        <v>251</v>
      </c>
      <c r="D293" s="134" t="s">
        <v>172</v>
      </c>
      <c r="E293" s="134" t="s">
        <v>173</v>
      </c>
      <c r="F293" s="134" t="s">
        <v>177</v>
      </c>
      <c r="G293" s="134" t="s">
        <v>398</v>
      </c>
      <c r="H293" s="134" t="s">
        <v>175</v>
      </c>
      <c r="I293" s="135"/>
      <c r="J293" s="135">
        <v>351</v>
      </c>
      <c r="K293" s="134" t="s">
        <v>576</v>
      </c>
      <c r="L293" s="210">
        <f>I293+J293*EERR!$D$2</f>
        <v>230164.74</v>
      </c>
      <c r="M293" s="136">
        <f>L293/EERR!$D$2</f>
        <v>351</v>
      </c>
      <c r="N293" s="136">
        <f>SUMIF(Abril!$B$3:$B$98,A293,Abril!$S$3:$S$98)+SUMIF(Abril!$C$3:$C$98,A293,Abril!$S$3:$S$98)</f>
        <v>0</v>
      </c>
    </row>
    <row r="294" spans="1:14" ht="15" x14ac:dyDescent="0.25">
      <c r="A294" s="153">
        <v>22059</v>
      </c>
      <c r="B294" s="147" t="s">
        <v>577</v>
      </c>
      <c r="C294" s="134" t="s">
        <v>251</v>
      </c>
      <c r="D294" s="134" t="s">
        <v>172</v>
      </c>
      <c r="E294" s="134" t="s">
        <v>173</v>
      </c>
      <c r="F294" s="134" t="s">
        <v>178</v>
      </c>
      <c r="G294" s="134" t="s">
        <v>578</v>
      </c>
      <c r="H294" s="134" t="s">
        <v>175</v>
      </c>
      <c r="I294" s="135"/>
      <c r="J294" s="135">
        <v>195</v>
      </c>
      <c r="K294" s="134" t="s">
        <v>579</v>
      </c>
      <c r="L294" s="210">
        <f>I294+J294*EERR!$D$2</f>
        <v>127869.3</v>
      </c>
      <c r="M294" s="136">
        <f>L294/EERR!$D$2</f>
        <v>195</v>
      </c>
      <c r="N294" s="136">
        <f>SUMIF(Abril!$B$3:$B$98,A294,Abril!$S$3:$S$98)+SUMIF(Abril!$C$3:$C$98,A294,Abril!$S$3:$S$98)</f>
        <v>0</v>
      </c>
    </row>
    <row r="295" spans="1:14" ht="15" x14ac:dyDescent="0.25">
      <c r="A295" s="153">
        <v>1005</v>
      </c>
      <c r="B295" s="147" t="s">
        <v>580</v>
      </c>
      <c r="C295" s="134" t="s">
        <v>251</v>
      </c>
      <c r="D295" s="134" t="s">
        <v>172</v>
      </c>
      <c r="E295" s="134" t="s">
        <v>173</v>
      </c>
      <c r="F295" s="134" t="s">
        <v>174</v>
      </c>
      <c r="G295" s="134" t="s">
        <v>550</v>
      </c>
      <c r="H295" s="134" t="s">
        <v>175</v>
      </c>
      <c r="I295" s="135"/>
      <c r="J295" s="135">
        <v>370.5</v>
      </c>
      <c r="K295" s="134" t="s">
        <v>376</v>
      </c>
      <c r="L295" s="210">
        <f>I295+J295*EERR!$D$2</f>
        <v>242951.67</v>
      </c>
      <c r="M295" s="136">
        <f>L295/EERR!$D$2</f>
        <v>370.5</v>
      </c>
      <c r="N295" s="136">
        <f>SUMIF(Abril!$B$3:$B$98,A295,Abril!$S$3:$S$98)+SUMIF(Abril!$C$3:$C$98,A295,Abril!$S$3:$S$98)</f>
        <v>0</v>
      </c>
    </row>
    <row r="296" spans="1:14" ht="15" x14ac:dyDescent="0.25">
      <c r="A296" s="153">
        <v>40052</v>
      </c>
      <c r="B296" s="147" t="s">
        <v>581</v>
      </c>
      <c r="C296" s="134" t="s">
        <v>251</v>
      </c>
      <c r="D296" s="134" t="s">
        <v>172</v>
      </c>
      <c r="E296" s="134" t="s">
        <v>173</v>
      </c>
      <c r="F296" s="134" t="s">
        <v>178</v>
      </c>
      <c r="G296" s="134" t="s">
        <v>403</v>
      </c>
      <c r="H296" s="134" t="s">
        <v>175</v>
      </c>
      <c r="I296" s="135"/>
      <c r="J296" s="135">
        <v>526.5</v>
      </c>
      <c r="K296" s="134" t="s">
        <v>582</v>
      </c>
      <c r="L296" s="210">
        <f>I296+J296*EERR!$D$2</f>
        <v>345247.11</v>
      </c>
      <c r="M296" s="136">
        <f>L296/EERR!$D$2</f>
        <v>526.5</v>
      </c>
      <c r="N296" s="136">
        <f>SUMIF(Abril!$B$3:$B$98,A296,Abril!$S$3:$S$98)+SUMIF(Abril!$C$3:$C$98,A296,Abril!$S$3:$S$98)</f>
        <v>0</v>
      </c>
    </row>
    <row r="297" spans="1:14" ht="15" x14ac:dyDescent="0.25">
      <c r="A297" s="153">
        <v>50369</v>
      </c>
      <c r="B297" s="147" t="s">
        <v>583</v>
      </c>
      <c r="C297" s="134" t="s">
        <v>251</v>
      </c>
      <c r="D297" s="134" t="s">
        <v>172</v>
      </c>
      <c r="E297" s="134" t="s">
        <v>173</v>
      </c>
      <c r="F297" s="134" t="s">
        <v>178</v>
      </c>
      <c r="G297" s="134" t="s">
        <v>404</v>
      </c>
      <c r="H297" s="134" t="s">
        <v>175</v>
      </c>
      <c r="I297" s="135"/>
      <c r="J297" s="135">
        <v>1170</v>
      </c>
      <c r="K297" s="134" t="s">
        <v>584</v>
      </c>
      <c r="L297" s="210">
        <f>I297+J297*EERR!$D$2</f>
        <v>767215.8</v>
      </c>
      <c r="M297" s="136">
        <f>L297/EERR!$D$2</f>
        <v>1170</v>
      </c>
      <c r="N297" s="136">
        <f>SUMIF(Abril!$B$3:$B$98,A297,Abril!$S$3:$S$98)+SUMIF(Abril!$C$3:$C$98,A297,Abril!$S$3:$S$98)</f>
        <v>0</v>
      </c>
    </row>
    <row r="298" spans="1:14" ht="15" x14ac:dyDescent="0.25">
      <c r="A298" s="153">
        <v>50369</v>
      </c>
      <c r="B298" s="147" t="s">
        <v>585</v>
      </c>
      <c r="C298" s="134" t="s">
        <v>251</v>
      </c>
      <c r="D298" s="134" t="s">
        <v>172</v>
      </c>
      <c r="E298" s="134" t="s">
        <v>173</v>
      </c>
      <c r="F298" s="134" t="s">
        <v>178</v>
      </c>
      <c r="G298" s="134" t="s">
        <v>586</v>
      </c>
      <c r="H298" s="134" t="s">
        <v>175</v>
      </c>
      <c r="I298" s="135"/>
      <c r="J298" s="135">
        <v>1170</v>
      </c>
      <c r="K298" s="134" t="s">
        <v>587</v>
      </c>
      <c r="L298" s="210">
        <f>I298+J298*EERR!$D$2</f>
        <v>767215.8</v>
      </c>
      <c r="M298" s="136">
        <f>L298/EERR!$D$2</f>
        <v>1170</v>
      </c>
      <c r="N298" s="136">
        <f>SUMIF(Abril!$B$3:$B$98,A298,Abril!$S$3:$S$98)+SUMIF(Abril!$C$3:$C$98,A298,Abril!$S$3:$S$98)</f>
        <v>0</v>
      </c>
    </row>
    <row r="299" spans="1:14" ht="15" x14ac:dyDescent="0.25">
      <c r="A299" s="153">
        <v>29330</v>
      </c>
      <c r="B299" s="147" t="s">
        <v>588</v>
      </c>
      <c r="C299" s="134" t="s">
        <v>251</v>
      </c>
      <c r="D299" s="134" t="s">
        <v>172</v>
      </c>
      <c r="E299" s="134" t="s">
        <v>173</v>
      </c>
      <c r="F299" s="134" t="s">
        <v>174</v>
      </c>
      <c r="G299" s="134" t="s">
        <v>589</v>
      </c>
      <c r="H299" s="134" t="s">
        <v>175</v>
      </c>
      <c r="I299" s="135"/>
      <c r="J299" s="135">
        <v>351</v>
      </c>
      <c r="K299" s="134" t="s">
        <v>590</v>
      </c>
      <c r="L299" s="210">
        <f>I299+J299*EERR!$D$2</f>
        <v>230164.74</v>
      </c>
      <c r="M299" s="136">
        <f>L299/EERR!$D$2</f>
        <v>351</v>
      </c>
      <c r="N299" s="136">
        <f>SUMIF(Abril!$B$3:$B$98,A299,Abril!$S$3:$S$98)+SUMIF(Abril!$C$3:$C$98,A299,Abril!$S$3:$S$98)</f>
        <v>0</v>
      </c>
    </row>
    <row r="300" spans="1:14" ht="15" x14ac:dyDescent="0.25">
      <c r="A300" s="153">
        <v>5707</v>
      </c>
      <c r="B300" s="147" t="s">
        <v>591</v>
      </c>
      <c r="C300" s="134" t="s">
        <v>250</v>
      </c>
      <c r="D300" s="134" t="s">
        <v>172</v>
      </c>
      <c r="E300" s="134" t="s">
        <v>176</v>
      </c>
      <c r="F300" s="134" t="s">
        <v>177</v>
      </c>
      <c r="G300" s="134" t="s">
        <v>428</v>
      </c>
      <c r="H300" s="134" t="s">
        <v>176</v>
      </c>
      <c r="I300" s="135">
        <v>465724</v>
      </c>
      <c r="J300" s="135"/>
      <c r="K300" s="134" t="s">
        <v>592</v>
      </c>
      <c r="L300" s="210">
        <f>I300+J300*EERR!$D$2</f>
        <v>465724</v>
      </c>
      <c r="M300" s="136">
        <f>L300/EERR!$D$2</f>
        <v>710.22661420685029</v>
      </c>
      <c r="N300" s="136">
        <f>SUMIF(Abril!$B$3:$B$98,A300,Abril!$S$3:$S$98)+SUMIF(Abril!$C$3:$C$98,A300,Abril!$S$3:$S$98)</f>
        <v>0</v>
      </c>
    </row>
    <row r="301" spans="1:14" ht="15" x14ac:dyDescent="0.25">
      <c r="A301" s="153">
        <v>57234</v>
      </c>
      <c r="B301" s="147" t="s">
        <v>593</v>
      </c>
      <c r="C301" s="134" t="s">
        <v>251</v>
      </c>
      <c r="D301" s="134" t="s">
        <v>172</v>
      </c>
      <c r="E301" s="134" t="s">
        <v>173</v>
      </c>
      <c r="F301" s="134" t="s">
        <v>178</v>
      </c>
      <c r="G301" s="134" t="s">
        <v>594</v>
      </c>
      <c r="H301" s="134" t="s">
        <v>175</v>
      </c>
      <c r="I301" s="135"/>
      <c r="J301" s="135">
        <v>185.25</v>
      </c>
      <c r="K301" s="134" t="s">
        <v>595</v>
      </c>
      <c r="L301" s="210">
        <f>I301+J301*EERR!$D$2</f>
        <v>121475.83500000001</v>
      </c>
      <c r="M301" s="136">
        <f>L301/EERR!$D$2</f>
        <v>185.25</v>
      </c>
      <c r="N301" s="136">
        <f>SUMIF(Abril!$B$3:$B$98,A301,Abril!$S$3:$S$98)+SUMIF(Abril!$C$3:$C$98,A301,Abril!$S$3:$S$98)</f>
        <v>0</v>
      </c>
    </row>
    <row r="302" spans="1:14" ht="15" x14ac:dyDescent="0.25">
      <c r="A302" s="153">
        <v>12486</v>
      </c>
      <c r="B302" s="147" t="s">
        <v>596</v>
      </c>
      <c r="C302" s="134" t="s">
        <v>250</v>
      </c>
      <c r="D302" s="134" t="s">
        <v>172</v>
      </c>
      <c r="E302" s="134" t="s">
        <v>176</v>
      </c>
      <c r="F302" s="134" t="s">
        <v>198</v>
      </c>
      <c r="G302" s="134" t="s">
        <v>597</v>
      </c>
      <c r="H302" s="134" t="s">
        <v>199</v>
      </c>
      <c r="I302" s="135">
        <v>323359</v>
      </c>
      <c r="J302" s="135"/>
      <c r="K302" s="134" t="s">
        <v>598</v>
      </c>
      <c r="L302" s="210">
        <f>I302+J302*EERR!$D$2</f>
        <v>323359</v>
      </c>
      <c r="M302" s="136">
        <f>L302/EERR!$D$2</f>
        <v>493.12074907737821</v>
      </c>
      <c r="N302" s="136">
        <f>SUMIF(Abril!$B$3:$B$98,A302,Abril!$S$3:$S$98)+SUMIF(Abril!$C$3:$C$98,A302,Abril!$S$3:$S$98)</f>
        <v>0</v>
      </c>
    </row>
    <row r="303" spans="1:14" ht="15" x14ac:dyDescent="0.25">
      <c r="A303" s="153">
        <v>2189</v>
      </c>
      <c r="B303" s="147" t="s">
        <v>599</v>
      </c>
      <c r="C303" s="134" t="s">
        <v>251</v>
      </c>
      <c r="D303" s="134" t="s">
        <v>172</v>
      </c>
      <c r="E303" s="134" t="s">
        <v>173</v>
      </c>
      <c r="F303" s="134" t="s">
        <v>177</v>
      </c>
      <c r="G303" s="134" t="s">
        <v>600</v>
      </c>
      <c r="H303" s="134" t="s">
        <v>175</v>
      </c>
      <c r="I303" s="135"/>
      <c r="J303" s="135">
        <v>526.5</v>
      </c>
      <c r="K303" s="134" t="s">
        <v>601</v>
      </c>
      <c r="L303" s="210">
        <f>I303+J303*EERR!$D$2</f>
        <v>345247.11</v>
      </c>
      <c r="M303" s="136">
        <f>L303/EERR!$D$2</f>
        <v>526.5</v>
      </c>
      <c r="N303" s="136">
        <f>SUMIF(Abril!$B$3:$B$98,A303,Abril!$S$3:$S$98)+SUMIF(Abril!$C$3:$C$98,A303,Abril!$S$3:$S$98)</f>
        <v>0</v>
      </c>
    </row>
    <row r="304" spans="1:14" ht="15" x14ac:dyDescent="0.25">
      <c r="A304" s="153">
        <v>4012</v>
      </c>
      <c r="B304" s="147" t="s">
        <v>602</v>
      </c>
      <c r="C304" s="134" t="s">
        <v>251</v>
      </c>
      <c r="D304" s="134" t="s">
        <v>172</v>
      </c>
      <c r="E304" s="134" t="s">
        <v>173</v>
      </c>
      <c r="F304" s="134" t="s">
        <v>178</v>
      </c>
      <c r="G304" s="134" t="s">
        <v>603</v>
      </c>
      <c r="H304" s="134" t="s">
        <v>175</v>
      </c>
      <c r="I304" s="135"/>
      <c r="J304" s="135">
        <v>175.5</v>
      </c>
      <c r="K304" s="134" t="s">
        <v>604</v>
      </c>
      <c r="L304" s="210">
        <f>I304+J304*EERR!$D$2</f>
        <v>115082.37</v>
      </c>
      <c r="M304" s="136">
        <f>L304/EERR!$D$2</f>
        <v>175.5</v>
      </c>
      <c r="N304" s="136">
        <f>SUMIF(Abril!$B$3:$B$98,A304,Abril!$S$3:$S$98)+SUMIF(Abril!$C$3:$C$98,A304,Abril!$S$3:$S$98)</f>
        <v>0</v>
      </c>
    </row>
    <row r="305" spans="1:19" ht="15" x14ac:dyDescent="0.25">
      <c r="A305" s="153">
        <v>24254</v>
      </c>
      <c r="B305" s="147" t="s">
        <v>605</v>
      </c>
      <c r="C305" s="134" t="s">
        <v>251</v>
      </c>
      <c r="D305" s="134" t="s">
        <v>172</v>
      </c>
      <c r="E305" s="134" t="s">
        <v>173</v>
      </c>
      <c r="F305" s="134" t="s">
        <v>177</v>
      </c>
      <c r="G305" s="134" t="s">
        <v>606</v>
      </c>
      <c r="H305" s="134" t="s">
        <v>175</v>
      </c>
      <c r="I305" s="135"/>
      <c r="J305" s="135">
        <v>1365</v>
      </c>
      <c r="K305" s="134" t="s">
        <v>607</v>
      </c>
      <c r="L305" s="210">
        <f>I305+J305*EERR!$D$2</f>
        <v>895085.1</v>
      </c>
      <c r="M305" s="136">
        <f>L305/EERR!$D$2</f>
        <v>1365</v>
      </c>
      <c r="N305" s="136">
        <f>SUMIF(Abril!$B$3:$B$98,A305,Abril!$S$3:$S$98)+SUMIF(Abril!$C$3:$C$98,A305,Abril!$S$3:$S$98)</f>
        <v>0</v>
      </c>
    </row>
    <row r="306" spans="1:19" ht="15" x14ac:dyDescent="0.25">
      <c r="A306" s="153">
        <v>5929</v>
      </c>
      <c r="B306" s="147" t="s">
        <v>608</v>
      </c>
      <c r="C306" s="134" t="s">
        <v>251</v>
      </c>
      <c r="D306" s="134" t="s">
        <v>172</v>
      </c>
      <c r="E306" s="134" t="s">
        <v>173</v>
      </c>
      <c r="F306" s="134" t="s">
        <v>178</v>
      </c>
      <c r="G306" s="134" t="s">
        <v>609</v>
      </c>
      <c r="H306" s="134" t="s">
        <v>175</v>
      </c>
      <c r="I306" s="135"/>
      <c r="J306" s="135">
        <v>195</v>
      </c>
      <c r="K306" s="134" t="s">
        <v>610</v>
      </c>
      <c r="L306" s="210">
        <f>I306+J306*EERR!$D$2</f>
        <v>127869.3</v>
      </c>
      <c r="M306" s="136">
        <f>L306/EERR!$D$2</f>
        <v>195</v>
      </c>
      <c r="N306" s="136">
        <f>SUMIF(Abril!$B$3:$B$98,A306,Abril!$S$3:$S$98)+SUMIF(Abril!$C$3:$C$98,A306,Abril!$S$3:$S$98)</f>
        <v>0</v>
      </c>
    </row>
    <row r="307" spans="1:19" ht="15" x14ac:dyDescent="0.25">
      <c r="A307" s="153">
        <v>61045</v>
      </c>
      <c r="B307" s="147" t="s">
        <v>611</v>
      </c>
      <c r="C307" s="134" t="s">
        <v>251</v>
      </c>
      <c r="D307" s="134" t="s">
        <v>172</v>
      </c>
      <c r="E307" s="134" t="s">
        <v>173</v>
      </c>
      <c r="F307" s="134" t="s">
        <v>178</v>
      </c>
      <c r="G307" s="134" t="s">
        <v>612</v>
      </c>
      <c r="H307" s="134" t="s">
        <v>175</v>
      </c>
      <c r="I307" s="135"/>
      <c r="J307" s="135">
        <v>195</v>
      </c>
      <c r="K307" s="134" t="s">
        <v>613</v>
      </c>
      <c r="L307" s="210">
        <f>I307+J307*EERR!$D$2</f>
        <v>127869.3</v>
      </c>
      <c r="M307" s="136">
        <f>L307/EERR!$D$2</f>
        <v>195</v>
      </c>
      <c r="N307" s="136">
        <f>SUMIF(Abril!$B$3:$B$98,A307,Abril!$S$3:$S$98)+SUMIF(Abril!$C$3:$C$98,A307,Abril!$S$3:$S$98)</f>
        <v>0</v>
      </c>
    </row>
    <row r="308" spans="1:19" ht="15" x14ac:dyDescent="0.25">
      <c r="A308" s="153">
        <v>78827</v>
      </c>
      <c r="B308" s="147" t="s">
        <v>614</v>
      </c>
      <c r="C308" s="134" t="s">
        <v>251</v>
      </c>
      <c r="D308" s="134" t="s">
        <v>172</v>
      </c>
      <c r="E308" s="134" t="s">
        <v>173</v>
      </c>
      <c r="F308" s="134" t="s">
        <v>178</v>
      </c>
      <c r="G308" s="134" t="s">
        <v>615</v>
      </c>
      <c r="H308" s="134" t="s">
        <v>175</v>
      </c>
      <c r="I308" s="135"/>
      <c r="J308" s="135">
        <v>195</v>
      </c>
      <c r="K308" s="134" t="s">
        <v>616</v>
      </c>
      <c r="L308" s="210">
        <f>I308+J308*EERR!$D$2</f>
        <v>127869.3</v>
      </c>
      <c r="M308" s="136">
        <f>L308/EERR!$D$2</f>
        <v>195</v>
      </c>
      <c r="N308" s="136">
        <f>SUMIF(Abril!$B$3:$B$98,A308,Abril!$S$3:$S$98)+SUMIF(Abril!$C$3:$C$98,A308,Abril!$S$3:$S$98)</f>
        <v>0</v>
      </c>
    </row>
    <row r="309" spans="1:19" ht="15" x14ac:dyDescent="0.25">
      <c r="A309" s="153">
        <v>38208</v>
      </c>
      <c r="B309" s="147" t="s">
        <v>617</v>
      </c>
      <c r="C309" s="134" t="s">
        <v>251</v>
      </c>
      <c r="D309" s="134" t="s">
        <v>172</v>
      </c>
      <c r="E309" s="134" t="s">
        <v>173</v>
      </c>
      <c r="F309" s="134" t="s">
        <v>177</v>
      </c>
      <c r="G309" s="134" t="s">
        <v>618</v>
      </c>
      <c r="H309" s="134" t="s">
        <v>175</v>
      </c>
      <c r="I309" s="135"/>
      <c r="J309" s="135">
        <v>220</v>
      </c>
      <c r="K309" s="134" t="s">
        <v>619</v>
      </c>
      <c r="L309" s="210">
        <f>I309+J309*EERR!$D$2</f>
        <v>144262.79999999999</v>
      </c>
      <c r="M309" s="136">
        <f>L309/EERR!$D$2</f>
        <v>219.99999999999997</v>
      </c>
      <c r="N309" s="136">
        <f>SUMIF(Abril!$B$3:$B$98,A309,Abril!$S$3:$S$98)+SUMIF(Abril!$C$3:$C$98,A309,Abril!$S$3:$S$98)</f>
        <v>0</v>
      </c>
    </row>
    <row r="310" spans="1:19" ht="15" x14ac:dyDescent="0.25">
      <c r="A310" s="153">
        <v>38789</v>
      </c>
      <c r="B310" s="147" t="s">
        <v>620</v>
      </c>
      <c r="C310" s="134" t="s">
        <v>251</v>
      </c>
      <c r="D310" s="134" t="s">
        <v>172</v>
      </c>
      <c r="E310" s="134" t="s">
        <v>173</v>
      </c>
      <c r="F310" s="134" t="s">
        <v>177</v>
      </c>
      <c r="G310" s="134" t="s">
        <v>618</v>
      </c>
      <c r="H310" s="134" t="s">
        <v>175</v>
      </c>
      <c r="I310" s="135"/>
      <c r="J310" s="135">
        <v>195</v>
      </c>
      <c r="K310" s="134" t="s">
        <v>621</v>
      </c>
      <c r="L310" s="210">
        <f>I310+J310*EERR!$D$2</f>
        <v>127869.3</v>
      </c>
      <c r="M310" s="136">
        <f>L310/EERR!$D$2</f>
        <v>195</v>
      </c>
      <c r="N310" s="136">
        <f>SUMIF(Abril!$B$3:$B$98,A310,Abril!$S$3:$S$98)+SUMIF(Abril!$C$3:$C$98,A310,Abril!$S$3:$S$98)</f>
        <v>0</v>
      </c>
    </row>
    <row r="311" spans="1:19" ht="15" x14ac:dyDescent="0.25">
      <c r="A311" s="153">
        <v>61712</v>
      </c>
      <c r="B311" s="147" t="s">
        <v>622</v>
      </c>
      <c r="C311" s="134" t="s">
        <v>251</v>
      </c>
      <c r="D311" s="134" t="s">
        <v>172</v>
      </c>
      <c r="E311" s="134" t="s">
        <v>173</v>
      </c>
      <c r="F311" s="134" t="s">
        <v>174</v>
      </c>
      <c r="G311" s="134" t="s">
        <v>623</v>
      </c>
      <c r="H311" s="134" t="s">
        <v>175</v>
      </c>
      <c r="I311" s="135"/>
      <c r="J311" s="135">
        <v>195</v>
      </c>
      <c r="K311" s="134" t="s">
        <v>624</v>
      </c>
      <c r="L311" s="210">
        <f>I311+J311*EERR!$D$2</f>
        <v>127869.3</v>
      </c>
      <c r="M311" s="136">
        <f>L311/EERR!$D$2</f>
        <v>195</v>
      </c>
      <c r="N311" s="136">
        <f>SUMIF(Abril!$B$3:$B$98,A311,Abril!$S$3:$S$98)+SUMIF(Abril!$C$3:$C$98,A311,Abril!$S$3:$S$98)</f>
        <v>0</v>
      </c>
    </row>
    <row r="312" spans="1:19" ht="15" x14ac:dyDescent="0.25">
      <c r="A312" s="153">
        <v>1271</v>
      </c>
      <c r="B312" s="147" t="s">
        <v>625</v>
      </c>
      <c r="C312" s="134" t="s">
        <v>250</v>
      </c>
      <c r="D312" s="134" t="s">
        <v>172</v>
      </c>
      <c r="E312" s="134" t="s">
        <v>176</v>
      </c>
      <c r="F312" s="134" t="s">
        <v>177</v>
      </c>
      <c r="G312" s="134" t="s">
        <v>626</v>
      </c>
      <c r="H312" s="134" t="s">
        <v>176</v>
      </c>
      <c r="I312" s="135">
        <v>173050</v>
      </c>
      <c r="J312" s="135"/>
      <c r="K312" s="134" t="s">
        <v>627</v>
      </c>
      <c r="L312" s="210">
        <f>I312+J312*EERR!$D$2</f>
        <v>173050</v>
      </c>
      <c r="M312" s="136">
        <f>L312/EERR!$D$2</f>
        <v>263.90032634885779</v>
      </c>
      <c r="N312" s="136">
        <f>SUMIF(Abril!$B$3:$B$98,A312,Abril!$S$3:$S$98)+SUMIF(Abril!$C$3:$C$98,A312,Abril!$S$3:$S$98)</f>
        <v>667245</v>
      </c>
    </row>
    <row r="313" spans="1:19" ht="15" x14ac:dyDescent="0.25">
      <c r="A313" s="153">
        <v>98311</v>
      </c>
      <c r="B313" s="147" t="s">
        <v>628</v>
      </c>
      <c r="C313" s="134" t="s">
        <v>250</v>
      </c>
      <c r="D313" s="134" t="s">
        <v>172</v>
      </c>
      <c r="E313" s="134" t="s">
        <v>176</v>
      </c>
      <c r="F313" s="134" t="s">
        <v>177</v>
      </c>
      <c r="G313" s="134" t="s">
        <v>629</v>
      </c>
      <c r="H313" s="134" t="s">
        <v>176</v>
      </c>
      <c r="I313" s="135">
        <v>173050</v>
      </c>
      <c r="J313" s="135"/>
      <c r="K313" s="134" t="s">
        <v>630</v>
      </c>
      <c r="L313" s="210">
        <f>I313+J313*EERR!$D$2</f>
        <v>173050</v>
      </c>
      <c r="M313" s="136">
        <f>L313/EERR!$D$2</f>
        <v>263.90032634885779</v>
      </c>
      <c r="N313" s="136">
        <f>SUMIF(Abril!$B$3:$B$98,A313,Abril!$S$3:$S$98)+SUMIF(Abril!$C$3:$C$98,A313,Abril!$S$3:$S$98)</f>
        <v>344267</v>
      </c>
    </row>
    <row r="314" spans="1:19" ht="15" x14ac:dyDescent="0.25">
      <c r="A314" s="153">
        <v>5635</v>
      </c>
      <c r="B314" s="147" t="s">
        <v>628</v>
      </c>
      <c r="C314" s="134" t="s">
        <v>251</v>
      </c>
      <c r="D314" s="134" t="s">
        <v>172</v>
      </c>
      <c r="E314" s="134" t="s">
        <v>173</v>
      </c>
      <c r="F314" s="134" t="s">
        <v>178</v>
      </c>
      <c r="G314" s="134" t="s">
        <v>631</v>
      </c>
      <c r="H314" s="134" t="s">
        <v>175</v>
      </c>
      <c r="I314" s="135"/>
      <c r="J314" s="135">
        <v>220</v>
      </c>
      <c r="K314" s="134" t="s">
        <v>632</v>
      </c>
      <c r="L314" s="210">
        <f>I314+J314*EERR!$D$2</f>
        <v>144262.79999999999</v>
      </c>
      <c r="M314" s="136">
        <f>L314/EERR!$D$2</f>
        <v>219.99999999999997</v>
      </c>
      <c r="N314" s="136">
        <f>SUMIF(Abril!$B$3:$B$98,A314,Abril!$S$3:$S$98)+SUMIF(Abril!$C$3:$C$98,A314,Abril!$S$3:$S$98)</f>
        <v>0</v>
      </c>
    </row>
    <row r="315" spans="1:19" ht="15" x14ac:dyDescent="0.25">
      <c r="A315" s="153">
        <v>96833</v>
      </c>
      <c r="B315" s="147" t="s">
        <v>633</v>
      </c>
      <c r="C315" s="134" t="s">
        <v>251</v>
      </c>
      <c r="D315" s="134" t="s">
        <v>172</v>
      </c>
      <c r="E315" s="134" t="s">
        <v>173</v>
      </c>
      <c r="F315" s="134" t="s">
        <v>178</v>
      </c>
      <c r="G315" s="134" t="s">
        <v>634</v>
      </c>
      <c r="H315" s="134" t="s">
        <v>175</v>
      </c>
      <c r="I315" s="135"/>
      <c r="J315" s="135">
        <v>220</v>
      </c>
      <c r="K315" s="134" t="s">
        <v>635</v>
      </c>
      <c r="L315" s="210">
        <f>I315+J315*EERR!$D$2</f>
        <v>144262.79999999999</v>
      </c>
      <c r="M315" s="136">
        <f>L315/EERR!$D$2</f>
        <v>219.99999999999997</v>
      </c>
      <c r="N315" s="136">
        <f>SUMIF(Abril!$B$3:$B$98,A315,Abril!$S$3:$S$98)+SUMIF(Abril!$C$3:$C$98,A315,Abril!$S$3:$S$98)</f>
        <v>0</v>
      </c>
    </row>
    <row r="316" spans="1:19" ht="15" x14ac:dyDescent="0.25">
      <c r="A316" s="153">
        <v>89660</v>
      </c>
      <c r="B316" s="147" t="s">
        <v>636</v>
      </c>
      <c r="C316" s="134" t="s">
        <v>251</v>
      </c>
      <c r="D316" s="134" t="s">
        <v>172</v>
      </c>
      <c r="E316" s="134" t="s">
        <v>173</v>
      </c>
      <c r="F316" s="134" t="s">
        <v>174</v>
      </c>
      <c r="G316" s="134" t="s">
        <v>637</v>
      </c>
      <c r="H316" s="134" t="s">
        <v>175</v>
      </c>
      <c r="I316" s="135"/>
      <c r="J316" s="135">
        <v>220</v>
      </c>
      <c r="K316" s="134" t="s">
        <v>638</v>
      </c>
      <c r="L316" s="210">
        <f>I316+J316*EERR!$D$2</f>
        <v>144262.79999999999</v>
      </c>
      <c r="M316" s="136">
        <f>L316/EERR!$D$2</f>
        <v>219.99999999999997</v>
      </c>
      <c r="N316" s="136">
        <f>SUMIF(Abril!$B$3:$B$98,A316,Abril!$S$3:$S$98)+SUMIF(Abril!$C$3:$C$98,A316,Abril!$S$3:$S$98)</f>
        <v>0</v>
      </c>
    </row>
    <row r="317" spans="1:19" ht="15" x14ac:dyDescent="0.25">
      <c r="A317" s="153">
        <v>37093</v>
      </c>
      <c r="B317" s="147" t="s">
        <v>639</v>
      </c>
      <c r="C317" s="134" t="s">
        <v>251</v>
      </c>
      <c r="D317" s="134" t="s">
        <v>172</v>
      </c>
      <c r="E317" s="134" t="s">
        <v>173</v>
      </c>
      <c r="F317" s="134" t="s">
        <v>177</v>
      </c>
      <c r="G317" s="134" t="s">
        <v>640</v>
      </c>
      <c r="H317" s="134" t="s">
        <v>175</v>
      </c>
      <c r="I317" s="135"/>
      <c r="J317" s="135">
        <v>741</v>
      </c>
      <c r="K317" s="134" t="s">
        <v>641</v>
      </c>
      <c r="L317" s="210">
        <f>I317+J317*EERR!$D$2</f>
        <v>485903.34</v>
      </c>
      <c r="M317" s="136">
        <f>L317/EERR!$D$2</f>
        <v>741</v>
      </c>
      <c r="N317" s="136">
        <f>SUMIF(Abril!$B$3:$B$98,A317,Abril!$S$3:$S$98)+SUMIF(Abril!$C$3:$C$98,A317,Abril!$S$3:$S$98)</f>
        <v>0</v>
      </c>
    </row>
    <row r="318" spans="1:19" ht="15" x14ac:dyDescent="0.25">
      <c r="A318" s="153">
        <v>4251</v>
      </c>
      <c r="B318" s="147" t="s">
        <v>642</v>
      </c>
      <c r="C318" s="134" t="s">
        <v>250</v>
      </c>
      <c r="D318" s="134" t="s">
        <v>172</v>
      </c>
      <c r="E318" s="134" t="s">
        <v>176</v>
      </c>
      <c r="F318" s="134" t="s">
        <v>305</v>
      </c>
      <c r="G318" s="134" t="s">
        <v>425</v>
      </c>
      <c r="H318" s="134" t="s">
        <v>176</v>
      </c>
      <c r="I318" s="135">
        <v>276093</v>
      </c>
      <c r="J318" s="135"/>
      <c r="K318" s="134" t="s">
        <v>643</v>
      </c>
      <c r="L318" s="210">
        <f>I318+J318*EERR!$D$2</f>
        <v>276093</v>
      </c>
      <c r="M318" s="136">
        <f>L318/EERR!$D$2</f>
        <v>421.04035135877024</v>
      </c>
      <c r="N318" s="136">
        <f>SUMIF(Abril!$B$3:$B$98,A318,Abril!$S$3:$S$98)+SUMIF(Abril!$C$3:$C$98,A318,Abril!$S$3:$S$98)</f>
        <v>0</v>
      </c>
    </row>
    <row r="319" spans="1:19" ht="15" x14ac:dyDescent="0.25">
      <c r="A319" s="153">
        <v>68401</v>
      </c>
      <c r="B319" s="147" t="s">
        <v>644</v>
      </c>
      <c r="C319" s="134" t="s">
        <v>251</v>
      </c>
      <c r="D319" s="134" t="s">
        <v>172</v>
      </c>
      <c r="E319" s="134" t="s">
        <v>173</v>
      </c>
      <c r="F319" s="134" t="s">
        <v>178</v>
      </c>
      <c r="G319" s="134" t="s">
        <v>645</v>
      </c>
      <c r="H319" s="134" t="s">
        <v>175</v>
      </c>
      <c r="I319" s="135"/>
      <c r="J319" s="135">
        <v>390</v>
      </c>
      <c r="K319" s="134" t="s">
        <v>646</v>
      </c>
      <c r="L319" s="210">
        <f>I319+J319*EERR!$D$2</f>
        <v>255738.6</v>
      </c>
      <c r="M319" s="136">
        <f>L319/EERR!$D$2</f>
        <v>390</v>
      </c>
      <c r="N319" s="136">
        <f>SUMIF(Abril!$B$3:$B$98,A319,Abril!$S$3:$S$98)+SUMIF(Abril!$C$3:$C$98,A319,Abril!$S$3:$S$98)</f>
        <v>0</v>
      </c>
    </row>
    <row r="320" spans="1:19" ht="15" x14ac:dyDescent="0.25">
      <c r="A320" s="153">
        <v>3061</v>
      </c>
      <c r="B320" s="147" t="s">
        <v>647</v>
      </c>
      <c r="C320" s="134" t="s">
        <v>251</v>
      </c>
      <c r="D320" s="134" t="s">
        <v>172</v>
      </c>
      <c r="E320" s="134" t="s">
        <v>173</v>
      </c>
      <c r="F320" s="134" t="s">
        <v>174</v>
      </c>
      <c r="G320" s="134" t="s">
        <v>648</v>
      </c>
      <c r="H320" s="134" t="s">
        <v>175</v>
      </c>
      <c r="I320" s="135"/>
      <c r="J320" s="135">
        <v>351</v>
      </c>
      <c r="K320" s="134" t="s">
        <v>649</v>
      </c>
      <c r="L320" s="210">
        <f>I320+J320*EERR!$D$2</f>
        <v>230164.74</v>
      </c>
      <c r="M320" s="136">
        <f>L320/EERR!$D$2</f>
        <v>351</v>
      </c>
      <c r="N320" s="136">
        <f>SUMIF(Abril!$B$3:$B$98,A320,Abril!$S$3:$S$98)+SUMIF(Abril!$C$3:$C$98,A320,Abril!$S$3:$S$98)</f>
        <v>0</v>
      </c>
      <c r="R320" s="70" t="s">
        <v>262</v>
      </c>
      <c r="S320" s="70" t="s">
        <v>263</v>
      </c>
    </row>
    <row r="321" spans="1:17" ht="15" x14ac:dyDescent="0.25">
      <c r="A321" s="153">
        <v>12391</v>
      </c>
      <c r="B321" s="147" t="s">
        <v>650</v>
      </c>
      <c r="C321" s="134" t="s">
        <v>251</v>
      </c>
      <c r="D321" s="134" t="s">
        <v>172</v>
      </c>
      <c r="E321" s="134" t="s">
        <v>173</v>
      </c>
      <c r="F321" s="134" t="s">
        <v>178</v>
      </c>
      <c r="G321" s="134" t="s">
        <v>651</v>
      </c>
      <c r="H321" s="134" t="s">
        <v>175</v>
      </c>
      <c r="I321" s="135"/>
      <c r="J321" s="135">
        <v>660</v>
      </c>
      <c r="K321" s="134" t="s">
        <v>652</v>
      </c>
      <c r="L321" s="210">
        <f>I321+J321*EERR!$D$2</f>
        <v>432788.4</v>
      </c>
      <c r="M321" s="136">
        <f>L321/EERR!$D$2</f>
        <v>660</v>
      </c>
      <c r="N321" s="136">
        <f>SUMIF(Abril!$B$3:$B$98,A321,Abril!$S$3:$S$98)+SUMIF(Abril!$C$3:$C$98,A321,Abril!$S$3:$S$98)</f>
        <v>0</v>
      </c>
    </row>
    <row r="322" spans="1:17" ht="15" x14ac:dyDescent="0.25">
      <c r="A322" s="153"/>
      <c r="B322" s="147">
        <v>42813</v>
      </c>
      <c r="C322" s="134">
        <v>30975278</v>
      </c>
      <c r="D322" s="134" t="s">
        <v>172</v>
      </c>
      <c r="E322" s="134" t="s">
        <v>375</v>
      </c>
      <c r="F322" s="134" t="s">
        <v>178</v>
      </c>
      <c r="G322" s="134" t="s">
        <v>651</v>
      </c>
      <c r="H322" s="134" t="s">
        <v>175</v>
      </c>
      <c r="I322" s="135"/>
      <c r="J322" s="135">
        <v>-660</v>
      </c>
      <c r="K322" s="134">
        <v>3138</v>
      </c>
      <c r="L322" s="210">
        <f>I322+J322*EERR!$D$2</f>
        <v>-432788.4</v>
      </c>
      <c r="M322" s="136">
        <f>L322/EERR!$D$2</f>
        <v>-660</v>
      </c>
      <c r="N322" s="136">
        <f>SUMIF(Abril!$B$3:$B$98,A322,Abril!$S$3:$S$98)+SUMIF(Abril!$C$3:$C$98,A322,Abril!$S$3:$S$98)</f>
        <v>0</v>
      </c>
    </row>
    <row r="323" spans="1:17" ht="15" x14ac:dyDescent="0.25">
      <c r="A323" s="153">
        <v>8656</v>
      </c>
      <c r="B323" s="147" t="s">
        <v>653</v>
      </c>
      <c r="C323" s="134" t="s">
        <v>251</v>
      </c>
      <c r="D323" s="134" t="s">
        <v>172</v>
      </c>
      <c r="E323" s="134" t="s">
        <v>173</v>
      </c>
      <c r="F323" s="134" t="s">
        <v>177</v>
      </c>
      <c r="G323" s="134" t="s">
        <v>654</v>
      </c>
      <c r="H323" s="134" t="s">
        <v>175</v>
      </c>
      <c r="I323" s="135"/>
      <c r="J323" s="135">
        <v>220</v>
      </c>
      <c r="K323" s="134" t="s">
        <v>655</v>
      </c>
      <c r="L323" s="210">
        <f>I323+J323*EERR!$D$2</f>
        <v>144262.79999999999</v>
      </c>
      <c r="M323" s="136">
        <f>L323/EERR!$D$2</f>
        <v>219.99999999999997</v>
      </c>
      <c r="N323" s="136">
        <f>SUMIF(Abril!$B$3:$B$98,A323,Abril!$S$3:$S$98)+SUMIF(Abril!$C$3:$C$98,A323,Abril!$S$3:$S$98)</f>
        <v>0</v>
      </c>
    </row>
    <row r="324" spans="1:17" ht="15" x14ac:dyDescent="0.25">
      <c r="A324" s="153">
        <v>8402</v>
      </c>
      <c r="B324" s="147" t="s">
        <v>656</v>
      </c>
      <c r="C324" s="134" t="s">
        <v>250</v>
      </c>
      <c r="D324" s="134" t="s">
        <v>172</v>
      </c>
      <c r="E324" s="134" t="s">
        <v>176</v>
      </c>
      <c r="F324" s="134" t="s">
        <v>177</v>
      </c>
      <c r="G324" s="134" t="s">
        <v>478</v>
      </c>
      <c r="H324" s="134" t="s">
        <v>176</v>
      </c>
      <c r="I324" s="135">
        <v>306770</v>
      </c>
      <c r="J324" s="135"/>
      <c r="K324" s="134" t="s">
        <v>657</v>
      </c>
      <c r="L324" s="210">
        <f>I324+J324*EERR!$D$2</f>
        <v>306770</v>
      </c>
      <c r="M324" s="136">
        <f>L324/EERR!$D$2</f>
        <v>467.82261262085581</v>
      </c>
      <c r="N324" s="136">
        <f>SUMIF(Abril!$B$3:$B$98,A324,Abril!$S$3:$S$98)+SUMIF(Abril!$C$3:$C$98,A324,Abril!$S$3:$S$98)</f>
        <v>0</v>
      </c>
    </row>
    <row r="325" spans="1:17" ht="15" x14ac:dyDescent="0.25">
      <c r="A325" s="153">
        <v>9932</v>
      </c>
      <c r="B325" s="147" t="s">
        <v>658</v>
      </c>
      <c r="C325" s="134" t="s">
        <v>251</v>
      </c>
      <c r="D325" s="134" t="s">
        <v>172</v>
      </c>
      <c r="E325" s="134" t="s">
        <v>173</v>
      </c>
      <c r="F325" s="134" t="s">
        <v>177</v>
      </c>
      <c r="G325" s="134" t="s">
        <v>659</v>
      </c>
      <c r="H325" s="134" t="s">
        <v>175</v>
      </c>
      <c r="I325" s="135"/>
      <c r="J325" s="135">
        <v>342</v>
      </c>
      <c r="K325" s="134" t="s">
        <v>660</v>
      </c>
      <c r="L325" s="210">
        <f>I325+J325*EERR!$D$2</f>
        <v>224263.08000000002</v>
      </c>
      <c r="M325" s="136">
        <f>L325/EERR!$D$2</f>
        <v>342</v>
      </c>
      <c r="N325" s="136">
        <f>SUMIF(Abril!$B$3:$B$98,A325,Abril!$S$3:$S$98)+SUMIF(Abril!$C$3:$C$98,A325,Abril!$S$3:$S$98)</f>
        <v>0</v>
      </c>
    </row>
    <row r="326" spans="1:17" ht="15" x14ac:dyDescent="0.25">
      <c r="A326" s="153">
        <v>25590</v>
      </c>
      <c r="B326" s="147" t="s">
        <v>661</v>
      </c>
      <c r="C326" s="134" t="s">
        <v>251</v>
      </c>
      <c r="D326" s="134" t="s">
        <v>172</v>
      </c>
      <c r="E326" s="134" t="s">
        <v>173</v>
      </c>
      <c r="F326" s="134" t="s">
        <v>178</v>
      </c>
      <c r="G326" s="134" t="s">
        <v>662</v>
      </c>
      <c r="H326" s="134" t="s">
        <v>175</v>
      </c>
      <c r="I326" s="135"/>
      <c r="J326" s="135">
        <v>190</v>
      </c>
      <c r="K326" s="134" t="s">
        <v>663</v>
      </c>
      <c r="L326" s="210">
        <f>I326+J326*EERR!$D$2</f>
        <v>124590.6</v>
      </c>
      <c r="M326" s="136">
        <f>L326/EERR!$D$2</f>
        <v>190</v>
      </c>
      <c r="N326" s="136">
        <f>SUMIF(Abril!$B$3:$B$98,A326,Abril!$S$3:$S$98)+SUMIF(Abril!$C$3:$C$98,A326,Abril!$S$3:$S$98)</f>
        <v>0</v>
      </c>
    </row>
    <row r="327" spans="1:17" ht="15" x14ac:dyDescent="0.25">
      <c r="A327" s="153">
        <v>2825</v>
      </c>
      <c r="B327" s="147" t="s">
        <v>664</v>
      </c>
      <c r="C327" s="134" t="s">
        <v>250</v>
      </c>
      <c r="D327" s="134" t="s">
        <v>172</v>
      </c>
      <c r="E327" s="134" t="s">
        <v>176</v>
      </c>
      <c r="F327" s="134" t="s">
        <v>177</v>
      </c>
      <c r="G327" s="134" t="s">
        <v>645</v>
      </c>
      <c r="H327" s="134" t="s">
        <v>176</v>
      </c>
      <c r="I327" s="135">
        <v>2000</v>
      </c>
      <c r="J327" s="135"/>
      <c r="K327" s="134" t="s">
        <v>665</v>
      </c>
      <c r="L327" s="210">
        <f>I327+J327*EERR!$D$2</f>
        <v>2000</v>
      </c>
      <c r="M327" s="136">
        <f>L327/EERR!$D$2</f>
        <v>3.0499893250373624</v>
      </c>
      <c r="N327" s="136">
        <f>SUMIF(Abril!$B$3:$B$98,A327,Abril!$S$3:$S$98)+SUMIF(Abril!$C$3:$C$98,A327,Abril!$S$3:$S$98)</f>
        <v>0</v>
      </c>
    </row>
    <row r="328" spans="1:17" ht="15" x14ac:dyDescent="0.25">
      <c r="A328" s="153">
        <v>92549</v>
      </c>
      <c r="B328" s="147" t="s">
        <v>666</v>
      </c>
      <c r="C328" s="134" t="s">
        <v>250</v>
      </c>
      <c r="D328" s="134" t="s">
        <v>172</v>
      </c>
      <c r="E328" s="134" t="s">
        <v>176</v>
      </c>
      <c r="F328" s="134" t="s">
        <v>177</v>
      </c>
      <c r="G328" s="134" t="s">
        <v>667</v>
      </c>
      <c r="H328" s="134" t="s">
        <v>176</v>
      </c>
      <c r="I328" s="135">
        <v>149678</v>
      </c>
      <c r="J328" s="135"/>
      <c r="K328" s="134" t="s">
        <v>668</v>
      </c>
      <c r="L328" s="210">
        <f>I328+J328*EERR!$D$2</f>
        <v>149678</v>
      </c>
      <c r="M328" s="136">
        <f>L328/EERR!$D$2</f>
        <v>228.25815109647115</v>
      </c>
      <c r="N328" s="136">
        <f>SUMIF(Abril!$B$3:$B$98,A328,Abril!$S$3:$S$98)+SUMIF(Abril!$C$3:$C$98,A328,Abril!$S$3:$S$98)</f>
        <v>0</v>
      </c>
    </row>
    <row r="329" spans="1:17" ht="15" x14ac:dyDescent="0.25">
      <c r="A329" s="153">
        <v>7910</v>
      </c>
      <c r="B329" s="147" t="s">
        <v>669</v>
      </c>
      <c r="C329" s="134" t="s">
        <v>251</v>
      </c>
      <c r="D329" s="134" t="s">
        <v>172</v>
      </c>
      <c r="E329" s="134" t="s">
        <v>173</v>
      </c>
      <c r="F329" s="134" t="s">
        <v>178</v>
      </c>
      <c r="G329" s="134" t="s">
        <v>552</v>
      </c>
      <c r="H329" s="134" t="s">
        <v>175</v>
      </c>
      <c r="I329" s="135"/>
      <c r="J329" s="135">
        <v>780</v>
      </c>
      <c r="K329" s="134" t="s">
        <v>670</v>
      </c>
      <c r="L329" s="210">
        <f>I329+J329*EERR!$D$2</f>
        <v>511477.2</v>
      </c>
      <c r="M329" s="136">
        <f>L329/EERR!$D$2</f>
        <v>780</v>
      </c>
      <c r="N329" s="136">
        <f>SUMIF(Abril!$B$3:$B$98,A329,Abril!$S$3:$S$98)+SUMIF(Abril!$C$3:$C$98,A329,Abril!$S$3:$S$98)</f>
        <v>0</v>
      </c>
    </row>
    <row r="330" spans="1:17" ht="15" x14ac:dyDescent="0.25">
      <c r="A330" s="153">
        <v>25590</v>
      </c>
      <c r="B330" s="147" t="s">
        <v>671</v>
      </c>
      <c r="C330" s="134" t="s">
        <v>251</v>
      </c>
      <c r="D330" s="134" t="s">
        <v>172</v>
      </c>
      <c r="E330" s="134" t="s">
        <v>173</v>
      </c>
      <c r="F330" s="134" t="s">
        <v>178</v>
      </c>
      <c r="G330" s="134" t="s">
        <v>672</v>
      </c>
      <c r="H330" s="134" t="s">
        <v>175</v>
      </c>
      <c r="I330" s="135"/>
      <c r="J330" s="135">
        <v>575</v>
      </c>
      <c r="K330" s="134" t="s">
        <v>673</v>
      </c>
      <c r="L330" s="210">
        <f>I330+J330*EERR!$D$2</f>
        <v>377050.5</v>
      </c>
      <c r="M330" s="136">
        <f>L330/EERR!$D$2</f>
        <v>575</v>
      </c>
      <c r="N330" s="136">
        <f>SUMIF(Abril!$B$3:$B$98,A330,Abril!$S$3:$S$98)+SUMIF(Abril!$C$3:$C$98,A330,Abril!$S$3:$S$98)</f>
        <v>0</v>
      </c>
    </row>
    <row r="331" spans="1:17" ht="15" x14ac:dyDescent="0.25">
      <c r="A331" s="153">
        <v>75781</v>
      </c>
      <c r="B331" s="147" t="s">
        <v>674</v>
      </c>
      <c r="C331" s="134" t="s">
        <v>251</v>
      </c>
      <c r="D331" s="134" t="s">
        <v>172</v>
      </c>
      <c r="E331" s="134" t="s">
        <v>173</v>
      </c>
      <c r="F331" s="134" t="s">
        <v>178</v>
      </c>
      <c r="G331" s="134" t="s">
        <v>675</v>
      </c>
      <c r="H331" s="134" t="s">
        <v>175</v>
      </c>
      <c r="I331" s="135"/>
      <c r="J331" s="135">
        <v>195</v>
      </c>
      <c r="K331" s="134" t="s">
        <v>676</v>
      </c>
      <c r="L331" s="210">
        <f>I331+J331*EERR!$D$2</f>
        <v>127869.3</v>
      </c>
      <c r="M331" s="136">
        <f>L331/EERR!$D$2</f>
        <v>195</v>
      </c>
      <c r="N331" s="136">
        <f>SUMIF(Abril!$B$3:$B$98,A331,Abril!$S$3:$S$98)+SUMIF(Abril!$C$3:$C$98,A331,Abril!$S$3:$S$98)</f>
        <v>0</v>
      </c>
    </row>
    <row r="332" spans="1:17" ht="15" x14ac:dyDescent="0.25">
      <c r="A332" s="153">
        <v>88919</v>
      </c>
      <c r="B332" s="147" t="s">
        <v>677</v>
      </c>
      <c r="C332" s="134" t="s">
        <v>251</v>
      </c>
      <c r="D332" s="134" t="s">
        <v>172</v>
      </c>
      <c r="E332" s="134" t="s">
        <v>173</v>
      </c>
      <c r="F332" s="134" t="s">
        <v>177</v>
      </c>
      <c r="G332" s="134" t="s">
        <v>678</v>
      </c>
      <c r="H332" s="134" t="s">
        <v>175</v>
      </c>
      <c r="I332" s="135"/>
      <c r="J332" s="135">
        <v>195</v>
      </c>
      <c r="K332" s="134" t="s">
        <v>679</v>
      </c>
      <c r="L332" s="210">
        <f>I332+J332*EERR!$D$2</f>
        <v>127869.3</v>
      </c>
      <c r="M332" s="136">
        <f>L332/EERR!$D$2</f>
        <v>195</v>
      </c>
      <c r="N332" s="136">
        <f>SUMIF(Abril!$B$3:$B$98,A332,Abril!$S$3:$S$98)+SUMIF(Abril!$C$3:$C$98,A332,Abril!$S$3:$S$98)</f>
        <v>0</v>
      </c>
    </row>
    <row r="333" spans="1:17" ht="15" x14ac:dyDescent="0.25">
      <c r="A333" s="153">
        <v>75781</v>
      </c>
      <c r="B333" s="147" t="s">
        <v>680</v>
      </c>
      <c r="C333" s="134" t="s">
        <v>251</v>
      </c>
      <c r="D333" s="134" t="s">
        <v>172</v>
      </c>
      <c r="E333" s="134" t="s">
        <v>173</v>
      </c>
      <c r="F333" s="134" t="s">
        <v>178</v>
      </c>
      <c r="G333" s="134" t="s">
        <v>675</v>
      </c>
      <c r="H333" s="134" t="s">
        <v>175</v>
      </c>
      <c r="I333" s="135"/>
      <c r="J333" s="135">
        <v>25</v>
      </c>
      <c r="K333" s="134" t="s">
        <v>681</v>
      </c>
      <c r="L333" s="210">
        <f>I333+J333*EERR!$D$2</f>
        <v>16393.5</v>
      </c>
      <c r="M333" s="136">
        <f>L333/EERR!$D$2</f>
        <v>25</v>
      </c>
      <c r="N333" s="136">
        <f>SUMIF(Abril!$B$3:$B$98,A333,Abril!$S$3:$S$98)+SUMIF(Abril!$C$3:$C$98,A333,Abril!$S$3:$S$98)</f>
        <v>0</v>
      </c>
      <c r="Q333" s="70" t="s">
        <v>337</v>
      </c>
    </row>
    <row r="334" spans="1:17" ht="15" x14ac:dyDescent="0.25">
      <c r="A334" s="153">
        <v>17760</v>
      </c>
      <c r="B334" s="147" t="s">
        <v>682</v>
      </c>
      <c r="C334" s="134" t="s">
        <v>251</v>
      </c>
      <c r="D334" s="134" t="s">
        <v>172</v>
      </c>
      <c r="E334" s="134" t="s">
        <v>173</v>
      </c>
      <c r="F334" s="134" t="s">
        <v>177</v>
      </c>
      <c r="G334" s="134" t="s">
        <v>683</v>
      </c>
      <c r="H334" s="134" t="s">
        <v>175</v>
      </c>
      <c r="I334" s="135"/>
      <c r="J334" s="135">
        <v>195</v>
      </c>
      <c r="K334" s="134" t="s">
        <v>684</v>
      </c>
      <c r="L334" s="210">
        <f>I334+J334*EERR!$D$2</f>
        <v>127869.3</v>
      </c>
      <c r="M334" s="136">
        <f>L334/EERR!$D$2</f>
        <v>195</v>
      </c>
      <c r="N334" s="136">
        <f>SUMIF(Abril!$B$3:$B$98,A334,Abril!$S$3:$S$98)+SUMIF(Abril!$C$3:$C$98,A334,Abril!$S$3:$S$98)</f>
        <v>0</v>
      </c>
    </row>
    <row r="335" spans="1:17" ht="15" x14ac:dyDescent="0.25">
      <c r="A335" s="153">
        <v>6648</v>
      </c>
      <c r="B335" s="147" t="s">
        <v>685</v>
      </c>
      <c r="C335" s="134" t="s">
        <v>251</v>
      </c>
      <c r="D335" s="134" t="s">
        <v>172</v>
      </c>
      <c r="E335" s="134" t="s">
        <v>173</v>
      </c>
      <c r="F335" s="134" t="s">
        <v>178</v>
      </c>
      <c r="G335" s="134" t="s">
        <v>686</v>
      </c>
      <c r="H335" s="134" t="s">
        <v>175</v>
      </c>
      <c r="I335" s="135"/>
      <c r="J335" s="135">
        <v>180</v>
      </c>
      <c r="K335" s="134" t="s">
        <v>687</v>
      </c>
      <c r="L335" s="210">
        <f>I335+J335*EERR!$D$2</f>
        <v>118033.2</v>
      </c>
      <c r="M335" s="136">
        <f>L335/EERR!$D$2</f>
        <v>180</v>
      </c>
      <c r="N335" s="136">
        <f>SUMIF(Abril!$B$3:$B$98,A335,Abril!$S$3:$S$98)+SUMIF(Abril!$C$3:$C$98,A335,Abril!$S$3:$S$98)</f>
        <v>0</v>
      </c>
    </row>
    <row r="336" spans="1:17" ht="15" x14ac:dyDescent="0.25">
      <c r="A336" s="153">
        <v>91281</v>
      </c>
      <c r="B336" s="147" t="s">
        <v>688</v>
      </c>
      <c r="C336" s="134" t="s">
        <v>251</v>
      </c>
      <c r="D336" s="134" t="s">
        <v>172</v>
      </c>
      <c r="E336" s="134" t="s">
        <v>173</v>
      </c>
      <c r="F336" s="134" t="s">
        <v>178</v>
      </c>
      <c r="G336" s="134" t="s">
        <v>689</v>
      </c>
      <c r="H336" s="134" t="s">
        <v>175</v>
      </c>
      <c r="I336" s="135"/>
      <c r="J336" s="135">
        <v>195</v>
      </c>
      <c r="K336" s="134" t="s">
        <v>690</v>
      </c>
      <c r="L336" s="210">
        <f>I336+J336*EERR!$D$2</f>
        <v>127869.3</v>
      </c>
      <c r="M336" s="136">
        <f>L336/EERR!$D$2</f>
        <v>195</v>
      </c>
      <c r="N336" s="136">
        <f>SUMIF(Abril!$B$3:$B$98,A336,Abril!$S$3:$S$98)+SUMIF(Abril!$C$3:$C$98,A336,Abril!$S$3:$S$98)</f>
        <v>0</v>
      </c>
    </row>
    <row r="337" spans="1:14" ht="15" x14ac:dyDescent="0.25">
      <c r="A337" s="153">
        <v>58516</v>
      </c>
      <c r="B337" s="147" t="s">
        <v>691</v>
      </c>
      <c r="C337" s="134" t="s">
        <v>251</v>
      </c>
      <c r="D337" s="134" t="s">
        <v>172</v>
      </c>
      <c r="E337" s="134" t="s">
        <v>173</v>
      </c>
      <c r="F337" s="134" t="s">
        <v>177</v>
      </c>
      <c r="G337" s="134" t="s">
        <v>692</v>
      </c>
      <c r="H337" s="134" t="s">
        <v>175</v>
      </c>
      <c r="I337" s="135"/>
      <c r="J337" s="135">
        <v>195</v>
      </c>
      <c r="K337" s="134" t="s">
        <v>693</v>
      </c>
      <c r="L337" s="210">
        <f>I337+J337*EERR!$D$2</f>
        <v>127869.3</v>
      </c>
      <c r="M337" s="136">
        <f>L337/EERR!$D$2</f>
        <v>195</v>
      </c>
      <c r="N337" s="136">
        <f>SUMIF(Abril!$B$3:$B$98,A337,Abril!$S$3:$S$98)+SUMIF(Abril!$C$3:$C$98,A337,Abril!$S$3:$S$98)</f>
        <v>0</v>
      </c>
    </row>
    <row r="338" spans="1:14" ht="15" x14ac:dyDescent="0.25">
      <c r="A338" s="153">
        <v>88740</v>
      </c>
      <c r="B338" s="147" t="s">
        <v>694</v>
      </c>
      <c r="C338" s="134" t="s">
        <v>250</v>
      </c>
      <c r="D338" s="134" t="s">
        <v>172</v>
      </c>
      <c r="E338" s="134" t="s">
        <v>176</v>
      </c>
      <c r="F338" s="134" t="s">
        <v>178</v>
      </c>
      <c r="G338" s="134" t="s">
        <v>695</v>
      </c>
      <c r="H338" s="134" t="s">
        <v>176</v>
      </c>
      <c r="I338" s="135">
        <v>173573</v>
      </c>
      <c r="J338" s="135"/>
      <c r="K338" s="134" t="s">
        <v>696</v>
      </c>
      <c r="L338" s="210">
        <f>I338+J338*EERR!$D$2</f>
        <v>173573</v>
      </c>
      <c r="M338" s="136">
        <f>L338/EERR!$D$2</f>
        <v>264.69789855735502</v>
      </c>
      <c r="N338" s="136">
        <f>SUMIF(Abril!$B$3:$B$98,A338,Abril!$S$3:$S$98)+SUMIF(Abril!$C$3:$C$98,A338,Abril!$S$3:$S$98)</f>
        <v>520719</v>
      </c>
    </row>
    <row r="339" spans="1:14" ht="15" x14ac:dyDescent="0.25">
      <c r="A339" s="153">
        <v>69029</v>
      </c>
      <c r="B339" s="147" t="s">
        <v>697</v>
      </c>
      <c r="C339" s="134" t="s">
        <v>251</v>
      </c>
      <c r="D339" s="134" t="s">
        <v>172</v>
      </c>
      <c r="E339" s="134" t="s">
        <v>173</v>
      </c>
      <c r="F339" s="134" t="s">
        <v>178</v>
      </c>
      <c r="G339" s="134" t="s">
        <v>698</v>
      </c>
      <c r="H339" s="134" t="s">
        <v>175</v>
      </c>
      <c r="I339" s="135"/>
      <c r="J339" s="135">
        <v>209</v>
      </c>
      <c r="K339" s="134" t="s">
        <v>699</v>
      </c>
      <c r="L339" s="210">
        <f>I339+J339*EERR!$D$2</f>
        <v>137049.66</v>
      </c>
      <c r="M339" s="136">
        <f>L339/EERR!$D$2</f>
        <v>209</v>
      </c>
      <c r="N339" s="136">
        <f>SUMIF(Abril!$B$3:$B$98,A339,Abril!$S$3:$S$98)+SUMIF(Abril!$C$3:$C$98,A339,Abril!$S$3:$S$98)</f>
        <v>0</v>
      </c>
    </row>
    <row r="340" spans="1:14" ht="15" x14ac:dyDescent="0.25">
      <c r="A340" s="153">
        <v>99400</v>
      </c>
      <c r="B340" s="147" t="s">
        <v>700</v>
      </c>
      <c r="C340" s="134" t="s">
        <v>250</v>
      </c>
      <c r="D340" s="134" t="s">
        <v>172</v>
      </c>
      <c r="E340" s="134" t="s">
        <v>176</v>
      </c>
      <c r="F340" s="134" t="s">
        <v>177</v>
      </c>
      <c r="G340" s="134" t="s">
        <v>701</v>
      </c>
      <c r="H340" s="134" t="s">
        <v>176</v>
      </c>
      <c r="I340" s="135">
        <v>173573</v>
      </c>
      <c r="J340" s="135"/>
      <c r="K340" s="134" t="s">
        <v>702</v>
      </c>
      <c r="L340" s="210">
        <f>I340+J340*EERR!$D$2</f>
        <v>173573</v>
      </c>
      <c r="M340" s="136">
        <f>L340/EERR!$D$2</f>
        <v>264.69789855735502</v>
      </c>
      <c r="N340" s="136">
        <f>SUMIF(Abril!$B$3:$B$98,A340,Abril!$S$3:$S$98)+SUMIF(Abril!$C$3:$C$98,A340,Abril!$S$3:$S$98)</f>
        <v>310158</v>
      </c>
    </row>
    <row r="341" spans="1:14" ht="15" x14ac:dyDescent="0.25">
      <c r="A341" s="153">
        <v>29125</v>
      </c>
      <c r="B341" s="147" t="s">
        <v>703</v>
      </c>
      <c r="C341" s="134" t="s">
        <v>251</v>
      </c>
      <c r="D341" s="134" t="s">
        <v>172</v>
      </c>
      <c r="E341" s="134" t="s">
        <v>173</v>
      </c>
      <c r="F341" s="134" t="s">
        <v>177</v>
      </c>
      <c r="G341" s="134" t="s">
        <v>704</v>
      </c>
      <c r="H341" s="134" t="s">
        <v>175</v>
      </c>
      <c r="I341" s="135"/>
      <c r="J341" s="135">
        <v>220</v>
      </c>
      <c r="K341" s="134" t="s">
        <v>705</v>
      </c>
      <c r="L341" s="210">
        <f>I341+J341*EERR!$D$2</f>
        <v>144262.79999999999</v>
      </c>
      <c r="M341" s="136">
        <f>L341/EERR!$D$2</f>
        <v>219.99999999999997</v>
      </c>
      <c r="N341" s="136">
        <f>SUMIF(Abril!$B$3:$B$98,A341,Abril!$S$3:$S$98)+SUMIF(Abril!$C$3:$C$98,A341,Abril!$S$3:$S$98)</f>
        <v>0</v>
      </c>
    </row>
    <row r="342" spans="1:14" ht="15" x14ac:dyDescent="0.25">
      <c r="A342" s="153">
        <v>3877</v>
      </c>
      <c r="B342" s="147" t="s">
        <v>706</v>
      </c>
      <c r="C342" s="134" t="s">
        <v>251</v>
      </c>
      <c r="D342" s="134" t="s">
        <v>172</v>
      </c>
      <c r="E342" s="134" t="s">
        <v>173</v>
      </c>
      <c r="F342" s="134" t="s">
        <v>178</v>
      </c>
      <c r="G342" s="134" t="s">
        <v>707</v>
      </c>
      <c r="H342" s="134" t="s">
        <v>175</v>
      </c>
      <c r="I342" s="135"/>
      <c r="J342" s="135">
        <v>220</v>
      </c>
      <c r="K342" s="134" t="s">
        <v>708</v>
      </c>
      <c r="L342" s="210">
        <f>I342+J342*EERR!$D$2</f>
        <v>144262.79999999999</v>
      </c>
      <c r="M342" s="136">
        <f>L342/EERR!$D$2</f>
        <v>219.99999999999997</v>
      </c>
      <c r="N342" s="136">
        <f>SUMIF(Abril!$B$3:$B$98,A342,Abril!$S$3:$S$98)+SUMIF(Abril!$C$3:$C$98,A342,Abril!$S$3:$S$98)</f>
        <v>0</v>
      </c>
    </row>
    <row r="343" spans="1:14" ht="15" x14ac:dyDescent="0.25">
      <c r="A343" s="153">
        <v>83098</v>
      </c>
      <c r="B343" s="147" t="s">
        <v>709</v>
      </c>
      <c r="C343" s="134" t="s">
        <v>251</v>
      </c>
      <c r="D343" s="134" t="s">
        <v>172</v>
      </c>
      <c r="E343" s="134" t="s">
        <v>173</v>
      </c>
      <c r="F343" s="134" t="s">
        <v>177</v>
      </c>
      <c r="G343" s="134" t="s">
        <v>710</v>
      </c>
      <c r="H343" s="134" t="s">
        <v>175</v>
      </c>
      <c r="I343" s="135"/>
      <c r="J343" s="135">
        <v>195</v>
      </c>
      <c r="K343" s="134" t="s">
        <v>711</v>
      </c>
      <c r="L343" s="210">
        <f>I343+J343*EERR!$D$2</f>
        <v>127869.3</v>
      </c>
      <c r="M343" s="136">
        <f>L343/EERR!$D$2</f>
        <v>195</v>
      </c>
      <c r="N343" s="136">
        <f>SUMIF(Abril!$B$3:$B$98,A343,Abril!$S$3:$S$98)+SUMIF(Abril!$C$3:$C$98,A343,Abril!$S$3:$S$98)</f>
        <v>0</v>
      </c>
    </row>
    <row r="344" spans="1:14" ht="15" x14ac:dyDescent="0.25">
      <c r="A344" s="153">
        <v>61194</v>
      </c>
      <c r="B344" s="147" t="s">
        <v>712</v>
      </c>
      <c r="C344" s="134" t="s">
        <v>251</v>
      </c>
      <c r="D344" s="134" t="s">
        <v>172</v>
      </c>
      <c r="E344" s="134" t="s">
        <v>173</v>
      </c>
      <c r="F344" s="134" t="s">
        <v>177</v>
      </c>
      <c r="G344" s="134" t="s">
        <v>713</v>
      </c>
      <c r="H344" s="134" t="s">
        <v>175</v>
      </c>
      <c r="I344" s="135"/>
      <c r="J344" s="135">
        <v>195</v>
      </c>
      <c r="K344" s="134" t="s">
        <v>714</v>
      </c>
      <c r="L344" s="210">
        <f>I344+J344*EERR!$D$2</f>
        <v>127869.3</v>
      </c>
      <c r="M344" s="136">
        <f>L344/EERR!$D$2</f>
        <v>195</v>
      </c>
      <c r="N344" s="136">
        <f>SUMIF(Abril!$B$3:$B$98,A344,Abril!$S$3:$S$98)+SUMIF(Abril!$C$3:$C$98,A344,Abril!$S$3:$S$98)</f>
        <v>0</v>
      </c>
    </row>
    <row r="345" spans="1:14" ht="15" x14ac:dyDescent="0.25">
      <c r="A345" s="153">
        <v>66892</v>
      </c>
      <c r="B345" s="147" t="s">
        <v>715</v>
      </c>
      <c r="C345" s="134" t="s">
        <v>251</v>
      </c>
      <c r="D345" s="134" t="s">
        <v>172</v>
      </c>
      <c r="E345" s="134" t="s">
        <v>173</v>
      </c>
      <c r="F345" s="134" t="s">
        <v>174</v>
      </c>
      <c r="G345" s="134" t="s">
        <v>716</v>
      </c>
      <c r="H345" s="134" t="s">
        <v>175</v>
      </c>
      <c r="I345" s="135"/>
      <c r="J345" s="135">
        <v>390</v>
      </c>
      <c r="K345" s="134" t="s">
        <v>717</v>
      </c>
      <c r="L345" s="210">
        <f>I345+J345*EERR!$D$2</f>
        <v>255738.6</v>
      </c>
      <c r="M345" s="136">
        <f>L345/EERR!$D$2</f>
        <v>390</v>
      </c>
      <c r="N345" s="136">
        <f>SUMIF(Abril!$B$3:$B$98,A345,Abril!$S$3:$S$98)+SUMIF(Abril!$C$3:$C$98,A345,Abril!$S$3:$S$98)</f>
        <v>0</v>
      </c>
    </row>
    <row r="346" spans="1:14" ht="15" x14ac:dyDescent="0.25">
      <c r="A346" s="153">
        <v>48030</v>
      </c>
      <c r="B346" s="147" t="s">
        <v>718</v>
      </c>
      <c r="C346" s="134" t="s">
        <v>251</v>
      </c>
      <c r="D346" s="134" t="s">
        <v>172</v>
      </c>
      <c r="E346" s="134" t="s">
        <v>173</v>
      </c>
      <c r="F346" s="134" t="s">
        <v>177</v>
      </c>
      <c r="G346" s="134" t="s">
        <v>719</v>
      </c>
      <c r="H346" s="134" t="s">
        <v>175</v>
      </c>
      <c r="I346" s="135"/>
      <c r="J346" s="135">
        <v>185.25</v>
      </c>
      <c r="K346" s="134" t="s">
        <v>720</v>
      </c>
      <c r="L346" s="210">
        <f>I346+J346*EERR!$D$2</f>
        <v>121475.83500000001</v>
      </c>
      <c r="M346" s="136">
        <f>L346/EERR!$D$2</f>
        <v>185.25</v>
      </c>
      <c r="N346" s="136">
        <f>SUMIF(Abril!$B$3:$B$98,A346,Abril!$S$3:$S$98)+SUMIF(Abril!$C$3:$C$98,A346,Abril!$S$3:$S$98)</f>
        <v>0</v>
      </c>
    </row>
    <row r="347" spans="1:14" ht="15" x14ac:dyDescent="0.25">
      <c r="A347" s="153">
        <v>27904</v>
      </c>
      <c r="B347" s="147" t="s">
        <v>721</v>
      </c>
      <c r="C347" s="134" t="s">
        <v>250</v>
      </c>
      <c r="D347" s="134" t="s">
        <v>172</v>
      </c>
      <c r="E347" s="134" t="s">
        <v>176</v>
      </c>
      <c r="F347" s="134" t="s">
        <v>177</v>
      </c>
      <c r="G347" s="134" t="s">
        <v>722</v>
      </c>
      <c r="H347" s="134" t="s">
        <v>176</v>
      </c>
      <c r="I347" s="135">
        <v>173573</v>
      </c>
      <c r="J347" s="135"/>
      <c r="K347" s="134" t="s">
        <v>723</v>
      </c>
      <c r="L347" s="210">
        <f>I347+J347*EERR!$D$2</f>
        <v>173573</v>
      </c>
      <c r="M347" s="136">
        <f>L347/EERR!$D$2</f>
        <v>264.69789855735502</v>
      </c>
      <c r="N347" s="136">
        <f>SUMIF(Abril!$B$3:$B$98,A347,Abril!$S$3:$S$98)+SUMIF(Abril!$C$3:$C$98,A347,Abril!$S$3:$S$98)</f>
        <v>694292</v>
      </c>
    </row>
    <row r="348" spans="1:14" ht="15" x14ac:dyDescent="0.25">
      <c r="A348" s="153">
        <v>31359</v>
      </c>
      <c r="B348" s="147" t="s">
        <v>724</v>
      </c>
      <c r="C348" s="134" t="s">
        <v>250</v>
      </c>
      <c r="D348" s="134" t="s">
        <v>172</v>
      </c>
      <c r="E348" s="134" t="s">
        <v>176</v>
      </c>
      <c r="F348" s="134" t="s">
        <v>177</v>
      </c>
      <c r="G348" s="134" t="s">
        <v>725</v>
      </c>
      <c r="H348" s="134" t="s">
        <v>176</v>
      </c>
      <c r="I348" s="135">
        <v>173573</v>
      </c>
      <c r="J348" s="135"/>
      <c r="K348" s="134" t="s">
        <v>726</v>
      </c>
      <c r="L348" s="210">
        <f>I348+J348*EERR!$D$2</f>
        <v>173573</v>
      </c>
      <c r="M348" s="136">
        <f>L348/EERR!$D$2</f>
        <v>264.69789855735502</v>
      </c>
      <c r="N348" s="136">
        <f>SUMIF(Abril!$B$3:$B$98,A348,Abril!$S$3:$S$98)+SUMIF(Abril!$C$3:$C$98,A348,Abril!$S$3:$S$98)</f>
        <v>520719</v>
      </c>
    </row>
    <row r="349" spans="1:14" ht="15" x14ac:dyDescent="0.25">
      <c r="A349" s="153">
        <v>69367</v>
      </c>
      <c r="B349" s="147" t="s">
        <v>727</v>
      </c>
      <c r="C349" s="134" t="s">
        <v>251</v>
      </c>
      <c r="D349" s="134" t="s">
        <v>172</v>
      </c>
      <c r="E349" s="134" t="s">
        <v>173</v>
      </c>
      <c r="F349" s="134" t="s">
        <v>178</v>
      </c>
      <c r="G349" s="134" t="s">
        <v>728</v>
      </c>
      <c r="H349" s="134" t="s">
        <v>175</v>
      </c>
      <c r="I349" s="135"/>
      <c r="J349" s="135">
        <v>190</v>
      </c>
      <c r="K349" s="134" t="s">
        <v>729</v>
      </c>
      <c r="L349" s="210">
        <f>I349+J349*EERR!$D$2</f>
        <v>124590.6</v>
      </c>
      <c r="M349" s="136">
        <f>L349/EERR!$D$2</f>
        <v>190</v>
      </c>
      <c r="N349" s="136">
        <f>SUMIF(Abril!$B$3:$B$98,A349,Abril!$S$3:$S$98)+SUMIF(Abril!$C$3:$C$98,A349,Abril!$S$3:$S$98)</f>
        <v>0</v>
      </c>
    </row>
    <row r="350" spans="1:14" ht="15" x14ac:dyDescent="0.25">
      <c r="A350" s="153">
        <v>12535</v>
      </c>
      <c r="B350" s="147" t="s">
        <v>730</v>
      </c>
      <c r="C350" s="134" t="s">
        <v>251</v>
      </c>
      <c r="D350" s="134" t="s">
        <v>172</v>
      </c>
      <c r="E350" s="134" t="s">
        <v>173</v>
      </c>
      <c r="F350" s="134" t="s">
        <v>178</v>
      </c>
      <c r="G350" s="134" t="s">
        <v>557</v>
      </c>
      <c r="H350" s="134" t="s">
        <v>175</v>
      </c>
      <c r="I350" s="135"/>
      <c r="J350" s="135">
        <v>585</v>
      </c>
      <c r="K350" s="134" t="s">
        <v>731</v>
      </c>
      <c r="L350" s="210">
        <f>I350+J350*EERR!$D$2</f>
        <v>383607.9</v>
      </c>
      <c r="M350" s="136">
        <f>L350/EERR!$D$2</f>
        <v>585</v>
      </c>
      <c r="N350" s="136">
        <f>SUMIF(Abril!$B$3:$B$98,A350,Abril!$S$3:$S$98)+SUMIF(Abril!$C$3:$C$98,A350,Abril!$S$3:$S$98)</f>
        <v>0</v>
      </c>
    </row>
    <row r="351" spans="1:14" ht="15" x14ac:dyDescent="0.25">
      <c r="A351" s="153">
        <v>53277</v>
      </c>
      <c r="B351" s="147" t="s">
        <v>732</v>
      </c>
      <c r="C351" s="134" t="s">
        <v>251</v>
      </c>
      <c r="D351" s="134" t="s">
        <v>172</v>
      </c>
      <c r="E351" s="134" t="s">
        <v>173</v>
      </c>
      <c r="F351" s="134" t="s">
        <v>178</v>
      </c>
      <c r="G351" s="134" t="s">
        <v>733</v>
      </c>
      <c r="H351" s="134" t="s">
        <v>175</v>
      </c>
      <c r="I351" s="135"/>
      <c r="J351" s="135">
        <v>185.25</v>
      </c>
      <c r="K351" s="134" t="s">
        <v>734</v>
      </c>
      <c r="L351" s="210">
        <f>I351+J351*EERR!$D$2</f>
        <v>121475.83500000001</v>
      </c>
      <c r="M351" s="136">
        <f>L351/EERR!$D$2</f>
        <v>185.25</v>
      </c>
      <c r="N351" s="136">
        <f>SUMIF(Abril!$B$3:$B$98,A351,Abril!$S$3:$S$98)+SUMIF(Abril!$C$3:$C$98,A351,Abril!$S$3:$S$98)</f>
        <v>0</v>
      </c>
    </row>
    <row r="352" spans="1:14" ht="15" x14ac:dyDescent="0.25">
      <c r="A352" s="153">
        <v>36669</v>
      </c>
      <c r="B352" s="147" t="s">
        <v>735</v>
      </c>
      <c r="C352" s="134" t="s">
        <v>251</v>
      </c>
      <c r="D352" s="134" t="s">
        <v>172</v>
      </c>
      <c r="E352" s="134" t="s">
        <v>173</v>
      </c>
      <c r="F352" s="134" t="s">
        <v>178</v>
      </c>
      <c r="G352" s="134" t="s">
        <v>736</v>
      </c>
      <c r="H352" s="134" t="s">
        <v>175</v>
      </c>
      <c r="I352" s="135"/>
      <c r="J352" s="135">
        <v>370.5</v>
      </c>
      <c r="K352" s="134" t="s">
        <v>737</v>
      </c>
      <c r="L352" s="210">
        <f>I352+J352*EERR!$D$2</f>
        <v>242951.67</v>
      </c>
      <c r="M352" s="136">
        <f>L352/EERR!$D$2</f>
        <v>370.5</v>
      </c>
      <c r="N352" s="136">
        <f>SUMIF(Abril!$B$3:$B$98,A352,Abril!$S$3:$S$98)+SUMIF(Abril!$C$3:$C$98,A352,Abril!$S$3:$S$98)</f>
        <v>0</v>
      </c>
    </row>
    <row r="353" spans="1:17" ht="15" x14ac:dyDescent="0.25">
      <c r="A353" s="153">
        <v>2007</v>
      </c>
      <c r="B353" s="147" t="s">
        <v>738</v>
      </c>
      <c r="C353" s="134" t="s">
        <v>251</v>
      </c>
      <c r="D353" s="134" t="s">
        <v>172</v>
      </c>
      <c r="E353" s="134" t="s">
        <v>173</v>
      </c>
      <c r="F353" s="134" t="s">
        <v>178</v>
      </c>
      <c r="G353" s="134" t="s">
        <v>707</v>
      </c>
      <c r="H353" s="134" t="s">
        <v>175</v>
      </c>
      <c r="I353" s="135"/>
      <c r="J353" s="135">
        <v>175.5</v>
      </c>
      <c r="K353" s="134" t="s">
        <v>739</v>
      </c>
      <c r="L353" s="210">
        <f>I353+J353*EERR!$D$2</f>
        <v>115082.37</v>
      </c>
      <c r="M353" s="136">
        <f>L353/EERR!$D$2</f>
        <v>175.5</v>
      </c>
      <c r="N353" s="136">
        <f>SUMIF(Abril!$B$3:$B$98,A353,Abril!$S$3:$S$98)+SUMIF(Abril!$C$3:$C$98,A353,Abril!$S$3:$S$98)</f>
        <v>0</v>
      </c>
    </row>
    <row r="354" spans="1:17" ht="15" x14ac:dyDescent="0.25">
      <c r="A354" s="153">
        <v>10730</v>
      </c>
      <c r="B354" s="147" t="s">
        <v>740</v>
      </c>
      <c r="C354" s="134" t="s">
        <v>251</v>
      </c>
      <c r="D354" s="134" t="s">
        <v>172</v>
      </c>
      <c r="E354" s="134" t="s">
        <v>173</v>
      </c>
      <c r="F354" s="134" t="s">
        <v>178</v>
      </c>
      <c r="G354" s="134" t="s">
        <v>568</v>
      </c>
      <c r="H354" s="134" t="s">
        <v>175</v>
      </c>
      <c r="I354" s="135"/>
      <c r="J354" s="135">
        <v>175.5</v>
      </c>
      <c r="K354" s="134" t="s">
        <v>741</v>
      </c>
      <c r="L354" s="210">
        <f>I354+J354*EERR!$D$2</f>
        <v>115082.37</v>
      </c>
      <c r="M354" s="136">
        <f>L354/EERR!$D$2</f>
        <v>175.5</v>
      </c>
      <c r="N354" s="136">
        <f>SUMIF(Abril!$B$3:$B$98,A354,Abril!$S$3:$S$98)+SUMIF(Abril!$C$3:$C$98,A354,Abril!$S$3:$S$98)</f>
        <v>0</v>
      </c>
    </row>
    <row r="355" spans="1:17" ht="15" x14ac:dyDescent="0.25">
      <c r="A355" s="153">
        <v>98059</v>
      </c>
      <c r="B355" s="147" t="s">
        <v>742</v>
      </c>
      <c r="C355" s="134" t="s">
        <v>251</v>
      </c>
      <c r="D355" s="134" t="s">
        <v>172</v>
      </c>
      <c r="E355" s="134" t="s">
        <v>173</v>
      </c>
      <c r="F355" s="134" t="s">
        <v>178</v>
      </c>
      <c r="G355" s="134" t="s">
        <v>568</v>
      </c>
      <c r="H355" s="134" t="s">
        <v>175</v>
      </c>
      <c r="I355" s="135"/>
      <c r="J355" s="135">
        <v>175.5</v>
      </c>
      <c r="K355" s="134" t="s">
        <v>743</v>
      </c>
      <c r="L355" s="210">
        <f>I355+J355*EERR!$D$2</f>
        <v>115082.37</v>
      </c>
      <c r="M355" s="136">
        <f>L355/EERR!$D$2</f>
        <v>175.5</v>
      </c>
      <c r="N355" s="136">
        <f>SUMIF(Abril!$B$3:$B$98,A355,Abril!$S$3:$S$98)+SUMIF(Abril!$C$3:$C$98,A355,Abril!$S$3:$S$98)</f>
        <v>0</v>
      </c>
    </row>
    <row r="356" spans="1:17" ht="15" x14ac:dyDescent="0.25">
      <c r="A356" s="153">
        <v>78340</v>
      </c>
      <c r="B356" s="147" t="s">
        <v>744</v>
      </c>
      <c r="C356" s="134" t="s">
        <v>251</v>
      </c>
      <c r="D356" s="134" t="s">
        <v>172</v>
      </c>
      <c r="E356" s="134" t="s">
        <v>173</v>
      </c>
      <c r="F356" s="134" t="s">
        <v>178</v>
      </c>
      <c r="G356" s="134" t="s">
        <v>402</v>
      </c>
      <c r="H356" s="134" t="s">
        <v>175</v>
      </c>
      <c r="I356" s="135"/>
      <c r="J356" s="135">
        <v>390</v>
      </c>
      <c r="K356" s="134" t="s">
        <v>745</v>
      </c>
      <c r="L356" s="210">
        <f>I356+J356*EERR!$D$2</f>
        <v>255738.6</v>
      </c>
      <c r="M356" s="136">
        <f>L356/EERR!$D$2</f>
        <v>390</v>
      </c>
      <c r="N356" s="136">
        <f>SUMIF(Abril!$B$3:$B$98,A356,Abril!$S$3:$S$98)+SUMIF(Abril!$C$3:$C$98,A356,Abril!$S$3:$S$98)</f>
        <v>0</v>
      </c>
    </row>
    <row r="357" spans="1:17" ht="15" x14ac:dyDescent="0.25">
      <c r="A357" s="153">
        <v>73207</v>
      </c>
      <c r="B357" s="147" t="s">
        <v>746</v>
      </c>
      <c r="C357" s="134" t="s">
        <v>251</v>
      </c>
      <c r="D357" s="134" t="s">
        <v>172</v>
      </c>
      <c r="E357" s="134" t="s">
        <v>173</v>
      </c>
      <c r="F357" s="134" t="s">
        <v>174</v>
      </c>
      <c r="G357" s="134" t="s">
        <v>460</v>
      </c>
      <c r="H357" s="134" t="s">
        <v>175</v>
      </c>
      <c r="I357" s="135"/>
      <c r="J357" s="135">
        <v>780</v>
      </c>
      <c r="K357" s="134" t="s">
        <v>747</v>
      </c>
      <c r="L357" s="210">
        <f>I357+J357*EERR!$D$2</f>
        <v>511477.2</v>
      </c>
      <c r="M357" s="136">
        <f>L357/EERR!$D$2</f>
        <v>780</v>
      </c>
      <c r="N357" s="136">
        <f>SUMIF(Abril!$B$3:$B$98,A357,Abril!$S$3:$S$98)+SUMIF(Abril!$C$3:$C$98,A357,Abril!$S$3:$S$98)</f>
        <v>0</v>
      </c>
    </row>
    <row r="358" spans="1:17" ht="15" x14ac:dyDescent="0.25">
      <c r="A358" s="153">
        <v>44828</v>
      </c>
      <c r="B358" s="147" t="s">
        <v>748</v>
      </c>
      <c r="C358" s="134" t="s">
        <v>251</v>
      </c>
      <c r="D358" s="134" t="s">
        <v>172</v>
      </c>
      <c r="E358" s="134" t="s">
        <v>173</v>
      </c>
      <c r="F358" s="134" t="s">
        <v>177</v>
      </c>
      <c r="G358" s="134" t="s">
        <v>400</v>
      </c>
      <c r="H358" s="134" t="s">
        <v>175</v>
      </c>
      <c r="I358" s="135"/>
      <c r="J358" s="135">
        <v>1170</v>
      </c>
      <c r="K358" s="134" t="s">
        <v>749</v>
      </c>
      <c r="L358" s="210">
        <f>I358+J358*EERR!$D$2</f>
        <v>767215.8</v>
      </c>
      <c r="M358" s="136">
        <f>L358/EERR!$D$2</f>
        <v>1170</v>
      </c>
      <c r="N358" s="136">
        <f>SUMIF(Abril!$B$3:$B$98,A358,Abril!$S$3:$S$98)+SUMIF(Abril!$C$3:$C$98,A358,Abril!$S$3:$S$98)</f>
        <v>0</v>
      </c>
    </row>
    <row r="359" spans="1:17" ht="15" x14ac:dyDescent="0.25">
      <c r="A359" s="153">
        <v>5250</v>
      </c>
      <c r="B359" s="147" t="s">
        <v>750</v>
      </c>
      <c r="C359" s="134" t="s">
        <v>251</v>
      </c>
      <c r="D359" s="134" t="s">
        <v>172</v>
      </c>
      <c r="E359" s="134" t="s">
        <v>173</v>
      </c>
      <c r="F359" s="134" t="s">
        <v>178</v>
      </c>
      <c r="G359" s="134" t="s">
        <v>401</v>
      </c>
      <c r="H359" s="134" t="s">
        <v>175</v>
      </c>
      <c r="I359" s="135"/>
      <c r="J359" s="135">
        <v>1053</v>
      </c>
      <c r="K359" s="134" t="s">
        <v>751</v>
      </c>
      <c r="L359" s="210">
        <f>I359+J359*EERR!$D$2</f>
        <v>690494.22</v>
      </c>
      <c r="M359" s="136">
        <f>L359/EERR!$D$2</f>
        <v>1053</v>
      </c>
      <c r="N359" s="136">
        <f>SUMIF(Abril!$B$3:$B$98,A359,Abril!$S$3:$S$98)+SUMIF(Abril!$C$3:$C$98,A359,Abril!$S$3:$S$98)</f>
        <v>0</v>
      </c>
    </row>
    <row r="360" spans="1:17" ht="15" x14ac:dyDescent="0.25">
      <c r="A360" s="153">
        <v>34599</v>
      </c>
      <c r="B360" s="147" t="s">
        <v>752</v>
      </c>
      <c r="C360" s="134" t="s">
        <v>251</v>
      </c>
      <c r="D360" s="134" t="s">
        <v>172</v>
      </c>
      <c r="E360" s="134" t="s">
        <v>173</v>
      </c>
      <c r="F360" s="134" t="s">
        <v>178</v>
      </c>
      <c r="G360" s="134" t="s">
        <v>753</v>
      </c>
      <c r="H360" s="134" t="s">
        <v>175</v>
      </c>
      <c r="I360" s="135"/>
      <c r="J360" s="135">
        <v>1053</v>
      </c>
      <c r="K360" s="134" t="s">
        <v>754</v>
      </c>
      <c r="L360" s="210">
        <f>I360+J360*EERR!$D$2</f>
        <v>690494.22</v>
      </c>
      <c r="M360" s="136">
        <f>L360/EERR!$D$2</f>
        <v>1053</v>
      </c>
      <c r="N360" s="136">
        <f>SUMIF(Abril!$B$3:$B$98,A360,Abril!$S$3:$S$98)+SUMIF(Abril!$C$3:$C$98,A360,Abril!$S$3:$S$98)</f>
        <v>0</v>
      </c>
    </row>
    <row r="361" spans="1:17" ht="15" x14ac:dyDescent="0.25">
      <c r="A361" s="153">
        <v>49474</v>
      </c>
      <c r="B361" s="147" t="s">
        <v>755</v>
      </c>
      <c r="C361" s="134" t="s">
        <v>251</v>
      </c>
      <c r="D361" s="134" t="s">
        <v>172</v>
      </c>
      <c r="E361" s="134" t="s">
        <v>173</v>
      </c>
      <c r="F361" s="134" t="s">
        <v>178</v>
      </c>
      <c r="G361" s="134" t="s">
        <v>492</v>
      </c>
      <c r="H361" s="134" t="s">
        <v>175</v>
      </c>
      <c r="I361" s="135"/>
      <c r="J361" s="135">
        <v>585</v>
      </c>
      <c r="K361" s="134" t="s">
        <v>756</v>
      </c>
      <c r="L361" s="210">
        <f>I361+J361*EERR!$D$2</f>
        <v>383607.9</v>
      </c>
      <c r="M361" s="136">
        <f>L361/EERR!$D$2</f>
        <v>585</v>
      </c>
      <c r="N361" s="136">
        <f>SUMIF(Abril!$B$3:$B$98,A361,Abril!$S$3:$S$98)+SUMIF(Abril!$C$3:$C$98,A361,Abril!$S$3:$S$98)</f>
        <v>0</v>
      </c>
    </row>
    <row r="362" spans="1:17" ht="15" x14ac:dyDescent="0.25">
      <c r="A362" s="153">
        <v>90949</v>
      </c>
      <c r="B362" s="147" t="s">
        <v>757</v>
      </c>
      <c r="C362" s="134" t="s">
        <v>251</v>
      </c>
      <c r="D362" s="134" t="s">
        <v>172</v>
      </c>
      <c r="E362" s="134" t="s">
        <v>173</v>
      </c>
      <c r="F362" s="134" t="s">
        <v>178</v>
      </c>
      <c r="G362" s="134" t="s">
        <v>758</v>
      </c>
      <c r="H362" s="134" t="s">
        <v>175</v>
      </c>
      <c r="I362" s="135"/>
      <c r="J362" s="135">
        <v>195</v>
      </c>
      <c r="K362" s="134" t="s">
        <v>759</v>
      </c>
      <c r="L362" s="210">
        <f>I362+J362*EERR!$D$2</f>
        <v>127869.3</v>
      </c>
      <c r="M362" s="136">
        <f>L362/EERR!$D$2</f>
        <v>195</v>
      </c>
      <c r="N362" s="136">
        <f>SUMIF(Abril!$B$3:$B$98,A362,Abril!$S$3:$S$98)+SUMIF(Abril!$C$3:$C$98,A362,Abril!$S$3:$S$98)</f>
        <v>0</v>
      </c>
    </row>
    <row r="363" spans="1:17" ht="15" x14ac:dyDescent="0.25">
      <c r="A363" s="153">
        <v>5250</v>
      </c>
      <c r="B363" s="147" t="s">
        <v>760</v>
      </c>
      <c r="C363" s="134" t="s">
        <v>250</v>
      </c>
      <c r="D363" s="134" t="s">
        <v>172</v>
      </c>
      <c r="E363" s="134" t="s">
        <v>176</v>
      </c>
      <c r="F363" s="134" t="s">
        <v>174</v>
      </c>
      <c r="G363" s="134" t="s">
        <v>460</v>
      </c>
      <c r="H363" s="134" t="s">
        <v>176</v>
      </c>
      <c r="I363" s="135">
        <v>24000</v>
      </c>
      <c r="J363" s="135"/>
      <c r="K363" s="134" t="s">
        <v>717</v>
      </c>
      <c r="L363" s="210">
        <f>I363+J363*EERR!$D$2</f>
        <v>24000</v>
      </c>
      <c r="M363" s="136">
        <f>L363/EERR!$D$2</f>
        <v>36.599871900448349</v>
      </c>
      <c r="N363" s="136">
        <f>SUMIF(Abril!$B$3:$B$98,A363,Abril!$S$3:$S$98)+SUMIF(Abril!$C$3:$C$98,A363,Abril!$S$3:$S$98)</f>
        <v>0</v>
      </c>
    </row>
    <row r="364" spans="1:17" ht="15" x14ac:dyDescent="0.25">
      <c r="A364" s="153">
        <v>30584</v>
      </c>
      <c r="B364" s="147" t="s">
        <v>761</v>
      </c>
      <c r="C364" s="134" t="s">
        <v>251</v>
      </c>
      <c r="D364" s="134" t="s">
        <v>172</v>
      </c>
      <c r="E364" s="134" t="s">
        <v>173</v>
      </c>
      <c r="F364" s="134" t="s">
        <v>174</v>
      </c>
      <c r="G364" s="134" t="s">
        <v>762</v>
      </c>
      <c r="H364" s="134" t="s">
        <v>175</v>
      </c>
      <c r="I364" s="135"/>
      <c r="J364" s="135">
        <v>1111.5</v>
      </c>
      <c r="K364" s="134" t="s">
        <v>763</v>
      </c>
      <c r="L364" s="210">
        <f>I364+J364*EERR!$D$2</f>
        <v>728855.01</v>
      </c>
      <c r="M364" s="136">
        <f>L364/EERR!$D$2</f>
        <v>1111.5</v>
      </c>
      <c r="N364" s="136">
        <f>SUMIF(Abril!$B$3:$B$98,A364,Abril!$S$3:$S$98)+SUMIF(Abril!$C$3:$C$98,A364,Abril!$S$3:$S$98)</f>
        <v>0</v>
      </c>
    </row>
    <row r="365" spans="1:17" ht="15" x14ac:dyDescent="0.25">
      <c r="A365" s="153">
        <v>88249</v>
      </c>
      <c r="B365" s="147" t="s">
        <v>764</v>
      </c>
      <c r="C365" s="134" t="s">
        <v>250</v>
      </c>
      <c r="D365" s="134" t="s">
        <v>172</v>
      </c>
      <c r="E365" s="134" t="s">
        <v>176</v>
      </c>
      <c r="F365" s="134" t="s">
        <v>177</v>
      </c>
      <c r="G365" s="134" t="s">
        <v>490</v>
      </c>
      <c r="H365" s="134" t="s">
        <v>176</v>
      </c>
      <c r="I365" s="135">
        <v>5000</v>
      </c>
      <c r="J365" s="135"/>
      <c r="K365" s="134" t="s">
        <v>765</v>
      </c>
      <c r="L365" s="210">
        <f>I365+J365*EERR!$D$2</f>
        <v>5000</v>
      </c>
      <c r="M365" s="136">
        <f>L365/EERR!$D$2</f>
        <v>7.624973312593406</v>
      </c>
      <c r="N365" s="136">
        <f>SUMIF(Abril!$B$3:$B$98,A365,Abril!$S$3:$S$98)+SUMIF(Abril!$C$3:$C$98,A365,Abril!$S$3:$S$98)</f>
        <v>0</v>
      </c>
      <c r="Q365" s="307" t="str">
        <f t="shared" ref="Q365:Q369" si="0">CONCATENATE(MID(B365,1,2),"-",MID(B365,4,2),"-",MID(B365,7,4))</f>
        <v>30-03-2017</v>
      </c>
    </row>
    <row r="366" spans="1:17" ht="15" x14ac:dyDescent="0.25">
      <c r="A366" s="153">
        <v>45018</v>
      </c>
      <c r="B366" s="147" t="s">
        <v>766</v>
      </c>
      <c r="C366" s="134" t="s">
        <v>250</v>
      </c>
      <c r="D366" s="134" t="s">
        <v>172</v>
      </c>
      <c r="E366" s="134" t="s">
        <v>176</v>
      </c>
      <c r="F366" s="134" t="s">
        <v>178</v>
      </c>
      <c r="G366" s="134" t="s">
        <v>767</v>
      </c>
      <c r="H366" s="134" t="s">
        <v>176</v>
      </c>
      <c r="I366" s="135">
        <v>138465</v>
      </c>
      <c r="J366" s="135"/>
      <c r="K366" s="134" t="s">
        <v>768</v>
      </c>
      <c r="L366" s="210">
        <f>I366+J366*EERR!$D$2</f>
        <v>138465</v>
      </c>
      <c r="M366" s="136">
        <f>L366/EERR!$D$2</f>
        <v>211.1583859456492</v>
      </c>
      <c r="N366" s="136">
        <f>SUMIF(Abril!$B$3:$B$98,A366,Abril!$S$3:$S$98)+SUMIF(Abril!$C$3:$C$98,A366,Abril!$S$3:$S$98)</f>
        <v>788952</v>
      </c>
      <c r="Q366" s="307" t="str">
        <f t="shared" si="0"/>
        <v>31-03-2017</v>
      </c>
    </row>
    <row r="367" spans="1:17" ht="15" x14ac:dyDescent="0.25">
      <c r="A367" s="153">
        <v>57607</v>
      </c>
      <c r="B367" s="147" t="s">
        <v>769</v>
      </c>
      <c r="C367" s="134" t="s">
        <v>250</v>
      </c>
      <c r="D367" s="134" t="s">
        <v>172</v>
      </c>
      <c r="E367" s="134" t="s">
        <v>176</v>
      </c>
      <c r="F367" s="134" t="s">
        <v>177</v>
      </c>
      <c r="G367" s="134" t="s">
        <v>770</v>
      </c>
      <c r="H367" s="134" t="s">
        <v>176</v>
      </c>
      <c r="I367" s="135">
        <v>153849</v>
      </c>
      <c r="J367" s="135"/>
      <c r="K367" s="134" t="s">
        <v>771</v>
      </c>
      <c r="L367" s="210">
        <f>I367+J367*EERR!$D$2</f>
        <v>153849</v>
      </c>
      <c r="M367" s="136">
        <f>L367/EERR!$D$2</f>
        <v>234.61890383383658</v>
      </c>
      <c r="N367" s="136">
        <f>SUMIF(Abril!$B$3:$B$98,A367,Abril!$S$3:$S$98)+SUMIF(Abril!$C$3:$C$98,A367,Abril!$S$3:$S$98)</f>
        <v>153849</v>
      </c>
      <c r="Q367" s="307" t="str">
        <f t="shared" si="0"/>
        <v>31-03-2017</v>
      </c>
    </row>
    <row r="368" spans="1:17" ht="15" x14ac:dyDescent="0.25">
      <c r="A368" s="153">
        <v>70338</v>
      </c>
      <c r="B368" s="147" t="s">
        <v>769</v>
      </c>
      <c r="C368" s="134" t="s">
        <v>250</v>
      </c>
      <c r="D368" s="134" t="s">
        <v>172</v>
      </c>
      <c r="E368" s="134" t="s">
        <v>176</v>
      </c>
      <c r="F368" s="134" t="s">
        <v>305</v>
      </c>
      <c r="G368" s="134" t="s">
        <v>498</v>
      </c>
      <c r="H368" s="134" t="s">
        <v>176</v>
      </c>
      <c r="I368" s="135">
        <v>308162</v>
      </c>
      <c r="J368" s="135"/>
      <c r="K368" s="134" t="s">
        <v>772</v>
      </c>
      <c r="L368" s="210">
        <f>I368+J368*EERR!$D$2</f>
        <v>308162</v>
      </c>
      <c r="M368" s="136">
        <f>L368/EERR!$D$2</f>
        <v>469.94540519108182</v>
      </c>
      <c r="N368" s="136">
        <f>SUMIF(Abril!$B$3:$B$98,A368,Abril!$S$3:$S$98)+SUMIF(Abril!$C$3:$C$98,A368,Abril!$S$3:$S$98)</f>
        <v>0</v>
      </c>
      <c r="Q368" s="307" t="str">
        <f t="shared" si="0"/>
        <v>31-03-2017</v>
      </c>
    </row>
    <row r="369" spans="1:17" ht="15" x14ac:dyDescent="0.25">
      <c r="A369" s="153">
        <v>48194</v>
      </c>
      <c r="B369" s="147" t="s">
        <v>769</v>
      </c>
      <c r="C369" s="134" t="s">
        <v>251</v>
      </c>
      <c r="D369" s="134" t="s">
        <v>172</v>
      </c>
      <c r="E369" s="134" t="s">
        <v>173</v>
      </c>
      <c r="F369" s="134" t="s">
        <v>178</v>
      </c>
      <c r="G369" s="134" t="s">
        <v>501</v>
      </c>
      <c r="H369" s="134" t="s">
        <v>175</v>
      </c>
      <c r="I369" s="135"/>
      <c r="J369" s="135">
        <v>780</v>
      </c>
      <c r="K369" s="134" t="s">
        <v>773</v>
      </c>
      <c r="L369" s="210">
        <f>I369+J369*EERR!$D$2</f>
        <v>511477.2</v>
      </c>
      <c r="M369" s="136">
        <f>L369/EERR!$D$2</f>
        <v>780</v>
      </c>
      <c r="N369" s="136">
        <f>SUMIF(Abril!$B$3:$B$98,A369,Abril!$S$3:$S$98)+SUMIF(Abril!$C$3:$C$98,A369,Abril!$S$3:$S$98)</f>
        <v>0</v>
      </c>
      <c r="Q369" s="307" t="str">
        <f t="shared" si="0"/>
        <v>31-03-2017</v>
      </c>
    </row>
    <row r="370" spans="1:17" ht="15" x14ac:dyDescent="0.25">
      <c r="A370" s="153"/>
      <c r="B370" s="147"/>
      <c r="C370" s="134"/>
      <c r="D370" s="134"/>
      <c r="E370" s="134"/>
      <c r="F370" s="134"/>
      <c r="G370" s="134"/>
      <c r="H370" s="134"/>
      <c r="I370" s="135"/>
      <c r="J370" s="135"/>
      <c r="K370" s="134"/>
      <c r="L370" s="210"/>
      <c r="M370" s="136">
        <f>L370/EERR!$D$2</f>
        <v>0</v>
      </c>
      <c r="N370" s="136">
        <f>SUMIF(Abril!$B$3:$B$98,A370,Abril!$S$3:$S$98)+SUMIF(Abril!$C$3:$C$98,A370,Abril!$S$3:$S$98)</f>
        <v>0</v>
      </c>
      <c r="Q370" s="307" t="str">
        <f>CONCATENATE(MID(B370,1,2),"-",MID(B370,4,2),"-",MID(B370,7,4))</f>
        <v>--</v>
      </c>
    </row>
    <row r="371" spans="1:17" ht="15" x14ac:dyDescent="0.25">
      <c r="A371" s="153"/>
      <c r="B371" s="147"/>
      <c r="C371" s="134"/>
      <c r="D371" s="134"/>
      <c r="E371" s="134"/>
      <c r="F371" s="134"/>
      <c r="G371" s="134"/>
      <c r="H371" s="134"/>
      <c r="I371" s="135"/>
      <c r="J371" s="135"/>
      <c r="K371" s="134"/>
      <c r="L371" s="210"/>
      <c r="M371" s="136"/>
      <c r="N371" s="136"/>
    </row>
    <row r="372" spans="1:17" ht="15" x14ac:dyDescent="0.25">
      <c r="A372" s="153"/>
      <c r="B372" s="147"/>
      <c r="C372" s="134"/>
      <c r="D372" s="134"/>
      <c r="E372" s="134"/>
      <c r="F372" s="134"/>
      <c r="G372" s="134"/>
      <c r="H372" s="134"/>
      <c r="I372" s="135"/>
      <c r="J372" s="135"/>
      <c r="K372" s="134"/>
      <c r="L372" s="210"/>
      <c r="M372" s="136"/>
      <c r="N372" s="136"/>
    </row>
    <row r="373" spans="1:17" ht="15" x14ac:dyDescent="0.25">
      <c r="A373" s="153"/>
      <c r="B373" s="147"/>
      <c r="C373" s="134"/>
      <c r="D373" s="134"/>
      <c r="E373" s="134"/>
      <c r="F373" s="134"/>
      <c r="G373" s="134"/>
      <c r="H373" s="134"/>
      <c r="I373" s="135"/>
      <c r="J373" s="135"/>
      <c r="K373" s="134"/>
      <c r="L373" s="210"/>
      <c r="M373" s="136"/>
      <c r="N373" s="136"/>
    </row>
    <row r="374" spans="1:17" ht="15" x14ac:dyDescent="0.25">
      <c r="A374" s="153"/>
      <c r="B374" s="147"/>
      <c r="C374" s="134"/>
      <c r="D374" s="134"/>
      <c r="E374" s="134"/>
      <c r="F374" s="134"/>
      <c r="G374" s="134"/>
      <c r="H374" s="134"/>
      <c r="I374" s="135"/>
      <c r="J374" s="135"/>
      <c r="K374" s="134"/>
      <c r="L374" s="210"/>
      <c r="M374" s="136"/>
      <c r="N374" s="136"/>
    </row>
    <row r="375" spans="1:17" ht="15" x14ac:dyDescent="0.25">
      <c r="A375" s="153"/>
      <c r="B375" s="147"/>
      <c r="C375" s="134"/>
      <c r="D375" s="134"/>
      <c r="E375" s="134"/>
      <c r="F375" s="134"/>
      <c r="G375" s="134"/>
      <c r="H375" s="134"/>
      <c r="I375" s="135"/>
      <c r="J375" s="135"/>
      <c r="K375" s="134"/>
      <c r="L375" s="210"/>
      <c r="M375" s="136"/>
      <c r="N375" s="136"/>
    </row>
    <row r="376" spans="1:17" ht="15" x14ac:dyDescent="0.25">
      <c r="A376" s="153"/>
      <c r="B376" s="147"/>
      <c r="C376" s="134"/>
      <c r="D376" s="134"/>
      <c r="E376" s="134"/>
      <c r="F376" s="134"/>
      <c r="G376" s="134"/>
      <c r="H376" s="134"/>
      <c r="I376" s="135"/>
      <c r="J376" s="135"/>
      <c r="K376" s="134"/>
      <c r="L376" s="210"/>
      <c r="M376" s="136"/>
      <c r="N376" s="136"/>
    </row>
    <row r="377" spans="1:17" ht="15" x14ac:dyDescent="0.25">
      <c r="A377" s="153"/>
      <c r="B377" s="147"/>
      <c r="C377" s="134"/>
      <c r="D377" s="134"/>
      <c r="E377" s="134"/>
      <c r="F377" s="134"/>
      <c r="G377" s="134"/>
      <c r="H377" s="134"/>
      <c r="I377" s="135"/>
      <c r="J377" s="135"/>
      <c r="K377" s="134"/>
      <c r="L377" s="210"/>
      <c r="M377" s="136"/>
      <c r="N377" s="136"/>
    </row>
    <row r="378" spans="1:17" ht="15" x14ac:dyDescent="0.25">
      <c r="A378" s="153"/>
      <c r="B378" s="147"/>
      <c r="C378" s="134"/>
      <c r="D378" s="134"/>
      <c r="E378" s="134"/>
      <c r="F378" s="134"/>
      <c r="G378" s="134"/>
      <c r="H378" s="134"/>
      <c r="I378" s="135"/>
      <c r="J378" s="135"/>
      <c r="K378" s="134"/>
      <c r="L378" s="210"/>
      <c r="M378" s="136"/>
      <c r="N378" s="136"/>
    </row>
    <row r="379" spans="1:17" ht="15" x14ac:dyDescent="0.25">
      <c r="A379" s="153"/>
      <c r="B379" s="147"/>
      <c r="C379" s="134"/>
      <c r="D379" s="134"/>
      <c r="E379" s="134"/>
      <c r="F379" s="134"/>
      <c r="G379" s="134"/>
      <c r="H379" s="134"/>
      <c r="I379" s="135"/>
      <c r="J379" s="135"/>
      <c r="K379" s="134"/>
      <c r="L379" s="210"/>
      <c r="M379" s="136"/>
      <c r="N379" s="136"/>
    </row>
    <row r="380" spans="1:17" ht="15" x14ac:dyDescent="0.25">
      <c r="A380" s="153"/>
      <c r="B380" s="147"/>
      <c r="C380" s="134"/>
      <c r="D380" s="134"/>
      <c r="E380" s="134"/>
      <c r="F380" s="134"/>
      <c r="G380" s="134"/>
      <c r="H380" s="134"/>
      <c r="I380" s="135"/>
      <c r="J380" s="135"/>
      <c r="K380" s="134"/>
      <c r="L380" s="210"/>
      <c r="M380" s="136"/>
      <c r="N380" s="136"/>
    </row>
    <row r="381" spans="1:17" ht="15" x14ac:dyDescent="0.25">
      <c r="A381" s="153"/>
      <c r="B381" s="147"/>
      <c r="C381" s="134"/>
      <c r="D381" s="134"/>
      <c r="E381" s="134"/>
      <c r="F381" s="134"/>
      <c r="G381" s="134"/>
      <c r="H381" s="134"/>
      <c r="I381" s="135"/>
      <c r="J381" s="135"/>
      <c r="K381" s="134"/>
      <c r="L381" s="210"/>
      <c r="M381" s="136"/>
      <c r="N381" s="136"/>
    </row>
    <row r="382" spans="1:17" ht="15" x14ac:dyDescent="0.25">
      <c r="A382" s="153"/>
      <c r="B382" s="147"/>
      <c r="C382" s="134"/>
      <c r="D382" s="134"/>
      <c r="E382" s="134"/>
      <c r="F382" s="134"/>
      <c r="G382" s="134"/>
      <c r="H382" s="134"/>
      <c r="I382" s="135"/>
      <c r="J382" s="135"/>
      <c r="K382" s="134"/>
      <c r="L382" s="210"/>
      <c r="M382" s="136"/>
      <c r="N382" s="136"/>
    </row>
    <row r="383" spans="1:17" ht="15" x14ac:dyDescent="0.25">
      <c r="A383" s="153"/>
      <c r="B383" s="147"/>
      <c r="C383" s="134"/>
      <c r="D383" s="134"/>
      <c r="E383" s="134"/>
      <c r="F383" s="134"/>
      <c r="G383" s="134"/>
      <c r="H383" s="134"/>
      <c r="I383" s="135"/>
      <c r="J383" s="135"/>
      <c r="K383" s="134"/>
      <c r="L383" s="210"/>
      <c r="M383" s="136"/>
      <c r="N383" s="136"/>
    </row>
    <row r="384" spans="1:17" ht="15" x14ac:dyDescent="0.25">
      <c r="A384" s="153"/>
      <c r="B384" s="147"/>
      <c r="C384" s="134"/>
      <c r="D384" s="134"/>
      <c r="E384" s="134"/>
      <c r="F384" s="134"/>
      <c r="G384" s="134"/>
      <c r="H384" s="134"/>
      <c r="I384" s="135"/>
      <c r="J384" s="135"/>
      <c r="K384" s="134"/>
      <c r="L384" s="210"/>
      <c r="M384" s="136"/>
      <c r="N384" s="136"/>
    </row>
    <row r="385" spans="1:14" ht="15" x14ac:dyDescent="0.25">
      <c r="A385" s="153"/>
      <c r="B385" s="147"/>
      <c r="C385" s="134"/>
      <c r="D385" s="134"/>
      <c r="E385" s="134"/>
      <c r="F385" s="134"/>
      <c r="G385" s="134"/>
      <c r="H385" s="134"/>
      <c r="I385" s="135"/>
      <c r="J385" s="135"/>
      <c r="K385" s="134"/>
      <c r="L385" s="210"/>
      <c r="M385" s="136"/>
      <c r="N385" s="136"/>
    </row>
    <row r="386" spans="1:14" ht="15" x14ac:dyDescent="0.25">
      <c r="A386" s="153"/>
      <c r="B386" s="147"/>
      <c r="C386" s="134"/>
      <c r="D386" s="134"/>
      <c r="E386" s="134"/>
      <c r="F386" s="134"/>
      <c r="G386" s="134"/>
      <c r="H386" s="134"/>
      <c r="I386" s="135"/>
      <c r="J386" s="135"/>
      <c r="K386" s="134"/>
      <c r="L386" s="210"/>
      <c r="M386" s="136"/>
      <c r="N386" s="136"/>
    </row>
    <row r="387" spans="1:14" ht="15" x14ac:dyDescent="0.25">
      <c r="A387" s="153"/>
      <c r="B387" s="147"/>
      <c r="C387" s="134"/>
      <c r="D387" s="134"/>
      <c r="E387" s="134"/>
      <c r="F387" s="134"/>
      <c r="G387" s="134"/>
      <c r="H387" s="134"/>
      <c r="I387" s="135"/>
      <c r="J387" s="135"/>
      <c r="K387" s="134"/>
      <c r="L387" s="210"/>
      <c r="M387" s="136"/>
      <c r="N387" s="136"/>
    </row>
    <row r="388" spans="1:14" ht="15" x14ac:dyDescent="0.25">
      <c r="A388" s="153"/>
      <c r="B388" s="147"/>
      <c r="C388" s="134"/>
      <c r="D388" s="134"/>
      <c r="E388" s="134"/>
      <c r="F388" s="134"/>
      <c r="G388" s="134"/>
      <c r="H388" s="134"/>
      <c r="I388" s="135"/>
      <c r="J388" s="135"/>
      <c r="K388" s="134"/>
      <c r="L388" s="210"/>
      <c r="M388" s="136"/>
      <c r="N388" s="136"/>
    </row>
    <row r="389" spans="1:14" ht="15" x14ac:dyDescent="0.25">
      <c r="A389" s="153"/>
      <c r="B389" s="147"/>
      <c r="C389" s="134"/>
      <c r="D389" s="134"/>
      <c r="E389" s="134"/>
      <c r="F389" s="134"/>
      <c r="G389" s="134"/>
      <c r="H389" s="134"/>
      <c r="I389" s="135"/>
      <c r="J389" s="135"/>
      <c r="K389" s="134"/>
      <c r="L389" s="210"/>
      <c r="M389" s="136"/>
      <c r="N389" s="136"/>
    </row>
    <row r="390" spans="1:14" ht="15" x14ac:dyDescent="0.25">
      <c r="A390" s="153"/>
      <c r="B390" s="147"/>
      <c r="C390" s="134"/>
      <c r="D390" s="134"/>
      <c r="E390" s="134"/>
      <c r="F390" s="134"/>
      <c r="G390" s="134"/>
      <c r="H390" s="134"/>
      <c r="I390" s="135"/>
      <c r="J390" s="135"/>
      <c r="K390" s="134"/>
      <c r="L390" s="210"/>
      <c r="M390" s="136"/>
      <c r="N390" s="136"/>
    </row>
    <row r="391" spans="1:14" ht="15" x14ac:dyDescent="0.25">
      <c r="A391" s="153"/>
      <c r="B391" s="147"/>
      <c r="C391" s="134"/>
      <c r="D391" s="134"/>
      <c r="E391" s="134"/>
      <c r="F391" s="134"/>
      <c r="G391" s="134"/>
      <c r="H391" s="134"/>
      <c r="I391" s="135"/>
      <c r="J391" s="135"/>
      <c r="K391" s="134"/>
      <c r="L391" s="210"/>
      <c r="M391" s="136"/>
      <c r="N391" s="136"/>
    </row>
    <row r="392" spans="1:14" ht="15" x14ac:dyDescent="0.25">
      <c r="A392" s="153"/>
      <c r="B392" s="147"/>
      <c r="C392" s="134"/>
      <c r="D392" s="134"/>
      <c r="E392" s="134"/>
      <c r="F392" s="134"/>
      <c r="G392" s="134"/>
      <c r="H392" s="134"/>
      <c r="I392" s="135"/>
      <c r="J392" s="135"/>
      <c r="K392" s="134"/>
      <c r="L392" s="210"/>
      <c r="M392" s="136"/>
      <c r="N392" s="136"/>
    </row>
    <row r="393" spans="1:14" ht="15" x14ac:dyDescent="0.25">
      <c r="A393" s="153"/>
      <c r="B393" s="147"/>
      <c r="C393" s="134"/>
      <c r="D393" s="134"/>
      <c r="E393" s="134"/>
      <c r="F393" s="134"/>
      <c r="G393" s="134"/>
      <c r="H393" s="134"/>
      <c r="I393" s="135"/>
      <c r="J393" s="135"/>
      <c r="K393" s="134"/>
      <c r="L393" s="210"/>
      <c r="M393" s="136"/>
      <c r="N393" s="136"/>
    </row>
    <row r="394" spans="1:14" ht="15" x14ac:dyDescent="0.25">
      <c r="A394" s="153"/>
      <c r="B394" s="147"/>
      <c r="C394" s="134"/>
      <c r="D394" s="134"/>
      <c r="E394" s="134"/>
      <c r="F394" s="134"/>
      <c r="G394" s="134"/>
      <c r="H394" s="134"/>
      <c r="I394" s="135"/>
      <c r="J394" s="135"/>
      <c r="K394" s="134"/>
      <c r="L394" s="210"/>
      <c r="M394" s="136"/>
      <c r="N394" s="136"/>
    </row>
    <row r="395" spans="1:14" ht="15" x14ac:dyDescent="0.25">
      <c r="A395" s="153"/>
      <c r="B395" s="147"/>
      <c r="C395" s="134"/>
      <c r="D395" s="134"/>
      <c r="E395" s="134"/>
      <c r="F395" s="134"/>
      <c r="G395" s="134"/>
      <c r="H395" s="134"/>
      <c r="I395" s="135"/>
      <c r="J395" s="135"/>
      <c r="K395" s="134"/>
      <c r="L395" s="210"/>
      <c r="M395" s="136"/>
      <c r="N395" s="136"/>
    </row>
    <row r="396" spans="1:14" ht="15" x14ac:dyDescent="0.25">
      <c r="A396" s="153"/>
      <c r="B396" s="147"/>
      <c r="C396" s="134"/>
      <c r="D396" s="134"/>
      <c r="E396" s="134"/>
      <c r="F396" s="134"/>
      <c r="G396" s="134"/>
      <c r="H396" s="134"/>
      <c r="I396" s="135"/>
      <c r="J396" s="135"/>
      <c r="K396" s="134"/>
      <c r="L396" s="210"/>
      <c r="M396" s="136"/>
      <c r="N396" s="136"/>
    </row>
    <row r="397" spans="1:14" ht="15" x14ac:dyDescent="0.25">
      <c r="A397" s="153"/>
      <c r="B397" s="147"/>
      <c r="C397" s="134"/>
      <c r="D397" s="134"/>
      <c r="E397" s="134"/>
      <c r="F397" s="134"/>
      <c r="G397" s="134"/>
      <c r="H397" s="134"/>
      <c r="I397" s="135"/>
      <c r="J397" s="135"/>
      <c r="K397" s="134"/>
      <c r="L397" s="210"/>
      <c r="M397" s="136"/>
      <c r="N397" s="136"/>
    </row>
    <row r="398" spans="1:14" ht="15" x14ac:dyDescent="0.25">
      <c r="A398" s="153"/>
      <c r="B398" s="147"/>
      <c r="C398" s="134"/>
      <c r="D398" s="134"/>
      <c r="E398" s="134"/>
      <c r="F398" s="134"/>
      <c r="G398" s="134"/>
      <c r="H398" s="134"/>
      <c r="I398" s="135"/>
      <c r="J398" s="135"/>
      <c r="K398" s="134"/>
      <c r="L398" s="210"/>
      <c r="M398" s="136"/>
      <c r="N398" s="136"/>
    </row>
    <row r="399" spans="1:14" ht="15" x14ac:dyDescent="0.25">
      <c r="A399" s="153"/>
      <c r="B399" s="147"/>
      <c r="C399" s="134"/>
      <c r="D399" s="134"/>
      <c r="E399" s="134"/>
      <c r="F399" s="134"/>
      <c r="G399" s="134"/>
      <c r="H399" s="134"/>
      <c r="I399" s="135"/>
      <c r="J399" s="135"/>
      <c r="K399" s="134"/>
      <c r="L399" s="210"/>
      <c r="M399" s="136"/>
      <c r="N399" s="136"/>
    </row>
    <row r="400" spans="1:14" ht="15" x14ac:dyDescent="0.25">
      <c r="A400" s="153"/>
      <c r="B400" s="147"/>
      <c r="C400" s="134"/>
      <c r="D400" s="134"/>
      <c r="E400" s="134"/>
      <c r="F400" s="134"/>
      <c r="G400" s="134"/>
      <c r="H400" s="134"/>
      <c r="I400" s="135"/>
      <c r="J400" s="135"/>
      <c r="K400" s="134"/>
      <c r="L400" s="210"/>
      <c r="M400" s="136"/>
      <c r="N400" s="136"/>
    </row>
    <row r="401" spans="1:14" ht="15" x14ac:dyDescent="0.25">
      <c r="A401" s="153"/>
      <c r="B401" s="147"/>
      <c r="C401" s="134"/>
      <c r="D401" s="134"/>
      <c r="E401" s="134"/>
      <c r="F401" s="134"/>
      <c r="G401" s="134"/>
      <c r="H401" s="134"/>
      <c r="I401" s="135"/>
      <c r="J401" s="135"/>
      <c r="K401" s="134"/>
      <c r="L401" s="210"/>
      <c r="M401" s="136"/>
      <c r="N401" s="136"/>
    </row>
    <row r="402" spans="1:14" ht="15" x14ac:dyDescent="0.25">
      <c r="A402" s="153"/>
      <c r="B402" s="147"/>
      <c r="C402" s="134"/>
      <c r="D402" s="134"/>
      <c r="E402" s="134"/>
      <c r="F402" s="134"/>
      <c r="G402" s="134"/>
      <c r="H402" s="134"/>
      <c r="I402" s="135"/>
      <c r="J402" s="135"/>
      <c r="K402" s="134"/>
      <c r="L402" s="210"/>
      <c r="M402" s="136"/>
      <c r="N402" s="136"/>
    </row>
    <row r="403" spans="1:14" ht="15" x14ac:dyDescent="0.25">
      <c r="A403" s="153"/>
      <c r="B403" s="147"/>
      <c r="C403" s="134"/>
      <c r="D403" s="134"/>
      <c r="E403" s="134"/>
      <c r="F403" s="134"/>
      <c r="G403" s="134"/>
      <c r="H403" s="134"/>
      <c r="I403" s="135"/>
      <c r="J403" s="135"/>
      <c r="K403" s="134"/>
      <c r="L403" s="210"/>
      <c r="M403" s="136"/>
      <c r="N403" s="136"/>
    </row>
    <row r="404" spans="1:14" ht="15" x14ac:dyDescent="0.25">
      <c r="A404" s="153"/>
      <c r="B404" s="147"/>
      <c r="C404" s="134"/>
      <c r="D404" s="134"/>
      <c r="E404" s="134"/>
      <c r="F404" s="134"/>
      <c r="G404" s="134"/>
      <c r="H404" s="134"/>
      <c r="I404" s="135"/>
      <c r="J404" s="135"/>
      <c r="K404" s="134"/>
      <c r="L404" s="210"/>
      <c r="M404" s="136"/>
      <c r="N404" s="136"/>
    </row>
    <row r="405" spans="1:14" ht="15" x14ac:dyDescent="0.25">
      <c r="A405" s="153"/>
      <c r="B405" s="147"/>
      <c r="C405" s="134"/>
      <c r="D405" s="134"/>
      <c r="E405" s="134"/>
      <c r="F405" s="134"/>
      <c r="G405" s="134"/>
      <c r="H405" s="134"/>
      <c r="I405" s="135"/>
      <c r="J405" s="135"/>
      <c r="K405" s="134"/>
      <c r="L405" s="210"/>
      <c r="M405" s="136"/>
      <c r="N405" s="136"/>
    </row>
    <row r="406" spans="1:14" ht="15" x14ac:dyDescent="0.25">
      <c r="A406" s="153"/>
      <c r="B406" s="147"/>
      <c r="C406" s="134"/>
      <c r="D406" s="134"/>
      <c r="E406" s="134"/>
      <c r="F406" s="134"/>
      <c r="G406" s="134"/>
      <c r="H406" s="134"/>
      <c r="I406" s="135"/>
      <c r="J406" s="135"/>
      <c r="K406" s="134"/>
      <c r="L406" s="210"/>
      <c r="M406" s="136"/>
      <c r="N406" s="136"/>
    </row>
    <row r="407" spans="1:14" ht="15" x14ac:dyDescent="0.25">
      <c r="A407" s="153"/>
      <c r="B407" s="147"/>
      <c r="C407" s="134"/>
      <c r="D407" s="134"/>
      <c r="E407" s="134"/>
      <c r="F407" s="134"/>
      <c r="G407" s="134"/>
      <c r="H407" s="134"/>
      <c r="I407" s="135"/>
      <c r="J407" s="135"/>
      <c r="K407" s="134"/>
      <c r="L407" s="210"/>
      <c r="M407" s="136"/>
      <c r="N407" s="136"/>
    </row>
    <row r="408" spans="1:14" ht="15" x14ac:dyDescent="0.25">
      <c r="A408" s="153"/>
      <c r="B408" s="147"/>
      <c r="C408" s="134"/>
      <c r="D408" s="134"/>
      <c r="E408" s="134"/>
      <c r="F408" s="134"/>
      <c r="G408" s="134"/>
      <c r="H408" s="134"/>
      <c r="I408" s="135"/>
      <c r="J408" s="135"/>
      <c r="K408" s="134"/>
      <c r="L408" s="210"/>
      <c r="M408" s="136"/>
      <c r="N408" s="136"/>
    </row>
    <row r="409" spans="1:14" ht="15" x14ac:dyDescent="0.25">
      <c r="A409" s="153"/>
      <c r="B409" s="147"/>
      <c r="C409" s="134"/>
      <c r="D409" s="134"/>
      <c r="E409" s="134"/>
      <c r="F409" s="134"/>
      <c r="G409" s="134"/>
      <c r="H409" s="134"/>
      <c r="I409" s="135"/>
      <c r="J409" s="135"/>
      <c r="K409" s="134"/>
      <c r="L409" s="210"/>
      <c r="M409" s="136"/>
      <c r="N409" s="136"/>
    </row>
    <row r="410" spans="1:14" ht="15" x14ac:dyDescent="0.25">
      <c r="A410" s="153"/>
      <c r="B410" s="147"/>
      <c r="C410" s="134"/>
      <c r="D410" s="134"/>
      <c r="E410" s="134"/>
      <c r="F410" s="134"/>
      <c r="G410" s="134"/>
      <c r="H410" s="134"/>
      <c r="I410" s="135"/>
      <c r="J410" s="135"/>
      <c r="K410" s="134"/>
      <c r="L410" s="210"/>
      <c r="M410" s="136"/>
      <c r="N410" s="136"/>
    </row>
    <row r="411" spans="1:14" ht="15" x14ac:dyDescent="0.25">
      <c r="A411" s="153"/>
      <c r="B411" s="147"/>
      <c r="C411" s="134"/>
      <c r="D411" s="134"/>
      <c r="E411" s="134"/>
      <c r="F411" s="134"/>
      <c r="G411" s="134"/>
      <c r="H411" s="134"/>
      <c r="I411" s="135"/>
      <c r="J411" s="135"/>
      <c r="K411" s="134"/>
      <c r="L411" s="210"/>
      <c r="M411" s="136"/>
      <c r="N411" s="136"/>
    </row>
    <row r="412" spans="1:14" ht="15" x14ac:dyDescent="0.25">
      <c r="A412" s="153"/>
      <c r="B412" s="147"/>
      <c r="C412" s="134"/>
      <c r="D412" s="134"/>
      <c r="E412" s="134"/>
      <c r="F412" s="134"/>
      <c r="G412" s="134"/>
      <c r="H412" s="134"/>
      <c r="I412" s="135"/>
      <c r="J412" s="135"/>
      <c r="K412" s="134"/>
      <c r="L412" s="210"/>
      <c r="M412" s="136"/>
      <c r="N412" s="136"/>
    </row>
    <row r="413" spans="1:14" ht="15" x14ac:dyDescent="0.25">
      <c r="A413" s="153"/>
      <c r="B413" s="147"/>
      <c r="C413" s="134"/>
      <c r="D413" s="134"/>
      <c r="E413" s="134"/>
      <c r="F413" s="134"/>
      <c r="G413" s="134"/>
      <c r="H413" s="134"/>
      <c r="I413" s="135"/>
      <c r="J413" s="135"/>
      <c r="K413" s="134"/>
      <c r="L413" s="210"/>
      <c r="M413" s="136"/>
      <c r="N413" s="136"/>
    </row>
    <row r="414" spans="1:14" ht="15" x14ac:dyDescent="0.25">
      <c r="A414" s="153"/>
      <c r="B414" s="147"/>
      <c r="C414" s="134"/>
      <c r="D414" s="134"/>
      <c r="E414" s="134"/>
      <c r="F414" s="134"/>
      <c r="G414" s="134"/>
      <c r="H414" s="134"/>
      <c r="I414" s="135"/>
      <c r="J414" s="135"/>
      <c r="K414" s="134"/>
      <c r="L414" s="210"/>
      <c r="M414" s="136"/>
      <c r="N414" s="136"/>
    </row>
    <row r="415" spans="1:14" ht="15" x14ac:dyDescent="0.25">
      <c r="A415" s="153"/>
      <c r="B415" s="147"/>
      <c r="C415" s="134"/>
      <c r="D415" s="134"/>
      <c r="E415" s="134"/>
      <c r="F415" s="134"/>
      <c r="G415" s="134"/>
      <c r="H415" s="134"/>
      <c r="I415" s="135"/>
      <c r="J415" s="135"/>
      <c r="K415" s="134"/>
      <c r="L415" s="210"/>
      <c r="M415" s="136"/>
      <c r="N415" s="136"/>
    </row>
    <row r="416" spans="1:14" ht="15" x14ac:dyDescent="0.25">
      <c r="A416" s="153"/>
      <c r="B416" s="147"/>
      <c r="C416" s="134"/>
      <c r="D416" s="134"/>
      <c r="E416" s="134"/>
      <c r="F416" s="134"/>
      <c r="G416" s="134"/>
      <c r="H416" s="134"/>
      <c r="I416" s="135"/>
      <c r="J416" s="135"/>
      <c r="K416" s="134"/>
      <c r="L416" s="210"/>
      <c r="M416" s="136"/>
      <c r="N416" s="136"/>
    </row>
    <row r="417" spans="1:14" ht="15" x14ac:dyDescent="0.25">
      <c r="A417" s="153"/>
      <c r="B417" s="147"/>
      <c r="C417" s="134"/>
      <c r="D417" s="134"/>
      <c r="E417" s="134"/>
      <c r="F417" s="134"/>
      <c r="G417" s="134"/>
      <c r="H417" s="134"/>
      <c r="I417" s="135"/>
      <c r="J417" s="135"/>
      <c r="K417" s="134"/>
      <c r="L417" s="210"/>
      <c r="M417" s="136"/>
      <c r="N417" s="136"/>
    </row>
    <row r="418" spans="1:14" ht="15" x14ac:dyDescent="0.25">
      <c r="A418" s="153"/>
      <c r="B418" s="147"/>
      <c r="C418" s="134"/>
      <c r="D418" s="134"/>
      <c r="E418" s="134"/>
      <c r="F418" s="134"/>
      <c r="G418" s="134"/>
      <c r="H418" s="134"/>
      <c r="I418" s="135"/>
      <c r="J418" s="135"/>
      <c r="K418" s="134"/>
      <c r="L418" s="210"/>
      <c r="M418" s="136"/>
      <c r="N418" s="136"/>
    </row>
    <row r="419" spans="1:14" ht="15" x14ac:dyDescent="0.25">
      <c r="A419" s="153"/>
      <c r="B419" s="147"/>
      <c r="C419" s="134"/>
      <c r="D419" s="134"/>
      <c r="E419" s="134"/>
      <c r="F419" s="134"/>
      <c r="G419" s="134"/>
      <c r="H419" s="134"/>
      <c r="I419" s="135"/>
      <c r="J419" s="135"/>
      <c r="K419" s="134"/>
      <c r="L419" s="210"/>
      <c r="M419" s="136"/>
      <c r="N419" s="136"/>
    </row>
    <row r="420" spans="1:14" ht="15" x14ac:dyDescent="0.25">
      <c r="A420" s="153"/>
      <c r="B420" s="147"/>
      <c r="C420" s="134"/>
      <c r="D420" s="134"/>
      <c r="E420" s="134"/>
      <c r="F420" s="134"/>
      <c r="G420" s="134"/>
      <c r="H420" s="134"/>
      <c r="I420" s="135"/>
      <c r="J420" s="135"/>
      <c r="K420" s="134"/>
      <c r="L420" s="210"/>
      <c r="M420" s="136"/>
      <c r="N420" s="136"/>
    </row>
    <row r="421" spans="1:14" ht="15" x14ac:dyDescent="0.25">
      <c r="A421" s="153"/>
      <c r="B421" s="147"/>
      <c r="C421" s="134"/>
      <c r="D421" s="134"/>
      <c r="E421" s="134"/>
      <c r="F421" s="134"/>
      <c r="G421" s="134"/>
      <c r="H421" s="134"/>
      <c r="I421" s="135"/>
      <c r="J421" s="135"/>
      <c r="K421" s="134"/>
      <c r="L421" s="210"/>
      <c r="M421" s="136"/>
      <c r="N421" s="136"/>
    </row>
    <row r="422" spans="1:14" ht="15" x14ac:dyDescent="0.25">
      <c r="A422" s="153"/>
      <c r="B422" s="147"/>
      <c r="C422" s="134"/>
      <c r="D422" s="134"/>
      <c r="E422" s="134"/>
      <c r="F422" s="134"/>
      <c r="G422" s="134"/>
      <c r="H422" s="134"/>
      <c r="I422" s="135"/>
      <c r="J422" s="135"/>
      <c r="K422" s="134"/>
      <c r="L422" s="210"/>
      <c r="M422" s="136"/>
      <c r="N422" s="136"/>
    </row>
    <row r="423" spans="1:14" ht="15" x14ac:dyDescent="0.25">
      <c r="A423" s="153"/>
      <c r="B423" s="147"/>
      <c r="C423" s="134"/>
      <c r="D423" s="134"/>
      <c r="E423" s="134"/>
      <c r="F423" s="134"/>
      <c r="G423" s="134"/>
      <c r="H423" s="134"/>
      <c r="I423" s="135"/>
      <c r="J423" s="135"/>
      <c r="K423" s="134"/>
      <c r="L423" s="210"/>
      <c r="M423" s="136"/>
      <c r="N423" s="136"/>
    </row>
    <row r="424" spans="1:14" ht="15" x14ac:dyDescent="0.25">
      <c r="A424" s="153"/>
      <c r="B424" s="147"/>
      <c r="C424" s="134"/>
      <c r="D424" s="134"/>
      <c r="E424" s="134"/>
      <c r="F424" s="134"/>
      <c r="G424" s="134"/>
      <c r="H424" s="134"/>
      <c r="I424" s="135"/>
      <c r="J424" s="135"/>
      <c r="K424" s="134"/>
      <c r="L424" s="210"/>
      <c r="M424" s="136"/>
      <c r="N424" s="136"/>
    </row>
    <row r="425" spans="1:14" ht="15" x14ac:dyDescent="0.25">
      <c r="A425" s="153"/>
      <c r="B425" s="147"/>
      <c r="C425" s="134"/>
      <c r="D425" s="134"/>
      <c r="E425" s="134"/>
      <c r="F425" s="134"/>
      <c r="G425" s="134"/>
      <c r="H425" s="134"/>
      <c r="I425" s="135"/>
      <c r="J425" s="135"/>
      <c r="K425" s="134"/>
      <c r="L425" s="210"/>
      <c r="M425" s="136"/>
      <c r="N425" s="136"/>
    </row>
    <row r="426" spans="1:14" ht="15" x14ac:dyDescent="0.25">
      <c r="A426" s="153"/>
      <c r="B426" s="147"/>
      <c r="C426" s="134"/>
      <c r="D426" s="134"/>
      <c r="E426" s="134"/>
      <c r="F426" s="134"/>
      <c r="G426" s="134"/>
      <c r="H426" s="134"/>
      <c r="I426" s="135"/>
      <c r="J426" s="135"/>
      <c r="K426" s="134"/>
      <c r="L426" s="210"/>
      <c r="M426" s="136"/>
      <c r="N426" s="136"/>
    </row>
    <row r="427" spans="1:14" ht="15" x14ac:dyDescent="0.25">
      <c r="A427" s="153"/>
      <c r="B427" s="147"/>
      <c r="C427" s="134"/>
      <c r="D427" s="134"/>
      <c r="E427" s="134"/>
      <c r="F427" s="134"/>
      <c r="G427" s="134"/>
      <c r="H427" s="134"/>
      <c r="I427" s="135"/>
      <c r="J427" s="135"/>
      <c r="K427" s="134"/>
      <c r="L427" s="210"/>
      <c r="M427" s="136"/>
      <c r="N427" s="136"/>
    </row>
    <row r="428" spans="1:14" ht="15" x14ac:dyDescent="0.25">
      <c r="A428" s="153"/>
      <c r="B428" s="147"/>
      <c r="C428" s="134"/>
      <c r="D428" s="134"/>
      <c r="E428" s="134"/>
      <c r="F428" s="134"/>
      <c r="G428" s="134"/>
      <c r="H428" s="134"/>
      <c r="I428" s="135"/>
      <c r="J428" s="135"/>
      <c r="K428" s="134"/>
      <c r="L428" s="210"/>
      <c r="M428" s="136"/>
      <c r="N428" s="136"/>
    </row>
    <row r="429" spans="1:14" ht="15" x14ac:dyDescent="0.25">
      <c r="A429" s="153"/>
      <c r="B429" s="147"/>
      <c r="C429" s="134"/>
      <c r="D429" s="134"/>
      <c r="E429" s="134"/>
      <c r="F429" s="134"/>
      <c r="G429" s="134"/>
      <c r="H429" s="134"/>
      <c r="I429" s="135"/>
      <c r="J429" s="135"/>
      <c r="K429" s="134"/>
      <c r="L429" s="210"/>
      <c r="M429" s="136"/>
      <c r="N429" s="136"/>
    </row>
    <row r="430" spans="1:14" ht="15" x14ac:dyDescent="0.25">
      <c r="A430" s="263"/>
      <c r="B430" s="264"/>
      <c r="C430" s="265"/>
      <c r="D430" s="265"/>
      <c r="E430" s="265"/>
      <c r="F430" s="265"/>
      <c r="G430" s="265"/>
      <c r="H430" s="265"/>
      <c r="I430" s="266"/>
      <c r="J430" s="266"/>
      <c r="K430" s="265"/>
      <c r="L430" s="210"/>
      <c r="M430" s="136"/>
      <c r="N430" s="136"/>
    </row>
    <row r="431" spans="1:14" ht="15" x14ac:dyDescent="0.25">
      <c r="A431" s="263"/>
      <c r="B431" s="264"/>
      <c r="C431" s="265"/>
      <c r="D431" s="265"/>
      <c r="E431" s="265"/>
      <c r="F431" s="265"/>
      <c r="G431" s="265"/>
      <c r="H431" s="265"/>
      <c r="I431" s="266"/>
      <c r="J431" s="266"/>
      <c r="K431" s="265"/>
      <c r="L431" s="210"/>
      <c r="M431" s="136"/>
      <c r="N431" s="136"/>
    </row>
    <row r="432" spans="1:14" ht="15" x14ac:dyDescent="0.25">
      <c r="A432" s="263"/>
      <c r="B432" s="264"/>
      <c r="C432" s="265"/>
      <c r="D432" s="265"/>
      <c r="E432" s="265"/>
      <c r="F432" s="265"/>
      <c r="G432" s="265"/>
      <c r="H432" s="265"/>
      <c r="I432" s="266"/>
      <c r="J432" s="266"/>
      <c r="K432" s="265"/>
      <c r="L432" s="210"/>
      <c r="M432" s="136"/>
      <c r="N432" s="136"/>
    </row>
    <row r="433" spans="1:21" ht="15" x14ac:dyDescent="0.25">
      <c r="A433" s="263"/>
      <c r="B433" s="264"/>
      <c r="C433" s="265"/>
      <c r="D433" s="265"/>
      <c r="E433" s="265"/>
      <c r="F433" s="265"/>
      <c r="G433" s="265"/>
      <c r="H433" s="265"/>
      <c r="I433" s="266"/>
      <c r="J433" s="266"/>
      <c r="K433" s="265"/>
      <c r="L433" s="210"/>
      <c r="M433" s="136"/>
      <c r="N433" s="136"/>
      <c r="U433" s="70" t="s">
        <v>349</v>
      </c>
    </row>
    <row r="434" spans="1:21" ht="15" x14ac:dyDescent="0.25">
      <c r="A434" s="153"/>
      <c r="B434" s="147"/>
      <c r="C434" s="134"/>
      <c r="D434" s="134"/>
      <c r="E434" s="134"/>
      <c r="F434" s="134"/>
      <c r="G434" s="134"/>
      <c r="H434" s="134"/>
      <c r="I434" s="135"/>
      <c r="J434" s="135"/>
      <c r="K434" s="134"/>
      <c r="L434" s="210">
        <f>I434+J434*EERR!$D$2</f>
        <v>0</v>
      </c>
      <c r="M434" s="136">
        <f>L434/EERR!$D$2</f>
        <v>0</v>
      </c>
      <c r="N434" s="136">
        <f>SUMIF(Abril!$B$3:$B$98,A434,Abril!$S$3:$S$98)+SUMIF(Abril!$C$3:$C$98,A434,Abril!$S$3:$S$98)</f>
        <v>0</v>
      </c>
    </row>
    <row r="435" spans="1:21" ht="15" x14ac:dyDescent="0.25">
      <c r="A435" s="153"/>
      <c r="B435" s="147"/>
      <c r="C435" s="134"/>
      <c r="D435" s="134"/>
      <c r="E435" s="134"/>
      <c r="F435" s="134"/>
      <c r="G435" s="134"/>
      <c r="H435" s="134"/>
      <c r="I435" s="135"/>
      <c r="J435" s="135"/>
      <c r="K435" s="134"/>
      <c r="L435" s="210">
        <f>I435+J435*EERR!$D$2</f>
        <v>0</v>
      </c>
      <c r="M435" s="136">
        <f>L435/EERR!$D$2</f>
        <v>0</v>
      </c>
      <c r="N435" s="136">
        <f>SUMIF(Abril!$B$3:$B$98,A435,Abril!$S$3:$S$98)+SUMIF(Abril!$C$3:$C$98,A435,Abril!$S$3:$S$98)</f>
        <v>0</v>
      </c>
    </row>
    <row r="436" spans="1:21" ht="15" x14ac:dyDescent="0.25">
      <c r="A436" s="153"/>
      <c r="B436" s="147"/>
      <c r="C436" s="134"/>
      <c r="D436" s="134"/>
      <c r="E436" s="134"/>
      <c r="F436" s="134"/>
      <c r="G436" s="134"/>
      <c r="H436" s="134"/>
      <c r="I436" s="135"/>
      <c r="J436" s="135"/>
      <c r="K436" s="134"/>
      <c r="L436" s="210">
        <f>I436+J436*EERR!$D$2</f>
        <v>0</v>
      </c>
      <c r="M436" s="136">
        <f>L436/EERR!$D$2</f>
        <v>0</v>
      </c>
      <c r="N436" s="136">
        <f>SUMIF(Abril!$B$3:$B$98,A436,Abril!$S$3:$S$98)+SUMIF(Abril!$C$3:$C$98,A436,Abril!$S$3:$S$98)</f>
        <v>0</v>
      </c>
    </row>
    <row r="437" spans="1:21" ht="15" x14ac:dyDescent="0.25">
      <c r="A437" s="153"/>
      <c r="B437" s="147"/>
      <c r="C437" s="134"/>
      <c r="D437" s="134"/>
      <c r="E437" s="134"/>
      <c r="F437" s="134"/>
      <c r="G437" s="134"/>
      <c r="H437" s="134"/>
      <c r="I437" s="135"/>
      <c r="J437" s="135"/>
      <c r="K437" s="134"/>
      <c r="L437" s="210">
        <f>I437+J437*EERR!$D$2</f>
        <v>0</v>
      </c>
      <c r="M437" s="136">
        <f>L437/EERR!$D$2</f>
        <v>0</v>
      </c>
      <c r="N437" s="136">
        <f>SUMIF(Abril!$B$3:$B$98,A437,Abril!$S$3:$S$98)+SUMIF(Abril!$C$3:$C$98,A437,Abril!$S$3:$S$98)</f>
        <v>0</v>
      </c>
    </row>
    <row r="438" spans="1:21" ht="15" x14ac:dyDescent="0.25">
      <c r="A438" s="153"/>
      <c r="B438" s="147"/>
      <c r="C438" s="134"/>
      <c r="D438" s="134"/>
      <c r="E438" s="134"/>
      <c r="F438" s="134"/>
      <c r="G438" s="134"/>
      <c r="H438" s="134"/>
      <c r="I438" s="135">
        <f>SUM(I231:I437)</f>
        <v>6394483</v>
      </c>
      <c r="J438" s="135">
        <f>SUM(J231:J437)</f>
        <v>35722.199999999997</v>
      </c>
      <c r="K438" s="134"/>
      <c r="L438" s="210">
        <f>I438+J438*EERR!$D$2</f>
        <v>29818958.427999999</v>
      </c>
      <c r="M438" s="136">
        <f>L438/EERR!$D$2</f>
        <v>45473.752444566446</v>
      </c>
      <c r="N438" s="136">
        <f>SUMIF(Abril!$B$3:$B$98,A438,Abril!$S$3:$S$98)+SUMIF(Abril!$C$3:$C$98,A438,Abril!$S$3:$S$98)</f>
        <v>0</v>
      </c>
    </row>
    <row r="442" spans="1:21" ht="15" x14ac:dyDescent="0.25">
      <c r="A442" s="201"/>
      <c r="B442" s="201"/>
      <c r="C442" s="201"/>
      <c r="D442" s="201"/>
      <c r="E442" s="201"/>
      <c r="F442" s="201"/>
      <c r="G442" s="201"/>
      <c r="H442" s="201"/>
      <c r="I442" s="228"/>
      <c r="J442" s="228"/>
      <c r="K442" s="201"/>
      <c r="L442" s="228">
        <f>Abril!K99</f>
        <v>0</v>
      </c>
      <c r="M442" s="201"/>
      <c r="N442" s="201"/>
    </row>
    <row r="443" spans="1:21" ht="15" x14ac:dyDescent="0.25">
      <c r="A443" s="201"/>
      <c r="B443" s="229"/>
      <c r="C443" s="201"/>
      <c r="D443" s="201"/>
      <c r="E443" s="201"/>
      <c r="F443" s="201"/>
      <c r="G443" s="201"/>
      <c r="H443" s="201"/>
      <c r="I443" s="228"/>
      <c r="J443" s="228"/>
      <c r="K443" s="201"/>
      <c r="L443" s="202" t="e">
        <f>SUM(L224:L442)</f>
        <v>#VALUE!</v>
      </c>
    </row>
    <row r="444" spans="1:21" ht="15" x14ac:dyDescent="0.25">
      <c r="A444" s="201"/>
      <c r="B444" s="229"/>
      <c r="C444" s="201"/>
      <c r="D444" s="201"/>
      <c r="E444" s="201"/>
      <c r="F444" s="201"/>
      <c r="G444" s="201"/>
      <c r="H444" s="201"/>
      <c r="I444" s="228"/>
      <c r="J444" s="228"/>
      <c r="K444" s="201"/>
    </row>
    <row r="445" spans="1:21" ht="15" x14ac:dyDescent="0.25">
      <c r="A445" s="230"/>
      <c r="B445" s="230"/>
      <c r="C445" s="230"/>
      <c r="D445" s="230"/>
      <c r="E445" s="230"/>
      <c r="F445" s="230"/>
      <c r="G445" s="230" t="s">
        <v>154</v>
      </c>
      <c r="H445" s="230"/>
      <c r="I445" s="231">
        <f>I224</f>
        <v>5696839</v>
      </c>
      <c r="J445" s="231">
        <f>J224</f>
        <v>33666</v>
      </c>
      <c r="K445" s="230"/>
      <c r="L445" s="202">
        <v>51431551.622000001</v>
      </c>
    </row>
    <row r="446" spans="1:21" ht="15" x14ac:dyDescent="0.25">
      <c r="A446" s="230"/>
      <c r="B446" s="230"/>
      <c r="C446" s="230"/>
      <c r="D446" s="230"/>
      <c r="E446" s="230"/>
      <c r="F446" s="230"/>
      <c r="G446" s="230" t="s">
        <v>155</v>
      </c>
      <c r="H446" s="230"/>
      <c r="I446" s="232"/>
      <c r="J446" s="232"/>
      <c r="K446" s="230"/>
    </row>
    <row r="447" spans="1:21" ht="15" x14ac:dyDescent="0.25">
      <c r="A447" s="230"/>
      <c r="B447" s="230"/>
      <c r="C447" s="230"/>
      <c r="D447" s="230"/>
      <c r="E447" s="230"/>
      <c r="F447" s="230"/>
      <c r="G447" s="230"/>
      <c r="H447" s="230"/>
      <c r="K447" s="202"/>
    </row>
    <row r="448" spans="1:21" ht="15" x14ac:dyDescent="0.25">
      <c r="A448" s="230"/>
      <c r="B448" s="230"/>
      <c r="C448" s="230"/>
      <c r="D448" s="230"/>
      <c r="E448" s="230"/>
      <c r="F448" s="230"/>
      <c r="G448" s="230"/>
      <c r="H448" s="230"/>
      <c r="I448" s="233"/>
      <c r="J448" s="233"/>
      <c r="K448" s="230"/>
    </row>
    <row r="449" spans="1:11" x14ac:dyDescent="0.3">
      <c r="A449" s="188" t="s">
        <v>143</v>
      </c>
      <c r="B449" s="230"/>
      <c r="C449" s="230"/>
      <c r="D449" s="230"/>
      <c r="E449" s="230"/>
      <c r="F449" s="230"/>
      <c r="G449" s="230"/>
      <c r="H449" s="230"/>
      <c r="I449" s="233"/>
      <c r="J449" s="233"/>
      <c r="K449" s="230"/>
    </row>
    <row r="450" spans="1:11" ht="15" x14ac:dyDescent="0.25">
      <c r="A450" s="134"/>
      <c r="B450" s="230"/>
      <c r="C450" s="230"/>
      <c r="D450" s="230"/>
      <c r="E450" s="230"/>
      <c r="F450" s="230"/>
      <c r="G450" s="230"/>
      <c r="H450" s="230"/>
      <c r="I450" s="233"/>
      <c r="J450" s="233"/>
      <c r="K450" s="230"/>
    </row>
    <row r="451" spans="1:11" ht="15" x14ac:dyDescent="0.25">
      <c r="A451" s="134"/>
      <c r="B451" s="230"/>
      <c r="C451" s="230"/>
      <c r="D451" s="230"/>
      <c r="E451" s="230"/>
      <c r="F451" s="230"/>
      <c r="G451" s="230"/>
      <c r="H451" s="230"/>
      <c r="I451" s="233"/>
      <c r="J451" s="233"/>
      <c r="K451" s="230"/>
    </row>
    <row r="452" spans="1:11" ht="15" x14ac:dyDescent="0.25">
      <c r="A452" s="134"/>
      <c r="B452" s="230"/>
      <c r="C452" s="230"/>
      <c r="D452" s="230"/>
      <c r="E452" s="230"/>
      <c r="F452" s="230"/>
      <c r="G452" s="230"/>
      <c r="H452" s="230"/>
      <c r="I452" s="233"/>
      <c r="J452" s="233"/>
      <c r="K452" s="230"/>
    </row>
    <row r="453" spans="1:11" ht="15" x14ac:dyDescent="0.25">
      <c r="A453" s="134"/>
      <c r="B453" s="230"/>
      <c r="C453" s="230"/>
      <c r="D453" s="230"/>
      <c r="E453" s="230"/>
      <c r="F453" s="230"/>
      <c r="G453" s="230"/>
      <c r="H453" s="230"/>
      <c r="I453" s="233"/>
      <c r="J453" s="233"/>
      <c r="K453" s="230"/>
    </row>
    <row r="454" spans="1:11" ht="15" x14ac:dyDescent="0.25">
      <c r="A454" s="134"/>
    </row>
    <row r="455" spans="1:11" ht="15" x14ac:dyDescent="0.25">
      <c r="A455" s="134"/>
    </row>
    <row r="456" spans="1:11" ht="15" x14ac:dyDescent="0.25">
      <c r="A456" s="134"/>
    </row>
    <row r="457" spans="1:11" ht="15" x14ac:dyDescent="0.25">
      <c r="A457" s="134"/>
    </row>
    <row r="458" spans="1:11" x14ac:dyDescent="0.3">
      <c r="A458" s="134"/>
    </row>
    <row r="459" spans="1:11" x14ac:dyDescent="0.3">
      <c r="A459" s="134"/>
    </row>
    <row r="460" spans="1:11" x14ac:dyDescent="0.3">
      <c r="A460" s="134"/>
    </row>
    <row r="461" spans="1:11" x14ac:dyDescent="0.3">
      <c r="A461" s="134"/>
    </row>
    <row r="462" spans="1:11" x14ac:dyDescent="0.3">
      <c r="A462" s="134"/>
    </row>
    <row r="463" spans="1:11" x14ac:dyDescent="0.3">
      <c r="A463" s="134"/>
    </row>
    <row r="464" spans="1:11" x14ac:dyDescent="0.3">
      <c r="A464" s="134"/>
    </row>
  </sheetData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92"/>
  <sheetViews>
    <sheetView zoomScale="70" zoomScaleNormal="70" workbookViewId="0">
      <selection activeCell="G92" sqref="B92:G92"/>
    </sheetView>
  </sheetViews>
  <sheetFormatPr baseColWidth="10" defaultRowHeight="13.8" x14ac:dyDescent="0.25"/>
  <cols>
    <col min="1" max="1" width="3.88671875" style="20" customWidth="1"/>
    <col min="2" max="2" width="18.77734375" style="20" customWidth="1"/>
    <col min="3" max="3" width="20.21875" style="20" customWidth="1"/>
    <col min="4" max="4" width="33.33203125" style="20" customWidth="1"/>
    <col min="5" max="5" width="14.77734375" style="20" customWidth="1"/>
    <col min="6" max="6" width="15" style="20" customWidth="1"/>
    <col min="7" max="7" width="15.6640625" style="20" customWidth="1"/>
    <col min="8" max="8" width="14.88671875" style="20" customWidth="1"/>
    <col min="9" max="9" width="27" style="54" customWidth="1"/>
    <col min="10" max="10" width="13.33203125" style="54" customWidth="1"/>
    <col min="11" max="11" width="12" style="20" customWidth="1"/>
    <col min="12" max="12" width="5.6640625" style="20" customWidth="1"/>
    <col min="13" max="13" width="18.109375" style="20" customWidth="1"/>
    <col min="14" max="14" width="7.21875" style="20" customWidth="1"/>
    <col min="15" max="15" width="12.33203125" style="131" customWidth="1"/>
    <col min="16" max="16" width="9.6640625" style="54" customWidth="1"/>
    <col min="17" max="18" width="1.88671875" style="54" customWidth="1"/>
    <col min="19" max="19" width="10.6640625" style="132" customWidth="1"/>
    <col min="20" max="20" width="11.6640625" style="132" customWidth="1"/>
    <col min="21" max="21" width="4.109375" style="54" customWidth="1"/>
    <col min="22" max="22" width="36.21875" style="54" customWidth="1"/>
    <col min="23" max="23" width="29.77734375" style="54" customWidth="1"/>
    <col min="24" max="232" width="9.109375" style="20" customWidth="1"/>
    <col min="233" max="233" width="3.88671875" style="20" customWidth="1"/>
    <col min="234" max="235" width="23.33203125" style="20" customWidth="1"/>
    <col min="236" max="236" width="39" style="20" customWidth="1"/>
    <col min="237" max="237" width="19.6640625" style="20" customWidth="1"/>
    <col min="238" max="241" width="15.6640625" style="20" customWidth="1"/>
    <col min="242" max="488" width="9.109375" style="20" customWidth="1"/>
    <col min="489" max="489" width="3.88671875" style="20" customWidth="1"/>
    <col min="490" max="491" width="23.33203125" style="20" customWidth="1"/>
    <col min="492" max="492" width="39" style="20" customWidth="1"/>
    <col min="493" max="493" width="19.6640625" style="20" customWidth="1"/>
    <col min="494" max="497" width="15.6640625" style="20" customWidth="1"/>
    <col min="498" max="744" width="9.109375" style="20" customWidth="1"/>
    <col min="745" max="745" width="3.88671875" style="20" customWidth="1"/>
    <col min="746" max="747" width="23.33203125" style="20" customWidth="1"/>
    <col min="748" max="748" width="39" style="20" customWidth="1"/>
    <col min="749" max="749" width="19.6640625" style="20" customWidth="1"/>
    <col min="750" max="753" width="15.6640625" style="20" customWidth="1"/>
    <col min="754" max="1000" width="9.109375" style="20" customWidth="1"/>
    <col min="1001" max="1001" width="3.88671875" style="20" customWidth="1"/>
    <col min="1002" max="1003" width="23.33203125" style="20" customWidth="1"/>
    <col min="1004" max="1004" width="39" style="20" customWidth="1"/>
    <col min="1005" max="1005" width="19.6640625" style="20" customWidth="1"/>
    <col min="1006" max="1009" width="15.6640625" style="20" customWidth="1"/>
    <col min="1010" max="1256" width="9.109375" style="20" customWidth="1"/>
    <col min="1257" max="1257" width="3.88671875" style="20" customWidth="1"/>
    <col min="1258" max="1259" width="23.33203125" style="20" customWidth="1"/>
    <col min="1260" max="1260" width="39" style="20" customWidth="1"/>
    <col min="1261" max="1261" width="19.6640625" style="20" customWidth="1"/>
    <col min="1262" max="1265" width="15.6640625" style="20" customWidth="1"/>
    <col min="1266" max="1512" width="9.109375" style="20" customWidth="1"/>
    <col min="1513" max="1513" width="3.88671875" style="20" customWidth="1"/>
    <col min="1514" max="1515" width="23.33203125" style="20" customWidth="1"/>
    <col min="1516" max="1516" width="39" style="20" customWidth="1"/>
    <col min="1517" max="1517" width="19.6640625" style="20" customWidth="1"/>
    <col min="1518" max="1521" width="15.6640625" style="20" customWidth="1"/>
    <col min="1522" max="1768" width="9.109375" style="20" customWidth="1"/>
    <col min="1769" max="1769" width="3.88671875" style="20" customWidth="1"/>
    <col min="1770" max="1771" width="23.33203125" style="20" customWidth="1"/>
    <col min="1772" max="1772" width="39" style="20" customWidth="1"/>
    <col min="1773" max="1773" width="19.6640625" style="20" customWidth="1"/>
    <col min="1774" max="1777" width="15.6640625" style="20" customWidth="1"/>
    <col min="1778" max="2024" width="9.109375" style="20" customWidth="1"/>
    <col min="2025" max="2025" width="3.88671875" style="20" customWidth="1"/>
    <col min="2026" max="2027" width="23.33203125" style="20" customWidth="1"/>
    <col min="2028" max="2028" width="39" style="20" customWidth="1"/>
    <col min="2029" max="2029" width="19.6640625" style="20" customWidth="1"/>
    <col min="2030" max="2033" width="15.6640625" style="20" customWidth="1"/>
    <col min="2034" max="2280" width="9.109375" style="20" customWidth="1"/>
    <col min="2281" max="2281" width="3.88671875" style="20" customWidth="1"/>
    <col min="2282" max="2283" width="23.33203125" style="20" customWidth="1"/>
    <col min="2284" max="2284" width="39" style="20" customWidth="1"/>
    <col min="2285" max="2285" width="19.6640625" style="20" customWidth="1"/>
    <col min="2286" max="2289" width="15.6640625" style="20" customWidth="1"/>
    <col min="2290" max="2536" width="9.109375" style="20" customWidth="1"/>
    <col min="2537" max="2537" width="3.88671875" style="20" customWidth="1"/>
    <col min="2538" max="2539" width="23.33203125" style="20" customWidth="1"/>
    <col min="2540" max="2540" width="39" style="20" customWidth="1"/>
    <col min="2541" max="2541" width="19.6640625" style="20" customWidth="1"/>
    <col min="2542" max="2545" width="15.6640625" style="20" customWidth="1"/>
    <col min="2546" max="2792" width="9.109375" style="20" customWidth="1"/>
    <col min="2793" max="2793" width="3.88671875" style="20" customWidth="1"/>
    <col min="2794" max="2795" width="23.33203125" style="20" customWidth="1"/>
    <col min="2796" max="2796" width="39" style="20" customWidth="1"/>
    <col min="2797" max="2797" width="19.6640625" style="20" customWidth="1"/>
    <col min="2798" max="2801" width="15.6640625" style="20" customWidth="1"/>
    <col min="2802" max="3048" width="9.109375" style="20" customWidth="1"/>
    <col min="3049" max="3049" width="3.88671875" style="20" customWidth="1"/>
    <col min="3050" max="3051" width="23.33203125" style="20" customWidth="1"/>
    <col min="3052" max="3052" width="39" style="20" customWidth="1"/>
    <col min="3053" max="3053" width="19.6640625" style="20" customWidth="1"/>
    <col min="3054" max="3057" width="15.6640625" style="20" customWidth="1"/>
    <col min="3058" max="3304" width="9.109375" style="20" customWidth="1"/>
    <col min="3305" max="3305" width="3.88671875" style="20" customWidth="1"/>
    <col min="3306" max="3307" width="23.33203125" style="20" customWidth="1"/>
    <col min="3308" max="3308" width="39" style="20" customWidth="1"/>
    <col min="3309" max="3309" width="19.6640625" style="20" customWidth="1"/>
    <col min="3310" max="3313" width="15.6640625" style="20" customWidth="1"/>
    <col min="3314" max="3560" width="9.109375" style="20" customWidth="1"/>
    <col min="3561" max="3561" width="3.88671875" style="20" customWidth="1"/>
    <col min="3562" max="3563" width="23.33203125" style="20" customWidth="1"/>
    <col min="3564" max="3564" width="39" style="20" customWidth="1"/>
    <col min="3565" max="3565" width="19.6640625" style="20" customWidth="1"/>
    <col min="3566" max="3569" width="15.6640625" style="20" customWidth="1"/>
    <col min="3570" max="3816" width="9.109375" style="20" customWidth="1"/>
    <col min="3817" max="3817" width="3.88671875" style="20" customWidth="1"/>
    <col min="3818" max="3819" width="23.33203125" style="20" customWidth="1"/>
    <col min="3820" max="3820" width="39" style="20" customWidth="1"/>
    <col min="3821" max="3821" width="19.6640625" style="20" customWidth="1"/>
    <col min="3822" max="3825" width="15.6640625" style="20" customWidth="1"/>
    <col min="3826" max="4072" width="9.109375" style="20" customWidth="1"/>
    <col min="4073" max="4073" width="3.88671875" style="20" customWidth="1"/>
    <col min="4074" max="4075" width="23.33203125" style="20" customWidth="1"/>
    <col min="4076" max="4076" width="39" style="20" customWidth="1"/>
    <col min="4077" max="4077" width="19.6640625" style="20" customWidth="1"/>
    <col min="4078" max="4081" width="15.6640625" style="20" customWidth="1"/>
    <col min="4082" max="4328" width="9.109375" style="20" customWidth="1"/>
    <col min="4329" max="4329" width="3.88671875" style="20" customWidth="1"/>
    <col min="4330" max="4331" width="23.33203125" style="20" customWidth="1"/>
    <col min="4332" max="4332" width="39" style="20" customWidth="1"/>
    <col min="4333" max="4333" width="19.6640625" style="20" customWidth="1"/>
    <col min="4334" max="4337" width="15.6640625" style="20" customWidth="1"/>
    <col min="4338" max="4584" width="9.109375" style="20" customWidth="1"/>
    <col min="4585" max="4585" width="3.88671875" style="20" customWidth="1"/>
    <col min="4586" max="4587" width="23.33203125" style="20" customWidth="1"/>
    <col min="4588" max="4588" width="39" style="20" customWidth="1"/>
    <col min="4589" max="4589" width="19.6640625" style="20" customWidth="1"/>
    <col min="4590" max="4593" width="15.6640625" style="20" customWidth="1"/>
    <col min="4594" max="4840" width="9.109375" style="20" customWidth="1"/>
    <col min="4841" max="4841" width="3.88671875" style="20" customWidth="1"/>
    <col min="4842" max="4843" width="23.33203125" style="20" customWidth="1"/>
    <col min="4844" max="4844" width="39" style="20" customWidth="1"/>
    <col min="4845" max="4845" width="19.6640625" style="20" customWidth="1"/>
    <col min="4846" max="4849" width="15.6640625" style="20" customWidth="1"/>
    <col min="4850" max="5096" width="9.109375" style="20" customWidth="1"/>
    <col min="5097" max="5097" width="3.88671875" style="20" customWidth="1"/>
    <col min="5098" max="5099" width="23.33203125" style="20" customWidth="1"/>
    <col min="5100" max="5100" width="39" style="20" customWidth="1"/>
    <col min="5101" max="5101" width="19.6640625" style="20" customWidth="1"/>
    <col min="5102" max="5105" width="15.6640625" style="20" customWidth="1"/>
    <col min="5106" max="5352" width="9.109375" style="20" customWidth="1"/>
    <col min="5353" max="5353" width="3.88671875" style="20" customWidth="1"/>
    <col min="5354" max="5355" width="23.33203125" style="20" customWidth="1"/>
    <col min="5356" max="5356" width="39" style="20" customWidth="1"/>
    <col min="5357" max="5357" width="19.6640625" style="20" customWidth="1"/>
    <col min="5358" max="5361" width="15.6640625" style="20" customWidth="1"/>
    <col min="5362" max="5608" width="9.109375" style="20" customWidth="1"/>
    <col min="5609" max="5609" width="3.88671875" style="20" customWidth="1"/>
    <col min="5610" max="5611" width="23.33203125" style="20" customWidth="1"/>
    <col min="5612" max="5612" width="39" style="20" customWidth="1"/>
    <col min="5613" max="5613" width="19.6640625" style="20" customWidth="1"/>
    <col min="5614" max="5617" width="15.6640625" style="20" customWidth="1"/>
    <col min="5618" max="5864" width="9.109375" style="20" customWidth="1"/>
    <col min="5865" max="5865" width="3.88671875" style="20" customWidth="1"/>
    <col min="5866" max="5867" width="23.33203125" style="20" customWidth="1"/>
    <col min="5868" max="5868" width="39" style="20" customWidth="1"/>
    <col min="5869" max="5869" width="19.6640625" style="20" customWidth="1"/>
    <col min="5870" max="5873" width="15.6640625" style="20" customWidth="1"/>
    <col min="5874" max="6120" width="9.109375" style="20" customWidth="1"/>
    <col min="6121" max="6121" width="3.88671875" style="20" customWidth="1"/>
    <col min="6122" max="6123" width="23.33203125" style="20" customWidth="1"/>
    <col min="6124" max="6124" width="39" style="20" customWidth="1"/>
    <col min="6125" max="6125" width="19.6640625" style="20" customWidth="1"/>
    <col min="6126" max="6129" width="15.6640625" style="20" customWidth="1"/>
    <col min="6130" max="6376" width="9.109375" style="20" customWidth="1"/>
    <col min="6377" max="6377" width="3.88671875" style="20" customWidth="1"/>
    <col min="6378" max="6379" width="23.33203125" style="20" customWidth="1"/>
    <col min="6380" max="6380" width="39" style="20" customWidth="1"/>
    <col min="6381" max="6381" width="19.6640625" style="20" customWidth="1"/>
    <col min="6382" max="6385" width="15.6640625" style="20" customWidth="1"/>
    <col min="6386" max="6632" width="9.109375" style="20" customWidth="1"/>
    <col min="6633" max="6633" width="3.88671875" style="20" customWidth="1"/>
    <col min="6634" max="6635" width="23.33203125" style="20" customWidth="1"/>
    <col min="6636" max="6636" width="39" style="20" customWidth="1"/>
    <col min="6637" max="6637" width="19.6640625" style="20" customWidth="1"/>
    <col min="6638" max="6641" width="15.6640625" style="20" customWidth="1"/>
    <col min="6642" max="6888" width="9.109375" style="20" customWidth="1"/>
    <col min="6889" max="6889" width="3.88671875" style="20" customWidth="1"/>
    <col min="6890" max="6891" width="23.33203125" style="20" customWidth="1"/>
    <col min="6892" max="6892" width="39" style="20" customWidth="1"/>
    <col min="6893" max="6893" width="19.6640625" style="20" customWidth="1"/>
    <col min="6894" max="6897" width="15.6640625" style="20" customWidth="1"/>
    <col min="6898" max="7144" width="9.109375" style="20" customWidth="1"/>
    <col min="7145" max="7145" width="3.88671875" style="20" customWidth="1"/>
    <col min="7146" max="7147" width="23.33203125" style="20" customWidth="1"/>
    <col min="7148" max="7148" width="39" style="20" customWidth="1"/>
    <col min="7149" max="7149" width="19.6640625" style="20" customWidth="1"/>
    <col min="7150" max="7153" width="15.6640625" style="20" customWidth="1"/>
    <col min="7154" max="7400" width="9.109375" style="20" customWidth="1"/>
    <col min="7401" max="7401" width="3.88671875" style="20" customWidth="1"/>
    <col min="7402" max="7403" width="23.33203125" style="20" customWidth="1"/>
    <col min="7404" max="7404" width="39" style="20" customWidth="1"/>
    <col min="7405" max="7405" width="19.6640625" style="20" customWidth="1"/>
    <col min="7406" max="7409" width="15.6640625" style="20" customWidth="1"/>
    <col min="7410" max="7656" width="9.109375" style="20" customWidth="1"/>
    <col min="7657" max="7657" width="3.88671875" style="20" customWidth="1"/>
    <col min="7658" max="7659" width="23.33203125" style="20" customWidth="1"/>
    <col min="7660" max="7660" width="39" style="20" customWidth="1"/>
    <col min="7661" max="7661" width="19.6640625" style="20" customWidth="1"/>
    <col min="7662" max="7665" width="15.6640625" style="20" customWidth="1"/>
    <col min="7666" max="7912" width="9.109375" style="20" customWidth="1"/>
    <col min="7913" max="7913" width="3.88671875" style="20" customWidth="1"/>
    <col min="7914" max="7915" width="23.33203125" style="20" customWidth="1"/>
    <col min="7916" max="7916" width="39" style="20" customWidth="1"/>
    <col min="7917" max="7917" width="19.6640625" style="20" customWidth="1"/>
    <col min="7918" max="7921" width="15.6640625" style="20" customWidth="1"/>
    <col min="7922" max="8168" width="9.109375" style="20" customWidth="1"/>
    <col min="8169" max="8169" width="3.88671875" style="20" customWidth="1"/>
    <col min="8170" max="8171" width="23.33203125" style="20" customWidth="1"/>
    <col min="8172" max="8172" width="39" style="20" customWidth="1"/>
    <col min="8173" max="8173" width="19.6640625" style="20" customWidth="1"/>
    <col min="8174" max="8177" width="15.6640625" style="20" customWidth="1"/>
    <col min="8178" max="8424" width="9.109375" style="20" customWidth="1"/>
    <col min="8425" max="8425" width="3.88671875" style="20" customWidth="1"/>
    <col min="8426" max="8427" width="23.33203125" style="20" customWidth="1"/>
    <col min="8428" max="8428" width="39" style="20" customWidth="1"/>
    <col min="8429" max="8429" width="19.6640625" style="20" customWidth="1"/>
    <col min="8430" max="8433" width="15.6640625" style="20" customWidth="1"/>
    <col min="8434" max="8680" width="9.109375" style="20" customWidth="1"/>
    <col min="8681" max="8681" width="3.88671875" style="20" customWidth="1"/>
    <col min="8682" max="8683" width="23.33203125" style="20" customWidth="1"/>
    <col min="8684" max="8684" width="39" style="20" customWidth="1"/>
    <col min="8685" max="8685" width="19.6640625" style="20" customWidth="1"/>
    <col min="8686" max="8689" width="15.6640625" style="20" customWidth="1"/>
    <col min="8690" max="8936" width="9.109375" style="20" customWidth="1"/>
    <col min="8937" max="8937" width="3.88671875" style="20" customWidth="1"/>
    <col min="8938" max="8939" width="23.33203125" style="20" customWidth="1"/>
    <col min="8940" max="8940" width="39" style="20" customWidth="1"/>
    <col min="8941" max="8941" width="19.6640625" style="20" customWidth="1"/>
    <col min="8942" max="8945" width="15.6640625" style="20" customWidth="1"/>
    <col min="8946" max="9192" width="9.109375" style="20" customWidth="1"/>
    <col min="9193" max="9193" width="3.88671875" style="20" customWidth="1"/>
    <col min="9194" max="9195" width="23.33203125" style="20" customWidth="1"/>
    <col min="9196" max="9196" width="39" style="20" customWidth="1"/>
    <col min="9197" max="9197" width="19.6640625" style="20" customWidth="1"/>
    <col min="9198" max="9201" width="15.6640625" style="20" customWidth="1"/>
    <col min="9202" max="9448" width="9.109375" style="20" customWidth="1"/>
    <col min="9449" max="9449" width="3.88671875" style="20" customWidth="1"/>
    <col min="9450" max="9451" width="23.33203125" style="20" customWidth="1"/>
    <col min="9452" max="9452" width="39" style="20" customWidth="1"/>
    <col min="9453" max="9453" width="19.6640625" style="20" customWidth="1"/>
    <col min="9454" max="9457" width="15.6640625" style="20" customWidth="1"/>
    <col min="9458" max="9704" width="9.109375" style="20" customWidth="1"/>
    <col min="9705" max="9705" width="3.88671875" style="20" customWidth="1"/>
    <col min="9706" max="9707" width="23.33203125" style="20" customWidth="1"/>
    <col min="9708" max="9708" width="39" style="20" customWidth="1"/>
    <col min="9709" max="9709" width="19.6640625" style="20" customWidth="1"/>
    <col min="9710" max="9713" width="15.6640625" style="20" customWidth="1"/>
    <col min="9714" max="9960" width="9.109375" style="20" customWidth="1"/>
    <col min="9961" max="9961" width="3.88671875" style="20" customWidth="1"/>
    <col min="9962" max="9963" width="23.33203125" style="20" customWidth="1"/>
    <col min="9964" max="9964" width="39" style="20" customWidth="1"/>
    <col min="9965" max="9965" width="19.6640625" style="20" customWidth="1"/>
    <col min="9966" max="9969" width="15.6640625" style="20" customWidth="1"/>
    <col min="9970" max="10216" width="9.109375" style="20" customWidth="1"/>
    <col min="10217" max="10217" width="3.88671875" style="20" customWidth="1"/>
    <col min="10218" max="10219" width="23.33203125" style="20" customWidth="1"/>
    <col min="10220" max="10220" width="39" style="20" customWidth="1"/>
    <col min="10221" max="10221" width="19.6640625" style="20" customWidth="1"/>
    <col min="10222" max="10225" width="15.6640625" style="20" customWidth="1"/>
    <col min="10226" max="10472" width="9.109375" style="20" customWidth="1"/>
    <col min="10473" max="10473" width="3.88671875" style="20" customWidth="1"/>
    <col min="10474" max="10475" width="23.33203125" style="20" customWidth="1"/>
    <col min="10476" max="10476" width="39" style="20" customWidth="1"/>
    <col min="10477" max="10477" width="19.6640625" style="20" customWidth="1"/>
    <col min="10478" max="10481" width="15.6640625" style="20" customWidth="1"/>
    <col min="10482" max="10728" width="9.109375" style="20" customWidth="1"/>
    <col min="10729" max="10729" width="3.88671875" style="20" customWidth="1"/>
    <col min="10730" max="10731" width="23.33203125" style="20" customWidth="1"/>
    <col min="10732" max="10732" width="39" style="20" customWidth="1"/>
    <col min="10733" max="10733" width="19.6640625" style="20" customWidth="1"/>
    <col min="10734" max="10737" width="15.6640625" style="20" customWidth="1"/>
    <col min="10738" max="10984" width="9.109375" style="20" customWidth="1"/>
    <col min="10985" max="10985" width="3.88671875" style="20" customWidth="1"/>
    <col min="10986" max="10987" width="23.33203125" style="20" customWidth="1"/>
    <col min="10988" max="10988" width="39" style="20" customWidth="1"/>
    <col min="10989" max="10989" width="19.6640625" style="20" customWidth="1"/>
    <col min="10990" max="10993" width="15.6640625" style="20" customWidth="1"/>
    <col min="10994" max="11240" width="9.109375" style="20" customWidth="1"/>
    <col min="11241" max="11241" width="3.88671875" style="20" customWidth="1"/>
    <col min="11242" max="11243" width="23.33203125" style="20" customWidth="1"/>
    <col min="11244" max="11244" width="39" style="20" customWidth="1"/>
    <col min="11245" max="11245" width="19.6640625" style="20" customWidth="1"/>
    <col min="11246" max="11249" width="15.6640625" style="20" customWidth="1"/>
    <col min="11250" max="11496" width="9.109375" style="20" customWidth="1"/>
    <col min="11497" max="11497" width="3.88671875" style="20" customWidth="1"/>
    <col min="11498" max="11499" width="23.33203125" style="20" customWidth="1"/>
    <col min="11500" max="11500" width="39" style="20" customWidth="1"/>
    <col min="11501" max="11501" width="19.6640625" style="20" customWidth="1"/>
    <col min="11502" max="11505" width="15.6640625" style="20" customWidth="1"/>
    <col min="11506" max="11752" width="9.109375" style="20" customWidth="1"/>
    <col min="11753" max="11753" width="3.88671875" style="20" customWidth="1"/>
    <col min="11754" max="11755" width="23.33203125" style="20" customWidth="1"/>
    <col min="11756" max="11756" width="39" style="20" customWidth="1"/>
    <col min="11757" max="11757" width="19.6640625" style="20" customWidth="1"/>
    <col min="11758" max="11761" width="15.6640625" style="20" customWidth="1"/>
    <col min="11762" max="12008" width="9.109375" style="20" customWidth="1"/>
    <col min="12009" max="12009" width="3.88671875" style="20" customWidth="1"/>
    <col min="12010" max="12011" width="23.33203125" style="20" customWidth="1"/>
    <col min="12012" max="12012" width="39" style="20" customWidth="1"/>
    <col min="12013" max="12013" width="19.6640625" style="20" customWidth="1"/>
    <col min="12014" max="12017" width="15.6640625" style="20" customWidth="1"/>
    <col min="12018" max="12264" width="9.109375" style="20" customWidth="1"/>
    <col min="12265" max="12265" width="3.88671875" style="20" customWidth="1"/>
    <col min="12266" max="12267" width="23.33203125" style="20" customWidth="1"/>
    <col min="12268" max="12268" width="39" style="20" customWidth="1"/>
    <col min="12269" max="12269" width="19.6640625" style="20" customWidth="1"/>
    <col min="12270" max="12273" width="15.6640625" style="20" customWidth="1"/>
    <col min="12274" max="12520" width="9.109375" style="20" customWidth="1"/>
    <col min="12521" max="12521" width="3.88671875" style="20" customWidth="1"/>
    <col min="12522" max="12523" width="23.33203125" style="20" customWidth="1"/>
    <col min="12524" max="12524" width="39" style="20" customWidth="1"/>
    <col min="12525" max="12525" width="19.6640625" style="20" customWidth="1"/>
    <col min="12526" max="12529" width="15.6640625" style="20" customWidth="1"/>
    <col min="12530" max="12776" width="9.109375" style="20" customWidth="1"/>
    <col min="12777" max="12777" width="3.88671875" style="20" customWidth="1"/>
    <col min="12778" max="12779" width="23.33203125" style="20" customWidth="1"/>
    <col min="12780" max="12780" width="39" style="20" customWidth="1"/>
    <col min="12781" max="12781" width="19.6640625" style="20" customWidth="1"/>
    <col min="12782" max="12785" width="15.6640625" style="20" customWidth="1"/>
    <col min="12786" max="13032" width="9.109375" style="20" customWidth="1"/>
    <col min="13033" max="13033" width="3.88671875" style="20" customWidth="1"/>
    <col min="13034" max="13035" width="23.33203125" style="20" customWidth="1"/>
    <col min="13036" max="13036" width="39" style="20" customWidth="1"/>
    <col min="13037" max="13037" width="19.6640625" style="20" customWidth="1"/>
    <col min="13038" max="13041" width="15.6640625" style="20" customWidth="1"/>
    <col min="13042" max="13288" width="9.109375" style="20" customWidth="1"/>
    <col min="13289" max="13289" width="3.88671875" style="20" customWidth="1"/>
    <col min="13290" max="13291" width="23.33203125" style="20" customWidth="1"/>
    <col min="13292" max="13292" width="39" style="20" customWidth="1"/>
    <col min="13293" max="13293" width="19.6640625" style="20" customWidth="1"/>
    <col min="13294" max="13297" width="15.6640625" style="20" customWidth="1"/>
    <col min="13298" max="13544" width="9.109375" style="20" customWidth="1"/>
    <col min="13545" max="13545" width="3.88671875" style="20" customWidth="1"/>
    <col min="13546" max="13547" width="23.33203125" style="20" customWidth="1"/>
    <col min="13548" max="13548" width="39" style="20" customWidth="1"/>
    <col min="13549" max="13549" width="19.6640625" style="20" customWidth="1"/>
    <col min="13550" max="13553" width="15.6640625" style="20" customWidth="1"/>
    <col min="13554" max="13800" width="9.109375" style="20" customWidth="1"/>
    <col min="13801" max="13801" width="3.88671875" style="20" customWidth="1"/>
    <col min="13802" max="13803" width="23.33203125" style="20" customWidth="1"/>
    <col min="13804" max="13804" width="39" style="20" customWidth="1"/>
    <col min="13805" max="13805" width="19.6640625" style="20" customWidth="1"/>
    <col min="13806" max="13809" width="15.6640625" style="20" customWidth="1"/>
    <col min="13810" max="14056" width="9.109375" style="20" customWidth="1"/>
    <col min="14057" max="14057" width="3.88671875" style="20" customWidth="1"/>
    <col min="14058" max="14059" width="23.33203125" style="20" customWidth="1"/>
    <col min="14060" max="14060" width="39" style="20" customWidth="1"/>
    <col min="14061" max="14061" width="19.6640625" style="20" customWidth="1"/>
    <col min="14062" max="14065" width="15.6640625" style="20" customWidth="1"/>
    <col min="14066" max="14312" width="9.109375" style="20" customWidth="1"/>
    <col min="14313" max="14313" width="3.88671875" style="20" customWidth="1"/>
    <col min="14314" max="14315" width="23.33203125" style="20" customWidth="1"/>
    <col min="14316" max="14316" width="39" style="20" customWidth="1"/>
    <col min="14317" max="14317" width="19.6640625" style="20" customWidth="1"/>
    <col min="14318" max="14321" width="15.6640625" style="20" customWidth="1"/>
    <col min="14322" max="14568" width="9.109375" style="20" customWidth="1"/>
    <col min="14569" max="14569" width="3.88671875" style="20" customWidth="1"/>
    <col min="14570" max="14571" width="23.33203125" style="20" customWidth="1"/>
    <col min="14572" max="14572" width="39" style="20" customWidth="1"/>
    <col min="14573" max="14573" width="19.6640625" style="20" customWidth="1"/>
    <col min="14574" max="14577" width="15.6640625" style="20" customWidth="1"/>
    <col min="14578" max="14824" width="9.109375" style="20" customWidth="1"/>
    <col min="14825" max="14825" width="3.88671875" style="20" customWidth="1"/>
    <col min="14826" max="14827" width="23.33203125" style="20" customWidth="1"/>
    <col min="14828" max="14828" width="39" style="20" customWidth="1"/>
    <col min="14829" max="14829" width="19.6640625" style="20" customWidth="1"/>
    <col min="14830" max="14833" width="15.6640625" style="20" customWidth="1"/>
    <col min="14834" max="15080" width="9.109375" style="20" customWidth="1"/>
    <col min="15081" max="15081" width="3.88671875" style="20" customWidth="1"/>
    <col min="15082" max="15083" width="23.33203125" style="20" customWidth="1"/>
    <col min="15084" max="15084" width="39" style="20" customWidth="1"/>
    <col min="15085" max="15085" width="19.6640625" style="20" customWidth="1"/>
    <col min="15086" max="15089" width="15.6640625" style="20" customWidth="1"/>
    <col min="15090" max="15336" width="9.109375" style="20" customWidth="1"/>
    <col min="15337" max="15337" width="3.88671875" style="20" customWidth="1"/>
    <col min="15338" max="15339" width="23.33203125" style="20" customWidth="1"/>
    <col min="15340" max="15340" width="39" style="20" customWidth="1"/>
    <col min="15341" max="15341" width="19.6640625" style="20" customWidth="1"/>
    <col min="15342" max="15345" width="15.6640625" style="20" customWidth="1"/>
    <col min="15346" max="15592" width="9.109375" style="20" customWidth="1"/>
    <col min="15593" max="15593" width="3.88671875" style="20" customWidth="1"/>
    <col min="15594" max="15595" width="23.33203125" style="20" customWidth="1"/>
    <col min="15596" max="15596" width="39" style="20" customWidth="1"/>
    <col min="15597" max="15597" width="19.6640625" style="20" customWidth="1"/>
    <col min="15598" max="15601" width="15.6640625" style="20" customWidth="1"/>
    <col min="15602" max="15848" width="9.109375" style="20" customWidth="1"/>
    <col min="15849" max="15849" width="3.88671875" style="20" customWidth="1"/>
    <col min="15850" max="15851" width="23.33203125" style="20" customWidth="1"/>
    <col min="15852" max="15852" width="39" style="20" customWidth="1"/>
    <col min="15853" max="15853" width="19.6640625" style="20" customWidth="1"/>
    <col min="15854" max="15857" width="15.6640625" style="20" customWidth="1"/>
    <col min="15858" max="16104" width="9.109375" style="20" customWidth="1"/>
    <col min="16105" max="16105" width="3.88671875" style="20" customWidth="1"/>
    <col min="16106" max="16107" width="23.33203125" style="20" customWidth="1"/>
    <col min="16108" max="16108" width="39" style="20" customWidth="1"/>
    <col min="16109" max="16109" width="19.6640625" style="20" customWidth="1"/>
    <col min="16110" max="16113" width="15.6640625" style="20" customWidth="1"/>
    <col min="16114" max="16384" width="9.109375" style="20" customWidth="1"/>
  </cols>
  <sheetData>
    <row r="1" spans="1:25" ht="14.25" x14ac:dyDescent="0.2">
      <c r="A1" s="28"/>
      <c r="M1" s="185"/>
      <c r="N1" s="69"/>
      <c r="O1" s="165" t="s">
        <v>158</v>
      </c>
      <c r="P1" s="166"/>
      <c r="Q1" s="166"/>
      <c r="R1" s="166"/>
      <c r="S1" s="167"/>
      <c r="T1" s="167"/>
      <c r="U1" s="166"/>
      <c r="V1" s="166"/>
      <c r="W1" s="166"/>
    </row>
    <row r="2" spans="1:25" ht="18" customHeight="1" x14ac:dyDescent="0.25">
      <c r="A2" s="28"/>
      <c r="B2" s="71" t="s">
        <v>5</v>
      </c>
      <c r="C2" s="71" t="s">
        <v>45</v>
      </c>
      <c r="D2" s="71" t="s">
        <v>46</v>
      </c>
      <c r="E2" s="71" t="s">
        <v>47</v>
      </c>
      <c r="F2" s="71" t="s">
        <v>48</v>
      </c>
      <c r="G2" s="71" t="s">
        <v>49</v>
      </c>
      <c r="H2" s="71" t="s">
        <v>78</v>
      </c>
      <c r="I2" s="72" t="s">
        <v>58</v>
      </c>
      <c r="J2" s="72" t="s">
        <v>241</v>
      </c>
      <c r="K2" s="72" t="s">
        <v>159</v>
      </c>
      <c r="L2" s="144"/>
      <c r="M2" s="185"/>
      <c r="N2" s="138"/>
      <c r="O2" s="247" t="s">
        <v>5</v>
      </c>
      <c r="P2" s="247" t="s">
        <v>274</v>
      </c>
      <c r="Q2" s="247" t="s">
        <v>275</v>
      </c>
      <c r="R2" s="247" t="s">
        <v>276</v>
      </c>
      <c r="S2" s="247" t="s">
        <v>277</v>
      </c>
      <c r="T2" s="247" t="s">
        <v>156</v>
      </c>
      <c r="U2" s="247" t="s">
        <v>97</v>
      </c>
      <c r="V2" s="247" t="s">
        <v>278</v>
      </c>
      <c r="W2" s="247" t="s">
        <v>279</v>
      </c>
    </row>
    <row r="3" spans="1:25" ht="18" customHeight="1" x14ac:dyDescent="0.3">
      <c r="A3" s="28"/>
      <c r="B3" s="199" t="s">
        <v>1234</v>
      </c>
      <c r="C3" s="200" t="s">
        <v>186</v>
      </c>
      <c r="D3" s="200" t="s">
        <v>190</v>
      </c>
      <c r="E3" s="200" t="s">
        <v>223</v>
      </c>
      <c r="F3" s="200">
        <v>2500000</v>
      </c>
      <c r="G3" s="200" t="s">
        <v>223</v>
      </c>
      <c r="H3" s="200"/>
      <c r="I3" s="234" t="s">
        <v>267</v>
      </c>
      <c r="J3" s="237"/>
      <c r="K3" s="184"/>
      <c r="L3" s="213"/>
      <c r="M3" s="138"/>
      <c r="N3" s="138"/>
      <c r="O3" s="283" t="s">
        <v>1234</v>
      </c>
      <c r="P3" s="284" t="s">
        <v>1266</v>
      </c>
      <c r="Q3" s="284" t="s">
        <v>256</v>
      </c>
      <c r="R3" s="284" t="s">
        <v>215</v>
      </c>
      <c r="S3" s="285" t="s">
        <v>292</v>
      </c>
      <c r="T3" s="291" t="s">
        <v>789</v>
      </c>
      <c r="U3" s="284" t="s">
        <v>212</v>
      </c>
      <c r="V3" s="284" t="s">
        <v>257</v>
      </c>
      <c r="W3" s="286" t="s">
        <v>273</v>
      </c>
      <c r="Y3" s="20">
        <f t="shared" ref="Y3:Y30" si="0">VALUE(T8)</f>
        <v>-110000</v>
      </c>
    </row>
    <row r="4" spans="1:25" ht="18" customHeight="1" x14ac:dyDescent="0.35">
      <c r="A4" s="28"/>
      <c r="B4" s="199" t="s">
        <v>1235</v>
      </c>
      <c r="C4" s="200" t="s">
        <v>186</v>
      </c>
      <c r="D4" s="200" t="s">
        <v>187</v>
      </c>
      <c r="E4" s="200" t="s">
        <v>223</v>
      </c>
      <c r="F4" s="200">
        <v>126007</v>
      </c>
      <c r="G4" s="200" t="s">
        <v>223</v>
      </c>
      <c r="H4" s="200"/>
      <c r="I4" s="234" t="s">
        <v>268</v>
      </c>
      <c r="J4" s="237"/>
      <c r="K4" s="184"/>
      <c r="L4" s="213"/>
      <c r="M4" s="138" t="s">
        <v>222</v>
      </c>
      <c r="N4" s="138"/>
      <c r="O4" s="287" t="s">
        <v>1235</v>
      </c>
      <c r="P4" s="284" t="s">
        <v>1267</v>
      </c>
      <c r="Q4" s="284" t="s">
        <v>248</v>
      </c>
      <c r="R4" s="284" t="s">
        <v>213</v>
      </c>
      <c r="S4" s="285" t="s">
        <v>291</v>
      </c>
      <c r="T4" s="291" t="s">
        <v>1268</v>
      </c>
      <c r="U4" s="284" t="s">
        <v>212</v>
      </c>
      <c r="V4" s="284" t="s">
        <v>249</v>
      </c>
      <c r="W4" s="286" t="s">
        <v>1269</v>
      </c>
      <c r="Y4" s="251">
        <f t="shared" si="0"/>
        <v>-523946</v>
      </c>
    </row>
    <row r="5" spans="1:25" ht="18" customHeight="1" x14ac:dyDescent="0.35">
      <c r="A5" s="28"/>
      <c r="B5" s="199" t="s">
        <v>1236</v>
      </c>
      <c r="C5" s="200" t="s">
        <v>188</v>
      </c>
      <c r="D5" s="200" t="s">
        <v>189</v>
      </c>
      <c r="E5" s="200" t="s">
        <v>223</v>
      </c>
      <c r="F5" s="200">
        <v>11134</v>
      </c>
      <c r="G5" s="200" t="s">
        <v>223</v>
      </c>
      <c r="H5" s="200"/>
      <c r="I5" s="234" t="s">
        <v>266</v>
      </c>
      <c r="J5" s="237"/>
      <c r="K5" s="184"/>
      <c r="L5" s="213"/>
      <c r="M5" s="138"/>
      <c r="N5" s="138"/>
      <c r="O5" s="287" t="s">
        <v>1237</v>
      </c>
      <c r="P5" s="284" t="s">
        <v>1270</v>
      </c>
      <c r="Q5" s="284" t="s">
        <v>792</v>
      </c>
      <c r="R5" s="284" t="s">
        <v>211</v>
      </c>
      <c r="S5" s="285" t="s">
        <v>793</v>
      </c>
      <c r="T5" s="291" t="s">
        <v>1271</v>
      </c>
      <c r="U5" s="284" t="s">
        <v>212</v>
      </c>
      <c r="V5" s="284" t="s">
        <v>794</v>
      </c>
      <c r="W5" s="286" t="s">
        <v>1272</v>
      </c>
      <c r="Y5" s="251">
        <f t="shared" si="0"/>
        <v>-30000</v>
      </c>
    </row>
    <row r="6" spans="1:25" ht="18" customHeight="1" x14ac:dyDescent="0.3">
      <c r="A6" s="28"/>
      <c r="B6" s="199" t="s">
        <v>1237</v>
      </c>
      <c r="C6" s="200" t="s">
        <v>186</v>
      </c>
      <c r="D6" s="200" t="s">
        <v>187</v>
      </c>
      <c r="E6" s="200" t="s">
        <v>223</v>
      </c>
      <c r="F6" s="200">
        <v>1244286</v>
      </c>
      <c r="G6" s="200" t="s">
        <v>223</v>
      </c>
      <c r="H6" s="200"/>
      <c r="I6" s="234" t="s">
        <v>50</v>
      </c>
      <c r="J6" s="237"/>
      <c r="K6" s="184"/>
      <c r="L6" s="213"/>
      <c r="M6" s="138"/>
      <c r="N6" s="138"/>
      <c r="O6" s="287" t="s">
        <v>1237</v>
      </c>
      <c r="P6" s="284" t="s">
        <v>1273</v>
      </c>
      <c r="Q6" s="284" t="s">
        <v>256</v>
      </c>
      <c r="R6" s="284" t="s">
        <v>1274</v>
      </c>
      <c r="S6" s="285" t="s">
        <v>1275</v>
      </c>
      <c r="T6" s="291" t="s">
        <v>1276</v>
      </c>
      <c r="U6" s="284" t="s">
        <v>212</v>
      </c>
      <c r="V6" s="284" t="s">
        <v>1277</v>
      </c>
      <c r="W6" s="286" t="s">
        <v>1278</v>
      </c>
      <c r="Y6" s="251">
        <f t="shared" si="0"/>
        <v>-200000</v>
      </c>
    </row>
    <row r="7" spans="1:25" s="121" customFormat="1" ht="18" customHeight="1" x14ac:dyDescent="0.3">
      <c r="A7" s="28"/>
      <c r="B7" s="199" t="s">
        <v>1237</v>
      </c>
      <c r="C7" s="200" t="s">
        <v>186</v>
      </c>
      <c r="D7" s="200" t="s">
        <v>191</v>
      </c>
      <c r="E7" s="200" t="s">
        <v>223</v>
      </c>
      <c r="F7" s="200">
        <v>0</v>
      </c>
      <c r="G7" s="200" t="s">
        <v>1238</v>
      </c>
      <c r="H7" s="200"/>
      <c r="I7" s="234" t="s">
        <v>201</v>
      </c>
      <c r="J7" s="237"/>
      <c r="K7" s="184"/>
      <c r="L7" s="213"/>
      <c r="M7" s="138" t="s">
        <v>1432</v>
      </c>
      <c r="N7" s="138"/>
      <c r="O7" s="287" t="s">
        <v>1237</v>
      </c>
      <c r="P7" s="284" t="s">
        <v>1279</v>
      </c>
      <c r="Q7" s="284" t="s">
        <v>1280</v>
      </c>
      <c r="R7" s="284" t="s">
        <v>214</v>
      </c>
      <c r="S7" s="285" t="s">
        <v>1281</v>
      </c>
      <c r="T7" s="291" t="s">
        <v>1282</v>
      </c>
      <c r="U7" s="284" t="s">
        <v>212</v>
      </c>
      <c r="V7" s="284" t="s">
        <v>1283</v>
      </c>
      <c r="W7" s="286" t="s">
        <v>1284</v>
      </c>
      <c r="Y7" s="251">
        <f t="shared" si="0"/>
        <v>-300000</v>
      </c>
    </row>
    <row r="8" spans="1:25" ht="18" customHeight="1" x14ac:dyDescent="0.35">
      <c r="A8" s="28"/>
      <c r="B8" s="199" t="s">
        <v>1237</v>
      </c>
      <c r="C8" s="200" t="s">
        <v>186</v>
      </c>
      <c r="D8" s="200" t="s">
        <v>191</v>
      </c>
      <c r="E8" s="200" t="s">
        <v>223</v>
      </c>
      <c r="F8" s="200">
        <v>0</v>
      </c>
      <c r="G8" s="200" t="s">
        <v>1239</v>
      </c>
      <c r="H8" s="200"/>
      <c r="I8" s="234" t="s">
        <v>201</v>
      </c>
      <c r="J8" s="237"/>
      <c r="K8" s="184"/>
      <c r="L8" s="213"/>
      <c r="M8" s="138" t="s">
        <v>1433</v>
      </c>
      <c r="N8" s="138"/>
      <c r="O8" s="283" t="s">
        <v>1244</v>
      </c>
      <c r="P8" s="284" t="s">
        <v>1285</v>
      </c>
      <c r="Q8" s="284" t="s">
        <v>1286</v>
      </c>
      <c r="R8" s="284" t="s">
        <v>214</v>
      </c>
      <c r="S8" s="285" t="s">
        <v>1287</v>
      </c>
      <c r="T8" s="291" t="s">
        <v>1288</v>
      </c>
      <c r="U8" s="284" t="s">
        <v>212</v>
      </c>
      <c r="V8" s="284" t="s">
        <v>1289</v>
      </c>
      <c r="W8" s="286" t="s">
        <v>1290</v>
      </c>
      <c r="Y8" s="251">
        <f t="shared" si="0"/>
        <v>-100000</v>
      </c>
    </row>
    <row r="9" spans="1:25" ht="18" customHeight="1" x14ac:dyDescent="0.35">
      <c r="A9" s="28"/>
      <c r="B9" s="199" t="s">
        <v>1237</v>
      </c>
      <c r="C9" s="200" t="s">
        <v>192</v>
      </c>
      <c r="D9" s="200" t="s">
        <v>193</v>
      </c>
      <c r="E9" s="200" t="s">
        <v>223</v>
      </c>
      <c r="F9" s="200">
        <v>4120242</v>
      </c>
      <c r="G9" s="200" t="s">
        <v>223</v>
      </c>
      <c r="H9" s="200"/>
      <c r="I9" s="234" t="s">
        <v>22</v>
      </c>
      <c r="J9" s="237"/>
      <c r="K9" s="184"/>
      <c r="L9" s="213"/>
      <c r="M9" s="138"/>
      <c r="N9" s="138"/>
      <c r="O9" s="283" t="s">
        <v>1247</v>
      </c>
      <c r="P9" s="284" t="s">
        <v>1291</v>
      </c>
      <c r="Q9" s="284" t="s">
        <v>795</v>
      </c>
      <c r="R9" s="284" t="s">
        <v>214</v>
      </c>
      <c r="S9" s="285" t="s">
        <v>796</v>
      </c>
      <c r="T9" s="291" t="s">
        <v>1292</v>
      </c>
      <c r="U9" s="284" t="s">
        <v>212</v>
      </c>
      <c r="V9" s="284" t="s">
        <v>797</v>
      </c>
      <c r="W9" s="286" t="s">
        <v>1293</v>
      </c>
      <c r="Y9" s="251">
        <f t="shared" si="0"/>
        <v>-865056</v>
      </c>
    </row>
    <row r="10" spans="1:25" ht="18" customHeight="1" x14ac:dyDescent="0.35">
      <c r="A10" s="28"/>
      <c r="B10" s="199" t="s">
        <v>1240</v>
      </c>
      <c r="C10" s="200" t="s">
        <v>186</v>
      </c>
      <c r="D10" s="200" t="s">
        <v>187</v>
      </c>
      <c r="E10" s="200" t="s">
        <v>223</v>
      </c>
      <c r="F10" s="200">
        <v>431924</v>
      </c>
      <c r="G10" s="200" t="s">
        <v>223</v>
      </c>
      <c r="H10" s="200"/>
      <c r="I10" s="234" t="s">
        <v>268</v>
      </c>
      <c r="J10" s="237"/>
      <c r="K10" s="184"/>
      <c r="L10" s="213"/>
      <c r="M10" s="138" t="s">
        <v>1434</v>
      </c>
      <c r="N10" s="138"/>
      <c r="O10" s="283" t="s">
        <v>1247</v>
      </c>
      <c r="P10" s="284" t="s">
        <v>1294</v>
      </c>
      <c r="Q10" s="284" t="s">
        <v>380</v>
      </c>
      <c r="R10" s="284" t="s">
        <v>214</v>
      </c>
      <c r="S10" s="285" t="s">
        <v>381</v>
      </c>
      <c r="T10" s="291" t="s">
        <v>1295</v>
      </c>
      <c r="U10" s="284" t="s">
        <v>212</v>
      </c>
      <c r="V10" s="284" t="s">
        <v>382</v>
      </c>
      <c r="W10" s="286" t="s">
        <v>1296</v>
      </c>
      <c r="Y10" s="251">
        <f t="shared" si="0"/>
        <v>-1000000</v>
      </c>
    </row>
    <row r="11" spans="1:25" ht="18" customHeight="1" x14ac:dyDescent="0.3">
      <c r="A11" s="28"/>
      <c r="B11" s="199" t="s">
        <v>1240</v>
      </c>
      <c r="C11" s="200" t="s">
        <v>186</v>
      </c>
      <c r="D11" s="200" t="s">
        <v>187</v>
      </c>
      <c r="E11" s="200" t="s">
        <v>223</v>
      </c>
      <c r="F11" s="200">
        <v>2000000</v>
      </c>
      <c r="G11" s="200" t="s">
        <v>223</v>
      </c>
      <c r="H11" s="200"/>
      <c r="I11" s="234" t="s">
        <v>200</v>
      </c>
      <c r="J11" s="237"/>
      <c r="K11" s="184"/>
      <c r="L11" s="213"/>
      <c r="M11" s="138" t="s">
        <v>1435</v>
      </c>
      <c r="N11" s="138"/>
      <c r="O11" s="283" t="s">
        <v>1297</v>
      </c>
      <c r="P11" s="284" t="s">
        <v>1298</v>
      </c>
      <c r="Q11" s="284" t="s">
        <v>350</v>
      </c>
      <c r="R11" s="284" t="s">
        <v>214</v>
      </c>
      <c r="S11" s="285" t="s">
        <v>351</v>
      </c>
      <c r="T11" s="291" t="s">
        <v>791</v>
      </c>
      <c r="U11" s="284" t="s">
        <v>212</v>
      </c>
      <c r="V11" s="284" t="s">
        <v>352</v>
      </c>
      <c r="W11" s="286" t="s">
        <v>1299</v>
      </c>
      <c r="Y11" s="251">
        <f t="shared" si="0"/>
        <v>-243366</v>
      </c>
    </row>
    <row r="12" spans="1:25" ht="18" customHeight="1" x14ac:dyDescent="0.35">
      <c r="A12" s="28"/>
      <c r="B12" s="310" t="s">
        <v>1241</v>
      </c>
      <c r="C12" s="311" t="s">
        <v>1242</v>
      </c>
      <c r="D12" s="311" t="s">
        <v>1243</v>
      </c>
      <c r="E12" s="311" t="s">
        <v>223</v>
      </c>
      <c r="F12" s="311">
        <v>1268006</v>
      </c>
      <c r="G12" s="311" t="s">
        <v>223</v>
      </c>
      <c r="H12" s="311"/>
      <c r="I12" s="312"/>
      <c r="J12" s="237"/>
      <c r="K12" s="184"/>
      <c r="L12" s="213"/>
      <c r="M12" s="138"/>
      <c r="N12" s="138"/>
      <c r="O12" s="283" t="s">
        <v>1300</v>
      </c>
      <c r="P12" s="284" t="s">
        <v>1301</v>
      </c>
      <c r="Q12" s="284" t="s">
        <v>217</v>
      </c>
      <c r="R12" s="284" t="s">
        <v>211</v>
      </c>
      <c r="S12" s="285" t="s">
        <v>295</v>
      </c>
      <c r="T12" s="291" t="s">
        <v>1302</v>
      </c>
      <c r="U12" s="284" t="s">
        <v>212</v>
      </c>
      <c r="V12" s="284" t="s">
        <v>227</v>
      </c>
      <c r="W12" s="286" t="s">
        <v>1299</v>
      </c>
      <c r="Y12" s="251">
        <f t="shared" si="0"/>
        <v>-1057558</v>
      </c>
    </row>
    <row r="13" spans="1:25" ht="18" customHeight="1" x14ac:dyDescent="0.35">
      <c r="A13" s="28"/>
      <c r="B13" s="199" t="s">
        <v>1244</v>
      </c>
      <c r="C13" s="200" t="s">
        <v>188</v>
      </c>
      <c r="D13" s="200" t="s">
        <v>196</v>
      </c>
      <c r="E13" s="200" t="s">
        <v>1245</v>
      </c>
      <c r="F13" s="200">
        <v>3226086</v>
      </c>
      <c r="G13" s="200" t="s">
        <v>223</v>
      </c>
      <c r="H13" s="200"/>
      <c r="I13" s="234" t="s">
        <v>51</v>
      </c>
      <c r="J13" s="237"/>
      <c r="K13" s="184"/>
      <c r="L13" s="213"/>
      <c r="M13" s="138"/>
      <c r="N13" s="138"/>
      <c r="O13" s="283" t="s">
        <v>1254</v>
      </c>
      <c r="P13" s="284" t="s">
        <v>1303</v>
      </c>
      <c r="Q13" s="284" t="s">
        <v>1304</v>
      </c>
      <c r="R13" s="284" t="s">
        <v>214</v>
      </c>
      <c r="S13" s="285" t="s">
        <v>1305</v>
      </c>
      <c r="T13" s="291" t="s">
        <v>1306</v>
      </c>
      <c r="U13" s="284" t="s">
        <v>212</v>
      </c>
      <c r="V13" s="284" t="s">
        <v>1307</v>
      </c>
      <c r="W13" s="286" t="s">
        <v>1308</v>
      </c>
      <c r="Y13" s="251">
        <f t="shared" si="0"/>
        <v>-54264</v>
      </c>
    </row>
    <row r="14" spans="1:25" ht="18" customHeight="1" x14ac:dyDescent="0.35">
      <c r="A14" s="28"/>
      <c r="B14" s="199" t="s">
        <v>1244</v>
      </c>
      <c r="C14" s="200" t="s">
        <v>188</v>
      </c>
      <c r="D14" s="200" t="s">
        <v>196</v>
      </c>
      <c r="E14" s="200" t="s">
        <v>1246</v>
      </c>
      <c r="F14" s="200">
        <v>198864</v>
      </c>
      <c r="G14" s="200" t="s">
        <v>223</v>
      </c>
      <c r="H14" s="200"/>
      <c r="I14" s="234" t="s">
        <v>265</v>
      </c>
      <c r="J14" s="237"/>
      <c r="K14" s="184"/>
      <c r="L14" s="213"/>
      <c r="M14" s="138"/>
      <c r="N14" s="138"/>
      <c r="O14" s="283" t="s">
        <v>1254</v>
      </c>
      <c r="P14" s="284" t="s">
        <v>1309</v>
      </c>
      <c r="Q14" s="284" t="s">
        <v>1310</v>
      </c>
      <c r="R14" s="284" t="s">
        <v>215</v>
      </c>
      <c r="S14" s="285" t="s">
        <v>1311</v>
      </c>
      <c r="T14" s="291" t="s">
        <v>1312</v>
      </c>
      <c r="U14" s="284" t="s">
        <v>212</v>
      </c>
      <c r="V14" s="284" t="s">
        <v>1313</v>
      </c>
      <c r="W14" s="286" t="s">
        <v>1314</v>
      </c>
      <c r="Y14" s="251">
        <f t="shared" si="0"/>
        <v>-228900</v>
      </c>
    </row>
    <row r="15" spans="1:25" ht="18" customHeight="1" x14ac:dyDescent="0.3">
      <c r="A15" s="28"/>
      <c r="B15" s="199" t="s">
        <v>1247</v>
      </c>
      <c r="C15" s="200" t="s">
        <v>1242</v>
      </c>
      <c r="D15" s="200" t="s">
        <v>1248</v>
      </c>
      <c r="E15" s="200" t="s">
        <v>223</v>
      </c>
      <c r="F15" s="200">
        <v>0</v>
      </c>
      <c r="G15" s="200" t="s">
        <v>1249</v>
      </c>
      <c r="H15" s="200"/>
      <c r="I15" s="234"/>
      <c r="J15" s="237"/>
      <c r="K15" s="184"/>
      <c r="L15" s="213"/>
      <c r="M15" s="138"/>
      <c r="N15" s="138"/>
      <c r="O15" s="283" t="s">
        <v>1257</v>
      </c>
      <c r="P15" s="284" t="s">
        <v>1315</v>
      </c>
      <c r="Q15" s="284" t="s">
        <v>256</v>
      </c>
      <c r="R15" s="284" t="s">
        <v>215</v>
      </c>
      <c r="S15" s="285" t="s">
        <v>292</v>
      </c>
      <c r="T15" s="291" t="s">
        <v>1316</v>
      </c>
      <c r="U15" s="284" t="s">
        <v>212</v>
      </c>
      <c r="V15" s="284" t="s">
        <v>257</v>
      </c>
      <c r="W15" s="286" t="s">
        <v>273</v>
      </c>
      <c r="Y15" s="251">
        <f t="shared" si="0"/>
        <v>-100000</v>
      </c>
    </row>
    <row r="16" spans="1:25" ht="18" customHeight="1" x14ac:dyDescent="0.3">
      <c r="A16" s="28"/>
      <c r="B16" s="199" t="s">
        <v>1247</v>
      </c>
      <c r="C16" s="200" t="s">
        <v>188</v>
      </c>
      <c r="D16" s="200" t="s">
        <v>356</v>
      </c>
      <c r="E16" s="200" t="s">
        <v>1250</v>
      </c>
      <c r="F16" s="200">
        <v>58746</v>
      </c>
      <c r="G16" s="200" t="s">
        <v>223</v>
      </c>
      <c r="H16" s="200"/>
      <c r="I16" s="234" t="s">
        <v>270</v>
      </c>
      <c r="J16" s="237"/>
      <c r="K16" s="184"/>
      <c r="L16" s="213"/>
      <c r="M16" s="138" t="s">
        <v>1436</v>
      </c>
      <c r="N16" s="138"/>
      <c r="O16" s="283" t="s">
        <v>1258</v>
      </c>
      <c r="P16" s="284" t="s">
        <v>1317</v>
      </c>
      <c r="Q16" s="284" t="s">
        <v>1318</v>
      </c>
      <c r="R16" s="284" t="s">
        <v>211</v>
      </c>
      <c r="S16" s="285" t="s">
        <v>1319</v>
      </c>
      <c r="T16" s="291" t="s">
        <v>1320</v>
      </c>
      <c r="U16" s="284" t="s">
        <v>212</v>
      </c>
      <c r="V16" s="284" t="s">
        <v>1321</v>
      </c>
      <c r="W16" s="286" t="s">
        <v>1322</v>
      </c>
      <c r="Y16" s="251">
        <f t="shared" si="0"/>
        <v>-1007339</v>
      </c>
    </row>
    <row r="17" spans="1:25" ht="18" customHeight="1" x14ac:dyDescent="0.3">
      <c r="A17" s="28"/>
      <c r="B17" s="199" t="s">
        <v>1247</v>
      </c>
      <c r="C17" s="200" t="s">
        <v>188</v>
      </c>
      <c r="D17" s="200" t="s">
        <v>356</v>
      </c>
      <c r="E17" s="200" t="s">
        <v>1251</v>
      </c>
      <c r="F17" s="200">
        <v>186274</v>
      </c>
      <c r="G17" s="200" t="s">
        <v>223</v>
      </c>
      <c r="H17" s="200"/>
      <c r="I17" s="234" t="s">
        <v>270</v>
      </c>
      <c r="J17" s="237"/>
      <c r="K17" s="184"/>
      <c r="L17" s="213"/>
      <c r="M17" s="138" t="s">
        <v>1436</v>
      </c>
      <c r="N17" s="138"/>
      <c r="O17" s="283" t="s">
        <v>1258</v>
      </c>
      <c r="P17" s="284" t="s">
        <v>1323</v>
      </c>
      <c r="Q17" s="284" t="s">
        <v>218</v>
      </c>
      <c r="R17" s="284" t="s">
        <v>215</v>
      </c>
      <c r="S17" s="285" t="s">
        <v>298</v>
      </c>
      <c r="T17" s="291" t="s">
        <v>1324</v>
      </c>
      <c r="U17" s="284" t="s">
        <v>212</v>
      </c>
      <c r="V17" s="284" t="s">
        <v>225</v>
      </c>
      <c r="W17" s="286" t="s">
        <v>1325</v>
      </c>
      <c r="Y17" s="251">
        <f t="shared" si="0"/>
        <v>-1227842</v>
      </c>
    </row>
    <row r="18" spans="1:25" ht="18" customHeight="1" x14ac:dyDescent="0.3">
      <c r="A18" s="28"/>
      <c r="B18" s="199" t="s">
        <v>1247</v>
      </c>
      <c r="C18" s="200" t="s">
        <v>186</v>
      </c>
      <c r="D18" s="200" t="s">
        <v>187</v>
      </c>
      <c r="E18" s="200" t="s">
        <v>223</v>
      </c>
      <c r="F18" s="200">
        <v>30000</v>
      </c>
      <c r="G18" s="200" t="s">
        <v>223</v>
      </c>
      <c r="H18" s="200"/>
      <c r="I18" s="234" t="s">
        <v>50</v>
      </c>
      <c r="J18" s="237"/>
      <c r="K18" s="184"/>
      <c r="L18" s="213"/>
      <c r="M18" s="138"/>
      <c r="N18" s="138"/>
      <c r="O18" s="283" t="s">
        <v>1258</v>
      </c>
      <c r="P18" s="284" t="s">
        <v>1326</v>
      </c>
      <c r="Q18" s="284" t="s">
        <v>1327</v>
      </c>
      <c r="R18" s="284" t="s">
        <v>215</v>
      </c>
      <c r="S18" s="285" t="s">
        <v>1328</v>
      </c>
      <c r="T18" s="291" t="s">
        <v>1329</v>
      </c>
      <c r="U18" s="284" t="s">
        <v>212</v>
      </c>
      <c r="V18" s="284" t="s">
        <v>1330</v>
      </c>
      <c r="W18" s="286" t="s">
        <v>1331</v>
      </c>
      <c r="Y18" s="251">
        <f t="shared" si="0"/>
        <v>-568909</v>
      </c>
    </row>
    <row r="19" spans="1:25" ht="18" customHeight="1" x14ac:dyDescent="0.35">
      <c r="A19" s="28"/>
      <c r="B19" s="199" t="s">
        <v>1247</v>
      </c>
      <c r="C19" s="200" t="s">
        <v>186</v>
      </c>
      <c r="D19" s="200" t="s">
        <v>187</v>
      </c>
      <c r="E19" s="200" t="s">
        <v>223</v>
      </c>
      <c r="F19" s="200">
        <v>110000</v>
      </c>
      <c r="G19" s="200" t="s">
        <v>223</v>
      </c>
      <c r="H19" s="200"/>
      <c r="I19" s="234" t="s">
        <v>268</v>
      </c>
      <c r="J19" s="237"/>
      <c r="K19" s="184"/>
      <c r="L19" s="213"/>
      <c r="M19" s="138" t="s">
        <v>1437</v>
      </c>
      <c r="N19" s="138"/>
      <c r="O19" s="283" t="s">
        <v>1259</v>
      </c>
      <c r="P19" s="284" t="s">
        <v>1332</v>
      </c>
      <c r="Q19" s="284" t="s">
        <v>1333</v>
      </c>
      <c r="R19" s="284" t="s">
        <v>215</v>
      </c>
      <c r="S19" s="285" t="s">
        <v>1334</v>
      </c>
      <c r="T19" s="291" t="s">
        <v>1335</v>
      </c>
      <c r="U19" s="284" t="s">
        <v>212</v>
      </c>
      <c r="V19" s="284" t="s">
        <v>1336</v>
      </c>
      <c r="W19" s="286" t="s">
        <v>1337</v>
      </c>
      <c r="Y19" s="251">
        <f t="shared" si="0"/>
        <v>-558861</v>
      </c>
    </row>
    <row r="20" spans="1:25" ht="18" customHeight="1" x14ac:dyDescent="0.35">
      <c r="A20" s="28"/>
      <c r="B20" s="199" t="s">
        <v>1252</v>
      </c>
      <c r="C20" s="200" t="s">
        <v>194</v>
      </c>
      <c r="D20" s="200" t="s">
        <v>195</v>
      </c>
      <c r="E20" s="200" t="s">
        <v>223</v>
      </c>
      <c r="F20" s="200">
        <v>14380</v>
      </c>
      <c r="G20" s="200" t="s">
        <v>223</v>
      </c>
      <c r="H20" s="200"/>
      <c r="I20" s="234" t="s">
        <v>269</v>
      </c>
      <c r="J20" s="237"/>
      <c r="K20" s="184"/>
      <c r="L20" s="213"/>
      <c r="M20" s="138"/>
      <c r="N20" s="138"/>
      <c r="O20" s="283" t="s">
        <v>1259</v>
      </c>
      <c r="P20" s="284" t="s">
        <v>1338</v>
      </c>
      <c r="Q20" s="284" t="s">
        <v>1339</v>
      </c>
      <c r="R20" s="284" t="s">
        <v>211</v>
      </c>
      <c r="S20" s="285" t="s">
        <v>1340</v>
      </c>
      <c r="T20" s="291" t="s">
        <v>1306</v>
      </c>
      <c r="U20" s="284" t="s">
        <v>212</v>
      </c>
      <c r="V20" s="284" t="s">
        <v>1341</v>
      </c>
      <c r="W20" s="286" t="s">
        <v>1293</v>
      </c>
      <c r="Y20" s="251">
        <f t="shared" si="0"/>
        <v>-587109</v>
      </c>
    </row>
    <row r="21" spans="1:25" ht="18" customHeight="1" x14ac:dyDescent="0.35">
      <c r="A21" s="28"/>
      <c r="B21" s="199" t="s">
        <v>1252</v>
      </c>
      <c r="C21" s="200" t="s">
        <v>194</v>
      </c>
      <c r="D21" s="200" t="s">
        <v>195</v>
      </c>
      <c r="E21" s="200" t="s">
        <v>223</v>
      </c>
      <c r="F21" s="200">
        <v>315894</v>
      </c>
      <c r="G21" s="200" t="s">
        <v>223</v>
      </c>
      <c r="H21" s="200"/>
      <c r="I21" s="234"/>
      <c r="J21" s="237"/>
      <c r="K21" s="184"/>
      <c r="L21" s="213"/>
      <c r="M21" s="138"/>
      <c r="N21" s="138"/>
      <c r="O21" s="283" t="s">
        <v>1262</v>
      </c>
      <c r="P21" s="284" t="s">
        <v>1342</v>
      </c>
      <c r="Q21" s="284" t="s">
        <v>217</v>
      </c>
      <c r="R21" s="284" t="s">
        <v>211</v>
      </c>
      <c r="S21" s="285" t="s">
        <v>295</v>
      </c>
      <c r="T21" s="291" t="s">
        <v>1343</v>
      </c>
      <c r="U21" s="284" t="s">
        <v>212</v>
      </c>
      <c r="V21" s="284" t="s">
        <v>227</v>
      </c>
      <c r="W21" s="286" t="s">
        <v>1344</v>
      </c>
      <c r="Y21" s="251">
        <f t="shared" si="0"/>
        <v>-445326</v>
      </c>
    </row>
    <row r="22" spans="1:25" ht="18" customHeight="1" x14ac:dyDescent="0.35">
      <c r="A22" s="28"/>
      <c r="B22" s="199" t="s">
        <v>1252</v>
      </c>
      <c r="C22" s="200" t="s">
        <v>186</v>
      </c>
      <c r="D22" s="200" t="s">
        <v>187</v>
      </c>
      <c r="E22" s="200" t="s">
        <v>223</v>
      </c>
      <c r="F22" s="200">
        <v>300000</v>
      </c>
      <c r="G22" s="200" t="s">
        <v>223</v>
      </c>
      <c r="H22" s="200"/>
      <c r="I22" s="234" t="s">
        <v>50</v>
      </c>
      <c r="J22" s="237"/>
      <c r="K22" s="184"/>
      <c r="L22" s="213"/>
      <c r="M22" s="138"/>
      <c r="N22" s="138"/>
      <c r="O22" s="283" t="s">
        <v>1262</v>
      </c>
      <c r="P22" s="284" t="s">
        <v>1345</v>
      </c>
      <c r="Q22" s="284" t="s">
        <v>254</v>
      </c>
      <c r="R22" s="284" t="s">
        <v>214</v>
      </c>
      <c r="S22" s="285" t="s">
        <v>299</v>
      </c>
      <c r="T22" s="291" t="s">
        <v>1346</v>
      </c>
      <c r="U22" s="284" t="s">
        <v>212</v>
      </c>
      <c r="V22" s="284" t="s">
        <v>255</v>
      </c>
      <c r="W22" s="286" t="s">
        <v>1344</v>
      </c>
      <c r="Y22" s="251">
        <f t="shared" si="0"/>
        <v>-437725</v>
      </c>
    </row>
    <row r="23" spans="1:25" ht="18" customHeight="1" x14ac:dyDescent="0.3">
      <c r="A23" s="28"/>
      <c r="B23" s="199" t="s">
        <v>1252</v>
      </c>
      <c r="C23" s="200" t="s">
        <v>186</v>
      </c>
      <c r="D23" s="200" t="s">
        <v>187</v>
      </c>
      <c r="E23" s="200" t="s">
        <v>223</v>
      </c>
      <c r="F23" s="200">
        <v>200000</v>
      </c>
      <c r="G23" s="200" t="s">
        <v>223</v>
      </c>
      <c r="H23" s="200"/>
      <c r="I23" s="234" t="s">
        <v>50</v>
      </c>
      <c r="J23" s="237"/>
      <c r="K23" s="184"/>
      <c r="L23" s="213"/>
      <c r="M23" s="138"/>
      <c r="N23" s="138"/>
      <c r="O23" s="283" t="s">
        <v>1262</v>
      </c>
      <c r="P23" s="284" t="s">
        <v>1347</v>
      </c>
      <c r="Q23" s="284" t="s">
        <v>216</v>
      </c>
      <c r="R23" s="284" t="s">
        <v>214</v>
      </c>
      <c r="S23" s="285" t="s">
        <v>293</v>
      </c>
      <c r="T23" s="291" t="s">
        <v>1348</v>
      </c>
      <c r="U23" s="284" t="s">
        <v>212</v>
      </c>
      <c r="V23" s="284" t="s">
        <v>229</v>
      </c>
      <c r="W23" s="286" t="s">
        <v>273</v>
      </c>
      <c r="Y23" s="251">
        <f t="shared" si="0"/>
        <v>-510148</v>
      </c>
    </row>
    <row r="24" spans="1:25" s="162" customFormat="1" ht="18" customHeight="1" x14ac:dyDescent="0.3">
      <c r="A24" s="28"/>
      <c r="B24" s="199" t="s">
        <v>1252</v>
      </c>
      <c r="C24" s="200" t="s">
        <v>186</v>
      </c>
      <c r="D24" s="200" t="s">
        <v>187</v>
      </c>
      <c r="E24" s="200" t="s">
        <v>223</v>
      </c>
      <c r="F24" s="200">
        <v>523946</v>
      </c>
      <c r="G24" s="200" t="s">
        <v>223</v>
      </c>
      <c r="H24" s="200"/>
      <c r="I24" s="234" t="s">
        <v>50</v>
      </c>
      <c r="J24" s="237"/>
      <c r="K24" s="184"/>
      <c r="L24" s="213"/>
      <c r="M24" s="138"/>
      <c r="N24" s="138"/>
      <c r="O24" s="283" t="s">
        <v>1262</v>
      </c>
      <c r="P24" s="284" t="s">
        <v>1349</v>
      </c>
      <c r="Q24" s="284" t="s">
        <v>405</v>
      </c>
      <c r="R24" s="284" t="s">
        <v>214</v>
      </c>
      <c r="S24" s="285" t="s">
        <v>406</v>
      </c>
      <c r="T24" s="291" t="s">
        <v>1350</v>
      </c>
      <c r="U24" s="284" t="s">
        <v>212</v>
      </c>
      <c r="V24" s="284" t="s">
        <v>407</v>
      </c>
      <c r="W24" s="286" t="s">
        <v>1344</v>
      </c>
      <c r="Y24" s="251">
        <f t="shared" si="0"/>
        <v>-429505</v>
      </c>
    </row>
    <row r="25" spans="1:25" s="162" customFormat="1" ht="18" customHeight="1" x14ac:dyDescent="0.35">
      <c r="A25" s="28"/>
      <c r="B25" s="199" t="s">
        <v>1253</v>
      </c>
      <c r="C25" s="200" t="s">
        <v>186</v>
      </c>
      <c r="D25" s="200" t="s">
        <v>197</v>
      </c>
      <c r="E25" s="200" t="s">
        <v>223</v>
      </c>
      <c r="F25" s="200">
        <v>393964</v>
      </c>
      <c r="G25" s="200" t="s">
        <v>223</v>
      </c>
      <c r="H25" s="200"/>
      <c r="I25" s="234"/>
      <c r="J25" s="237"/>
      <c r="K25" s="184"/>
      <c r="L25" s="213"/>
      <c r="M25" s="138"/>
      <c r="N25" s="138"/>
      <c r="O25" s="283" t="s">
        <v>1262</v>
      </c>
      <c r="P25" s="284" t="s">
        <v>1351</v>
      </c>
      <c r="Q25" s="284" t="s">
        <v>220</v>
      </c>
      <c r="R25" s="284" t="s">
        <v>214</v>
      </c>
      <c r="S25" s="285" t="s">
        <v>297</v>
      </c>
      <c r="T25" s="291" t="s">
        <v>1352</v>
      </c>
      <c r="U25" s="284" t="s">
        <v>212</v>
      </c>
      <c r="V25" s="284" t="s">
        <v>228</v>
      </c>
      <c r="W25" s="286" t="s">
        <v>1344</v>
      </c>
      <c r="Y25" s="251">
        <f t="shared" si="0"/>
        <v>-165000</v>
      </c>
    </row>
    <row r="26" spans="1:25" s="162" customFormat="1" ht="18" customHeight="1" x14ac:dyDescent="0.3">
      <c r="A26" s="28"/>
      <c r="B26" s="199" t="s">
        <v>1254</v>
      </c>
      <c r="C26" s="200" t="s">
        <v>186</v>
      </c>
      <c r="D26" s="200" t="s">
        <v>190</v>
      </c>
      <c r="E26" s="200" t="s">
        <v>223</v>
      </c>
      <c r="F26" s="200">
        <v>865056</v>
      </c>
      <c r="G26" s="200" t="s">
        <v>223</v>
      </c>
      <c r="H26" s="200"/>
      <c r="I26" s="234" t="s">
        <v>270</v>
      </c>
      <c r="J26" s="237"/>
      <c r="K26" s="184"/>
      <c r="L26" s="213"/>
      <c r="M26" s="138" t="s">
        <v>1440</v>
      </c>
      <c r="N26" s="138"/>
      <c r="O26" s="283" t="s">
        <v>1262</v>
      </c>
      <c r="P26" s="284" t="s">
        <v>1353</v>
      </c>
      <c r="Q26" s="284" t="s">
        <v>219</v>
      </c>
      <c r="R26" s="284" t="s">
        <v>214</v>
      </c>
      <c r="S26" s="285" t="s">
        <v>296</v>
      </c>
      <c r="T26" s="291" t="s">
        <v>1354</v>
      </c>
      <c r="U26" s="284" t="s">
        <v>212</v>
      </c>
      <c r="V26" s="284" t="s">
        <v>226</v>
      </c>
      <c r="W26" s="286" t="s">
        <v>1344</v>
      </c>
      <c r="Y26" s="251">
        <f t="shared" si="0"/>
        <v>-380552</v>
      </c>
    </row>
    <row r="27" spans="1:25" s="162" customFormat="1" ht="18" customHeight="1" x14ac:dyDescent="0.3">
      <c r="A27" s="28"/>
      <c r="B27" s="199" t="s">
        <v>1254</v>
      </c>
      <c r="C27" s="200" t="s">
        <v>186</v>
      </c>
      <c r="D27" s="200" t="s">
        <v>191</v>
      </c>
      <c r="E27" s="200" t="s">
        <v>223</v>
      </c>
      <c r="F27" s="200">
        <v>0</v>
      </c>
      <c r="G27" s="200" t="s">
        <v>1255</v>
      </c>
      <c r="H27" s="200"/>
      <c r="I27" s="234" t="s">
        <v>201</v>
      </c>
      <c r="J27" s="237"/>
      <c r="K27" s="184"/>
      <c r="L27" s="213"/>
      <c r="M27" s="138"/>
      <c r="N27" s="138"/>
      <c r="O27" s="283" t="s">
        <v>1262</v>
      </c>
      <c r="P27" s="284" t="s">
        <v>1355</v>
      </c>
      <c r="Q27" s="284" t="s">
        <v>230</v>
      </c>
      <c r="R27" s="284" t="s">
        <v>214</v>
      </c>
      <c r="S27" s="285" t="s">
        <v>294</v>
      </c>
      <c r="T27" s="291" t="s">
        <v>1356</v>
      </c>
      <c r="U27" s="284" t="s">
        <v>212</v>
      </c>
      <c r="V27" s="284" t="s">
        <v>231</v>
      </c>
      <c r="W27" s="286" t="s">
        <v>1344</v>
      </c>
      <c r="Y27" s="251">
        <f t="shared" si="0"/>
        <v>-105000</v>
      </c>
    </row>
    <row r="28" spans="1:25" s="162" customFormat="1" ht="18" customHeight="1" x14ac:dyDescent="0.35">
      <c r="A28" s="28"/>
      <c r="B28" s="199" t="s">
        <v>1256</v>
      </c>
      <c r="C28" s="200" t="s">
        <v>186</v>
      </c>
      <c r="D28" s="200" t="s">
        <v>187</v>
      </c>
      <c r="E28" s="200" t="s">
        <v>223</v>
      </c>
      <c r="F28" s="200">
        <v>100000</v>
      </c>
      <c r="G28" s="200" t="s">
        <v>223</v>
      </c>
      <c r="H28" s="200"/>
      <c r="I28" s="234" t="s">
        <v>12</v>
      </c>
      <c r="J28" s="237"/>
      <c r="K28" s="184"/>
      <c r="L28" s="213"/>
      <c r="M28" s="138" t="s">
        <v>1438</v>
      </c>
      <c r="N28" s="138"/>
      <c r="O28" s="283" t="s">
        <v>1262</v>
      </c>
      <c r="P28" s="284" t="s">
        <v>1357</v>
      </c>
      <c r="Q28" s="284" t="s">
        <v>1358</v>
      </c>
      <c r="R28" s="284" t="s">
        <v>214</v>
      </c>
      <c r="S28" s="285" t="s">
        <v>1359</v>
      </c>
      <c r="T28" s="291" t="s">
        <v>1360</v>
      </c>
      <c r="U28" s="284" t="s">
        <v>212</v>
      </c>
      <c r="V28" s="284" t="s">
        <v>1361</v>
      </c>
      <c r="W28" s="286" t="s">
        <v>1344</v>
      </c>
      <c r="Y28" s="251">
        <f t="shared" si="0"/>
        <v>-30000</v>
      </c>
    </row>
    <row r="29" spans="1:25" s="162" customFormat="1" ht="18" customHeight="1" x14ac:dyDescent="0.3">
      <c r="A29" s="28"/>
      <c r="B29" s="199" t="s">
        <v>1257</v>
      </c>
      <c r="C29" s="200" t="s">
        <v>186</v>
      </c>
      <c r="D29" s="200" t="s">
        <v>190</v>
      </c>
      <c r="E29" s="200" t="s">
        <v>223</v>
      </c>
      <c r="F29" s="200">
        <v>1000000</v>
      </c>
      <c r="G29" s="200" t="s">
        <v>223</v>
      </c>
      <c r="H29" s="200"/>
      <c r="I29" s="234" t="s">
        <v>267</v>
      </c>
      <c r="J29" s="237"/>
      <c r="K29" s="184"/>
      <c r="L29" s="213"/>
      <c r="M29" s="138"/>
      <c r="N29" s="138"/>
      <c r="O29" s="283" t="s">
        <v>1262</v>
      </c>
      <c r="P29" s="284" t="s">
        <v>1362</v>
      </c>
      <c r="Q29" s="284" t="s">
        <v>1339</v>
      </c>
      <c r="R29" s="284" t="s">
        <v>211</v>
      </c>
      <c r="S29" s="285" t="s">
        <v>1340</v>
      </c>
      <c r="T29" s="291" t="s">
        <v>1363</v>
      </c>
      <c r="U29" s="284" t="s">
        <v>212</v>
      </c>
      <c r="V29" s="284" t="s">
        <v>1341</v>
      </c>
      <c r="W29" s="286" t="s">
        <v>1344</v>
      </c>
      <c r="Y29" s="251">
        <f t="shared" si="0"/>
        <v>-15000</v>
      </c>
    </row>
    <row r="30" spans="1:25" s="162" customFormat="1" ht="18" customHeight="1" x14ac:dyDescent="0.3">
      <c r="A30" s="28"/>
      <c r="B30" s="199" t="s">
        <v>1258</v>
      </c>
      <c r="C30" s="200" t="s">
        <v>186</v>
      </c>
      <c r="D30" s="200" t="s">
        <v>190</v>
      </c>
      <c r="E30" s="200" t="s">
        <v>223</v>
      </c>
      <c r="F30" s="200">
        <v>1057558</v>
      </c>
      <c r="G30" s="200" t="s">
        <v>223</v>
      </c>
      <c r="H30" s="200"/>
      <c r="I30" s="234" t="s">
        <v>270</v>
      </c>
      <c r="J30" s="237"/>
      <c r="K30" s="184"/>
      <c r="L30" s="213"/>
      <c r="M30" s="138" t="s">
        <v>1439</v>
      </c>
      <c r="N30" s="138"/>
      <c r="O30" s="283" t="s">
        <v>1262</v>
      </c>
      <c r="P30" s="284" t="s">
        <v>1364</v>
      </c>
      <c r="Q30" s="284" t="s">
        <v>1365</v>
      </c>
      <c r="R30" s="284" t="s">
        <v>214</v>
      </c>
      <c r="S30" s="285" t="s">
        <v>1366</v>
      </c>
      <c r="T30" s="291" t="s">
        <v>1367</v>
      </c>
      <c r="U30" s="284" t="s">
        <v>212</v>
      </c>
      <c r="V30" s="284" t="s">
        <v>1368</v>
      </c>
      <c r="W30" s="286" t="s">
        <v>273</v>
      </c>
      <c r="Y30" s="251">
        <f t="shared" si="0"/>
        <v>-331562</v>
      </c>
    </row>
    <row r="31" spans="1:25" s="162" customFormat="1" ht="18" customHeight="1" x14ac:dyDescent="0.3">
      <c r="A31" s="28"/>
      <c r="B31" s="199" t="s">
        <v>1258</v>
      </c>
      <c r="C31" s="200" t="s">
        <v>186</v>
      </c>
      <c r="D31" s="200" t="s">
        <v>190</v>
      </c>
      <c r="E31" s="200" t="s">
        <v>223</v>
      </c>
      <c r="F31" s="200">
        <v>54264</v>
      </c>
      <c r="G31" s="200" t="s">
        <v>223</v>
      </c>
      <c r="H31" s="200"/>
      <c r="I31" s="234" t="s">
        <v>9</v>
      </c>
      <c r="J31" s="237"/>
      <c r="K31" s="184"/>
      <c r="L31" s="213"/>
      <c r="M31" s="138" t="s">
        <v>1441</v>
      </c>
      <c r="N31" s="138"/>
      <c r="O31" s="283" t="s">
        <v>1262</v>
      </c>
      <c r="P31" s="284" t="s">
        <v>1369</v>
      </c>
      <c r="Q31" s="284" t="s">
        <v>350</v>
      </c>
      <c r="R31" s="284" t="s">
        <v>214</v>
      </c>
      <c r="S31" s="285" t="s">
        <v>351</v>
      </c>
      <c r="T31" s="291" t="s">
        <v>1370</v>
      </c>
      <c r="U31" s="284" t="s">
        <v>212</v>
      </c>
      <c r="V31" s="284" t="s">
        <v>352</v>
      </c>
      <c r="W31" s="286" t="s">
        <v>1344</v>
      </c>
      <c r="Y31" s="251" t="e">
        <f>VALUE(#REF!)</f>
        <v>#REF!</v>
      </c>
    </row>
    <row r="32" spans="1:25" s="162" customFormat="1" ht="18" customHeight="1" x14ac:dyDescent="0.35">
      <c r="A32" s="28"/>
      <c r="B32" s="199" t="s">
        <v>1259</v>
      </c>
      <c r="C32" s="200" t="s">
        <v>186</v>
      </c>
      <c r="D32" s="200" t="s">
        <v>190</v>
      </c>
      <c r="E32" s="200" t="s">
        <v>223</v>
      </c>
      <c r="F32" s="200">
        <v>228900</v>
      </c>
      <c r="G32" s="200" t="s">
        <v>223</v>
      </c>
      <c r="H32" s="200"/>
      <c r="I32" s="234" t="s">
        <v>268</v>
      </c>
      <c r="J32" s="237"/>
      <c r="K32" s="184"/>
      <c r="L32" s="213"/>
      <c r="M32" s="138" t="s">
        <v>1442</v>
      </c>
      <c r="N32" s="138"/>
      <c r="O32" s="283" t="s">
        <v>1262</v>
      </c>
      <c r="P32" s="284" t="s">
        <v>1371</v>
      </c>
      <c r="Q32" s="284" t="s">
        <v>357</v>
      </c>
      <c r="R32" s="284" t="s">
        <v>214</v>
      </c>
      <c r="S32" s="285" t="s">
        <v>358</v>
      </c>
      <c r="T32" s="291" t="s">
        <v>1372</v>
      </c>
      <c r="U32" s="284" t="s">
        <v>212</v>
      </c>
      <c r="V32" s="284" t="s">
        <v>359</v>
      </c>
      <c r="W32" s="286" t="s">
        <v>273</v>
      </c>
      <c r="Y32" s="251">
        <f t="shared" ref="Y32:Y37" si="1">VALUE(T36)</f>
        <v>-52157</v>
      </c>
    </row>
    <row r="33" spans="1:25" s="162" customFormat="1" ht="18" customHeight="1" x14ac:dyDescent="0.3">
      <c r="A33" s="28"/>
      <c r="B33" s="199" t="s">
        <v>1259</v>
      </c>
      <c r="C33" s="200" t="s">
        <v>186</v>
      </c>
      <c r="D33" s="200" t="s">
        <v>191</v>
      </c>
      <c r="E33" s="200" t="s">
        <v>223</v>
      </c>
      <c r="F33" s="200">
        <v>0</v>
      </c>
      <c r="G33" s="200" t="s">
        <v>1260</v>
      </c>
      <c r="H33" s="200"/>
      <c r="I33" s="234" t="s">
        <v>201</v>
      </c>
      <c r="J33" s="237"/>
      <c r="K33" s="184"/>
      <c r="L33" s="213"/>
      <c r="M33" s="138"/>
      <c r="N33" s="138"/>
      <c r="O33" s="283" t="s">
        <v>1373</v>
      </c>
      <c r="P33" s="284" t="s">
        <v>1374</v>
      </c>
      <c r="Q33" s="284" t="s">
        <v>1375</v>
      </c>
      <c r="R33" s="284" t="s">
        <v>211</v>
      </c>
      <c r="S33" s="285" t="s">
        <v>1376</v>
      </c>
      <c r="T33" s="291" t="s">
        <v>1295</v>
      </c>
      <c r="U33" s="284" t="s">
        <v>212</v>
      </c>
      <c r="V33" s="284" t="s">
        <v>1377</v>
      </c>
      <c r="W33" s="286" t="s">
        <v>1299</v>
      </c>
      <c r="Y33" s="251">
        <f t="shared" si="1"/>
        <v>0</v>
      </c>
    </row>
    <row r="34" spans="1:25" s="162" customFormat="1" ht="18" customHeight="1" x14ac:dyDescent="0.3">
      <c r="A34" s="28"/>
      <c r="B34" s="199" t="s">
        <v>1259</v>
      </c>
      <c r="C34" s="200" t="s">
        <v>186</v>
      </c>
      <c r="D34" s="200" t="s">
        <v>187</v>
      </c>
      <c r="E34" s="200" t="s">
        <v>223</v>
      </c>
      <c r="F34" s="200">
        <v>100000</v>
      </c>
      <c r="G34" s="200" t="s">
        <v>223</v>
      </c>
      <c r="H34" s="200"/>
      <c r="I34" s="234" t="s">
        <v>50</v>
      </c>
      <c r="J34" s="237"/>
      <c r="K34" s="184"/>
      <c r="L34" s="213"/>
      <c r="M34" s="138"/>
      <c r="N34" s="138"/>
      <c r="O34" s="283" t="s">
        <v>1373</v>
      </c>
      <c r="P34" s="284" t="s">
        <v>1378</v>
      </c>
      <c r="Q34" s="284" t="s">
        <v>1358</v>
      </c>
      <c r="R34" s="284" t="s">
        <v>214</v>
      </c>
      <c r="S34" s="285" t="s">
        <v>1359</v>
      </c>
      <c r="T34" s="291" t="s">
        <v>1379</v>
      </c>
      <c r="U34" s="284" t="s">
        <v>212</v>
      </c>
      <c r="V34" s="284" t="s">
        <v>1361</v>
      </c>
      <c r="W34" s="286" t="s">
        <v>1380</v>
      </c>
      <c r="Y34" s="251">
        <f t="shared" si="1"/>
        <v>0</v>
      </c>
    </row>
    <row r="35" spans="1:25" s="162" customFormat="1" ht="18" customHeight="1" x14ac:dyDescent="0.3">
      <c r="A35" s="28"/>
      <c r="B35" s="199" t="s">
        <v>1259</v>
      </c>
      <c r="C35" s="200" t="s">
        <v>186</v>
      </c>
      <c r="D35" s="200" t="s">
        <v>191</v>
      </c>
      <c r="E35" s="200" t="s">
        <v>223</v>
      </c>
      <c r="F35" s="200">
        <v>0</v>
      </c>
      <c r="G35" s="200" t="s">
        <v>1261</v>
      </c>
      <c r="H35" s="200"/>
      <c r="I35" s="234" t="s">
        <v>271</v>
      </c>
      <c r="J35" s="237"/>
      <c r="K35" s="184"/>
      <c r="L35" s="213"/>
      <c r="M35" s="138"/>
      <c r="N35" s="138"/>
      <c r="O35" s="283" t="s">
        <v>1373</v>
      </c>
      <c r="P35" s="284" t="s">
        <v>1381</v>
      </c>
      <c r="Q35" s="284" t="s">
        <v>239</v>
      </c>
      <c r="R35" s="284" t="s">
        <v>213</v>
      </c>
      <c r="S35" s="285" t="s">
        <v>290</v>
      </c>
      <c r="T35" s="291" t="s">
        <v>1382</v>
      </c>
      <c r="U35" s="284" t="s">
        <v>212</v>
      </c>
      <c r="V35" s="284" t="s">
        <v>240</v>
      </c>
      <c r="W35" s="286" t="s">
        <v>1383</v>
      </c>
      <c r="Y35" s="251">
        <f t="shared" si="1"/>
        <v>0</v>
      </c>
    </row>
    <row r="36" spans="1:25" s="162" customFormat="1" ht="18" customHeight="1" x14ac:dyDescent="0.35">
      <c r="A36" s="28"/>
      <c r="B36" s="199" t="s">
        <v>1259</v>
      </c>
      <c r="C36" s="200" t="s">
        <v>186</v>
      </c>
      <c r="D36" s="200" t="s">
        <v>187</v>
      </c>
      <c r="E36" s="200" t="s">
        <v>223</v>
      </c>
      <c r="F36" s="200">
        <v>243366</v>
      </c>
      <c r="G36" s="200" t="s">
        <v>223</v>
      </c>
      <c r="H36" s="200"/>
      <c r="I36" s="234" t="s">
        <v>270</v>
      </c>
      <c r="J36" s="237"/>
      <c r="K36" s="184"/>
      <c r="L36" s="213"/>
      <c r="M36" s="138" t="s">
        <v>1443</v>
      </c>
      <c r="N36" s="138"/>
      <c r="O36" s="283" t="s">
        <v>1373</v>
      </c>
      <c r="P36" s="284" t="s">
        <v>1384</v>
      </c>
      <c r="Q36" s="284" t="s">
        <v>239</v>
      </c>
      <c r="R36" s="284" t="s">
        <v>213</v>
      </c>
      <c r="S36" s="285" t="s">
        <v>290</v>
      </c>
      <c r="T36" s="291" t="s">
        <v>1385</v>
      </c>
      <c r="U36" s="284" t="s">
        <v>212</v>
      </c>
      <c r="V36" s="284" t="s">
        <v>240</v>
      </c>
      <c r="W36" s="286" t="s">
        <v>1386</v>
      </c>
      <c r="Y36" s="251">
        <f t="shared" si="1"/>
        <v>0</v>
      </c>
    </row>
    <row r="37" spans="1:25" s="162" customFormat="1" ht="18" customHeight="1" x14ac:dyDescent="0.35">
      <c r="A37" s="28"/>
      <c r="B37" s="199" t="s">
        <v>1262</v>
      </c>
      <c r="C37" s="200" t="s">
        <v>781</v>
      </c>
      <c r="D37" s="200" t="s">
        <v>782</v>
      </c>
      <c r="E37" s="200" t="s">
        <v>223</v>
      </c>
      <c r="F37" s="200">
        <v>0</v>
      </c>
      <c r="G37" s="200" t="s">
        <v>1263</v>
      </c>
      <c r="H37" s="200"/>
      <c r="I37" s="234" t="s">
        <v>271</v>
      </c>
      <c r="J37" s="237"/>
      <c r="K37" s="184"/>
      <c r="L37" s="213"/>
      <c r="M37" s="138"/>
      <c r="N37" s="138"/>
      <c r="O37" s="283"/>
      <c r="P37" s="284"/>
      <c r="Q37" s="284"/>
      <c r="R37" s="284"/>
      <c r="S37" s="285"/>
      <c r="T37" s="291"/>
      <c r="U37" s="284"/>
      <c r="V37" s="284"/>
      <c r="W37" s="286"/>
      <c r="Y37" s="251">
        <f t="shared" si="1"/>
        <v>0</v>
      </c>
    </row>
    <row r="38" spans="1:25" s="162" customFormat="1" ht="18" customHeight="1" x14ac:dyDescent="0.35">
      <c r="A38" s="28"/>
      <c r="B38" s="199" t="s">
        <v>1264</v>
      </c>
      <c r="C38" s="200" t="s">
        <v>186</v>
      </c>
      <c r="D38" s="200" t="s">
        <v>187</v>
      </c>
      <c r="E38" s="200" t="s">
        <v>223</v>
      </c>
      <c r="F38" s="200">
        <v>30000</v>
      </c>
      <c r="G38" s="200" t="s">
        <v>223</v>
      </c>
      <c r="H38" s="200"/>
      <c r="I38" s="234" t="s">
        <v>50</v>
      </c>
      <c r="J38" s="237"/>
      <c r="K38" s="184"/>
      <c r="L38" s="213"/>
      <c r="M38" s="138"/>
      <c r="N38" s="138"/>
      <c r="O38" s="287"/>
      <c r="P38" s="284"/>
      <c r="Q38" s="284"/>
      <c r="R38" s="284"/>
      <c r="S38" s="285"/>
      <c r="T38" s="291"/>
      <c r="U38" s="284"/>
      <c r="V38" s="284"/>
      <c r="W38" s="286"/>
      <c r="Y38" s="251"/>
    </row>
    <row r="39" spans="1:25" s="162" customFormat="1" ht="18" customHeight="1" x14ac:dyDescent="0.35">
      <c r="A39" s="28"/>
      <c r="B39" s="199" t="s">
        <v>1264</v>
      </c>
      <c r="C39" s="200" t="s">
        <v>186</v>
      </c>
      <c r="D39" s="200" t="s">
        <v>187</v>
      </c>
      <c r="E39" s="200" t="s">
        <v>223</v>
      </c>
      <c r="F39" s="200">
        <v>15000</v>
      </c>
      <c r="G39" s="200" t="s">
        <v>223</v>
      </c>
      <c r="H39" s="200"/>
      <c r="I39" s="234" t="s">
        <v>50</v>
      </c>
      <c r="J39" s="237"/>
      <c r="K39" s="184"/>
      <c r="L39" s="213"/>
      <c r="M39" s="138"/>
      <c r="N39" s="138"/>
      <c r="O39" s="287"/>
      <c r="P39" s="284"/>
      <c r="Q39" s="284"/>
      <c r="R39" s="284"/>
      <c r="S39" s="285"/>
      <c r="T39" s="291"/>
      <c r="U39" s="284"/>
      <c r="V39" s="284"/>
      <c r="W39" s="286"/>
      <c r="Y39" s="251"/>
    </row>
    <row r="40" spans="1:25" s="162" customFormat="1" ht="18" customHeight="1" x14ac:dyDescent="0.35">
      <c r="A40" s="28"/>
      <c r="B40" s="199" t="s">
        <v>1264</v>
      </c>
      <c r="C40" s="200" t="s">
        <v>186</v>
      </c>
      <c r="D40" s="200" t="s">
        <v>187</v>
      </c>
      <c r="E40" s="200" t="s">
        <v>223</v>
      </c>
      <c r="F40" s="200">
        <v>331562</v>
      </c>
      <c r="G40" s="200" t="s">
        <v>223</v>
      </c>
      <c r="H40" s="200"/>
      <c r="I40" s="234" t="s">
        <v>50</v>
      </c>
      <c r="J40" s="237"/>
      <c r="K40" s="184"/>
      <c r="L40" s="213"/>
      <c r="M40" s="138"/>
      <c r="N40" s="138"/>
      <c r="O40" s="287"/>
      <c r="P40" s="284"/>
      <c r="Q40" s="284"/>
      <c r="R40" s="284"/>
      <c r="S40" s="285"/>
      <c r="T40" s="291"/>
      <c r="U40" s="284"/>
      <c r="V40" s="284"/>
      <c r="W40" s="286"/>
      <c r="Y40" s="251"/>
    </row>
    <row r="41" spans="1:25" s="162" customFormat="1" ht="18" customHeight="1" x14ac:dyDescent="0.35">
      <c r="A41" s="28"/>
      <c r="B41" s="199" t="s">
        <v>1264</v>
      </c>
      <c r="C41" s="200" t="s">
        <v>186</v>
      </c>
      <c r="D41" s="200" t="s">
        <v>187</v>
      </c>
      <c r="E41" s="200" t="s">
        <v>223</v>
      </c>
      <c r="F41" s="200">
        <v>52157</v>
      </c>
      <c r="G41" s="200" t="s">
        <v>223</v>
      </c>
      <c r="H41" s="200"/>
      <c r="I41" s="234" t="s">
        <v>50</v>
      </c>
      <c r="J41" s="237"/>
      <c r="K41" s="184"/>
      <c r="L41" s="213"/>
      <c r="M41" s="138"/>
      <c r="N41" s="138"/>
      <c r="O41" s="287"/>
      <c r="P41" s="284"/>
      <c r="Q41" s="284"/>
      <c r="R41" s="284"/>
      <c r="S41" s="285"/>
      <c r="T41" s="291"/>
      <c r="U41" s="284"/>
      <c r="V41" s="284"/>
      <c r="W41" s="286"/>
      <c r="Y41" s="251"/>
    </row>
    <row r="42" spans="1:25" s="162" customFormat="1" ht="18" customHeight="1" x14ac:dyDescent="0.35">
      <c r="A42" s="28"/>
      <c r="B42" s="199" t="s">
        <v>1264</v>
      </c>
      <c r="C42" s="200" t="s">
        <v>186</v>
      </c>
      <c r="D42" s="200" t="s">
        <v>191</v>
      </c>
      <c r="E42" s="200" t="s">
        <v>223</v>
      </c>
      <c r="F42" s="200">
        <v>0</v>
      </c>
      <c r="G42" s="200" t="s">
        <v>1265</v>
      </c>
      <c r="H42" s="200"/>
      <c r="I42" s="234" t="s">
        <v>271</v>
      </c>
      <c r="J42" s="237"/>
      <c r="K42" s="184"/>
      <c r="L42" s="213"/>
      <c r="M42" s="138"/>
      <c r="N42" s="138"/>
      <c r="O42" s="288"/>
      <c r="P42" s="289"/>
      <c r="Q42" s="289"/>
      <c r="R42" s="289"/>
      <c r="S42" s="290"/>
      <c r="T42" s="292"/>
      <c r="U42" s="289"/>
      <c r="V42" s="289"/>
      <c r="W42" s="289"/>
      <c r="Y42" s="251">
        <f t="shared" ref="Y42:Y45" si="2">VALUE(T42)</f>
        <v>0</v>
      </c>
    </row>
    <row r="43" spans="1:25" s="162" customFormat="1" ht="18" customHeight="1" x14ac:dyDescent="0.35">
      <c r="A43" s="28"/>
      <c r="B43" s="199" t="s">
        <v>1264</v>
      </c>
      <c r="C43" s="200" t="s">
        <v>186</v>
      </c>
      <c r="D43" s="200" t="s">
        <v>187</v>
      </c>
      <c r="E43" s="200" t="s">
        <v>223</v>
      </c>
      <c r="F43" s="200">
        <v>510148</v>
      </c>
      <c r="G43" s="200" t="s">
        <v>223</v>
      </c>
      <c r="H43" s="200"/>
      <c r="I43" s="234" t="s">
        <v>50</v>
      </c>
      <c r="J43" s="237"/>
      <c r="K43" s="184"/>
      <c r="L43" s="213"/>
      <c r="M43" s="138"/>
      <c r="N43" s="138"/>
      <c r="O43" s="288"/>
      <c r="P43" s="289"/>
      <c r="Q43" s="289"/>
      <c r="R43" s="289"/>
      <c r="S43" s="290"/>
      <c r="T43" s="292"/>
      <c r="U43" s="289"/>
      <c r="V43" s="289"/>
      <c r="W43" s="289"/>
      <c r="Y43" s="251">
        <f t="shared" si="2"/>
        <v>0</v>
      </c>
    </row>
    <row r="44" spans="1:25" s="162" customFormat="1" ht="18" customHeight="1" x14ac:dyDescent="0.35">
      <c r="A44" s="28"/>
      <c r="B44" s="199" t="s">
        <v>1264</v>
      </c>
      <c r="C44" s="200" t="s">
        <v>186</v>
      </c>
      <c r="D44" s="200" t="s">
        <v>187</v>
      </c>
      <c r="E44" s="200" t="s">
        <v>223</v>
      </c>
      <c r="F44" s="200">
        <v>105000</v>
      </c>
      <c r="G44" s="200" t="s">
        <v>223</v>
      </c>
      <c r="H44" s="200"/>
      <c r="I44" s="234" t="s">
        <v>50</v>
      </c>
      <c r="J44" s="237"/>
      <c r="K44" s="184"/>
      <c r="L44" s="213"/>
      <c r="M44" s="138"/>
      <c r="N44" s="138"/>
      <c r="O44" s="288"/>
      <c r="P44" s="289"/>
      <c r="Q44" s="289"/>
      <c r="R44" s="289"/>
      <c r="S44" s="290"/>
      <c r="T44" s="292"/>
      <c r="U44" s="289"/>
      <c r="V44" s="289"/>
      <c r="W44" s="289"/>
      <c r="Y44" s="251">
        <f t="shared" si="2"/>
        <v>0</v>
      </c>
    </row>
    <row r="45" spans="1:25" s="162" customFormat="1" ht="18" customHeight="1" x14ac:dyDescent="0.35">
      <c r="A45" s="28"/>
      <c r="B45" s="199" t="s">
        <v>1264</v>
      </c>
      <c r="C45" s="200" t="s">
        <v>186</v>
      </c>
      <c r="D45" s="200" t="s">
        <v>187</v>
      </c>
      <c r="E45" s="200" t="s">
        <v>223</v>
      </c>
      <c r="F45" s="200">
        <v>437725</v>
      </c>
      <c r="G45" s="200" t="s">
        <v>223</v>
      </c>
      <c r="H45" s="200"/>
      <c r="I45" s="234" t="s">
        <v>50</v>
      </c>
      <c r="J45" s="237"/>
      <c r="K45" s="184"/>
      <c r="L45" s="213"/>
      <c r="M45" s="138"/>
      <c r="N45" s="138"/>
      <c r="O45" s="146"/>
      <c r="P45" s="60"/>
      <c r="Q45" s="60"/>
      <c r="R45" s="60"/>
      <c r="S45" s="13"/>
      <c r="T45" s="282"/>
      <c r="U45" s="60"/>
      <c r="V45" s="60"/>
      <c r="W45" s="60"/>
      <c r="Y45" s="251">
        <f t="shared" si="2"/>
        <v>0</v>
      </c>
    </row>
    <row r="46" spans="1:25" s="162" customFormat="1" ht="18" customHeight="1" x14ac:dyDescent="0.35">
      <c r="A46" s="28"/>
      <c r="B46" s="199" t="s">
        <v>1264</v>
      </c>
      <c r="C46" s="200" t="s">
        <v>186</v>
      </c>
      <c r="D46" s="200" t="s">
        <v>187</v>
      </c>
      <c r="E46" s="200" t="s">
        <v>223</v>
      </c>
      <c r="F46" s="200">
        <v>587109</v>
      </c>
      <c r="G46" s="200" t="s">
        <v>223</v>
      </c>
      <c r="H46" s="200"/>
      <c r="I46" s="234" t="s">
        <v>50</v>
      </c>
      <c r="J46" s="237"/>
      <c r="K46" s="184"/>
      <c r="L46" s="213"/>
      <c r="M46" s="138"/>
      <c r="N46" s="138"/>
      <c r="O46" s="251"/>
      <c r="P46" s="251"/>
      <c r="Q46" s="251"/>
      <c r="R46" s="251"/>
      <c r="S46" s="251"/>
      <c r="T46" s="251"/>
      <c r="U46" s="251"/>
      <c r="V46" s="251"/>
      <c r="W46" s="251"/>
    </row>
    <row r="47" spans="1:25" s="162" customFormat="1" ht="18" customHeight="1" x14ac:dyDescent="0.35">
      <c r="A47" s="28"/>
      <c r="B47" s="199" t="s">
        <v>1264</v>
      </c>
      <c r="C47" s="200" t="s">
        <v>186</v>
      </c>
      <c r="D47" s="200" t="s">
        <v>187</v>
      </c>
      <c r="E47" s="200" t="s">
        <v>223</v>
      </c>
      <c r="F47" s="200">
        <v>380552</v>
      </c>
      <c r="G47" s="200" t="s">
        <v>223</v>
      </c>
      <c r="H47" s="200"/>
      <c r="I47" s="234" t="s">
        <v>50</v>
      </c>
      <c r="J47" s="237"/>
      <c r="K47" s="184"/>
      <c r="L47" s="213"/>
      <c r="M47" s="138"/>
      <c r="N47" s="138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5" s="162" customFormat="1" ht="18" customHeight="1" x14ac:dyDescent="0.35">
      <c r="A48" s="28"/>
      <c r="B48" s="199" t="s">
        <v>1264</v>
      </c>
      <c r="C48" s="200" t="s">
        <v>186</v>
      </c>
      <c r="D48" s="200" t="s">
        <v>187</v>
      </c>
      <c r="E48" s="200" t="s">
        <v>223</v>
      </c>
      <c r="F48" s="200">
        <v>165000</v>
      </c>
      <c r="G48" s="200" t="s">
        <v>223</v>
      </c>
      <c r="H48" s="200"/>
      <c r="I48" s="234" t="s">
        <v>50</v>
      </c>
      <c r="J48" s="237"/>
      <c r="K48" s="184"/>
      <c r="L48" s="213"/>
      <c r="M48" s="138"/>
      <c r="N48" s="138"/>
      <c r="O48" s="251"/>
      <c r="P48" s="251"/>
      <c r="Q48" s="251"/>
      <c r="R48" s="251"/>
      <c r="S48" s="251"/>
      <c r="T48" s="251"/>
      <c r="U48" s="251"/>
      <c r="V48" s="251"/>
      <c r="W48" s="251"/>
    </row>
    <row r="49" spans="1:23" s="185" customFormat="1" ht="18" customHeight="1" x14ac:dyDescent="0.35">
      <c r="A49" s="28"/>
      <c r="B49" s="199" t="s">
        <v>1264</v>
      </c>
      <c r="C49" s="200" t="s">
        <v>186</v>
      </c>
      <c r="D49" s="200" t="s">
        <v>187</v>
      </c>
      <c r="E49" s="200" t="s">
        <v>223</v>
      </c>
      <c r="F49" s="200">
        <v>558861</v>
      </c>
      <c r="G49" s="200" t="s">
        <v>223</v>
      </c>
      <c r="H49" s="200"/>
      <c r="I49" s="234" t="s">
        <v>50</v>
      </c>
      <c r="J49" s="237"/>
      <c r="K49" s="184"/>
      <c r="L49" s="213"/>
      <c r="M49" s="138"/>
      <c r="N49" s="138"/>
      <c r="O49" s="251"/>
      <c r="P49" s="251"/>
      <c r="Q49" s="251"/>
      <c r="R49" s="251"/>
      <c r="S49" s="251"/>
      <c r="T49" s="251"/>
      <c r="U49" s="251"/>
      <c r="V49" s="251"/>
      <c r="W49" s="251"/>
    </row>
    <row r="50" spans="1:23" s="185" customFormat="1" ht="18" customHeight="1" x14ac:dyDescent="0.35">
      <c r="A50" s="28"/>
      <c r="B50" s="199" t="s">
        <v>1264</v>
      </c>
      <c r="C50" s="200" t="s">
        <v>186</v>
      </c>
      <c r="D50" s="200" t="s">
        <v>187</v>
      </c>
      <c r="E50" s="200" t="s">
        <v>223</v>
      </c>
      <c r="F50" s="200">
        <v>568909</v>
      </c>
      <c r="G50" s="200" t="s">
        <v>223</v>
      </c>
      <c r="H50" s="200"/>
      <c r="I50" s="234" t="s">
        <v>50</v>
      </c>
      <c r="J50" s="237"/>
      <c r="K50" s="184"/>
      <c r="L50" s="213"/>
      <c r="M50" s="138"/>
      <c r="N50" s="138"/>
      <c r="O50" s="251"/>
      <c r="P50" s="251"/>
      <c r="Q50" s="251"/>
      <c r="R50" s="251"/>
      <c r="S50" s="251"/>
      <c r="T50" s="251"/>
      <c r="U50" s="251"/>
      <c r="V50" s="251"/>
      <c r="W50" s="251"/>
    </row>
    <row r="51" spans="1:23" s="185" customFormat="1" ht="18" customHeight="1" x14ac:dyDescent="0.35">
      <c r="A51" s="28"/>
      <c r="B51" s="199" t="s">
        <v>1264</v>
      </c>
      <c r="C51" s="200" t="s">
        <v>186</v>
      </c>
      <c r="D51" s="200" t="s">
        <v>187</v>
      </c>
      <c r="E51" s="200" t="s">
        <v>223</v>
      </c>
      <c r="F51" s="200">
        <v>445326</v>
      </c>
      <c r="G51" s="200" t="s">
        <v>223</v>
      </c>
      <c r="H51" s="200"/>
      <c r="I51" s="234" t="s">
        <v>50</v>
      </c>
      <c r="J51" s="237"/>
      <c r="K51" s="184"/>
      <c r="L51" s="213"/>
      <c r="M51" s="138"/>
      <c r="N51" s="138"/>
      <c r="O51" s="251"/>
      <c r="P51" s="251"/>
      <c r="Q51" s="251"/>
      <c r="R51" s="251"/>
      <c r="S51" s="251"/>
      <c r="T51" s="251"/>
      <c r="U51" s="251"/>
      <c r="V51" s="251"/>
      <c r="W51" s="251"/>
    </row>
    <row r="52" spans="1:23" s="185" customFormat="1" ht="18" customHeight="1" x14ac:dyDescent="0.35">
      <c r="A52" s="28"/>
      <c r="B52" s="199" t="s">
        <v>1264</v>
      </c>
      <c r="C52" s="200" t="s">
        <v>186</v>
      </c>
      <c r="D52" s="200" t="s">
        <v>187</v>
      </c>
      <c r="E52" s="200" t="s">
        <v>223</v>
      </c>
      <c r="F52" s="200">
        <v>1007339</v>
      </c>
      <c r="G52" s="200" t="s">
        <v>223</v>
      </c>
      <c r="H52" s="200"/>
      <c r="I52" s="234" t="s">
        <v>50</v>
      </c>
      <c r="J52" s="237"/>
      <c r="K52" s="184"/>
      <c r="L52" s="213"/>
      <c r="M52" s="138"/>
      <c r="N52" s="138"/>
      <c r="O52" s="251"/>
      <c r="P52" s="251"/>
      <c r="Q52" s="251"/>
      <c r="R52" s="251"/>
      <c r="S52" s="251"/>
      <c r="T52" s="251"/>
      <c r="U52" s="251"/>
      <c r="V52" s="251"/>
      <c r="W52" s="251"/>
    </row>
    <row r="53" spans="1:23" s="185" customFormat="1" ht="18" customHeight="1" x14ac:dyDescent="0.35">
      <c r="A53" s="28"/>
      <c r="B53" s="199" t="s">
        <v>1264</v>
      </c>
      <c r="C53" s="200" t="s">
        <v>186</v>
      </c>
      <c r="D53" s="200" t="s">
        <v>187</v>
      </c>
      <c r="E53" s="200" t="s">
        <v>223</v>
      </c>
      <c r="F53" s="200">
        <v>1227842</v>
      </c>
      <c r="G53" s="200" t="s">
        <v>223</v>
      </c>
      <c r="H53" s="200"/>
      <c r="I53" s="234" t="s">
        <v>50</v>
      </c>
      <c r="J53" s="237"/>
      <c r="K53" s="184"/>
      <c r="L53" s="213"/>
      <c r="M53" s="138"/>
      <c r="N53" s="138"/>
      <c r="O53" s="251"/>
      <c r="P53" s="251"/>
      <c r="Q53" s="251"/>
      <c r="R53" s="251"/>
      <c r="S53" s="251"/>
      <c r="T53" s="251"/>
      <c r="U53" s="251"/>
      <c r="V53" s="251"/>
      <c r="W53" s="251"/>
    </row>
    <row r="54" spans="1:23" s="185" customFormat="1" ht="18" customHeight="1" x14ac:dyDescent="0.35">
      <c r="A54" s="28"/>
      <c r="B54" s="199" t="s">
        <v>1264</v>
      </c>
      <c r="C54" s="200" t="s">
        <v>186</v>
      </c>
      <c r="D54" s="200" t="s">
        <v>187</v>
      </c>
      <c r="E54" s="200" t="s">
        <v>223</v>
      </c>
      <c r="F54" s="200">
        <v>429505</v>
      </c>
      <c r="G54" s="200" t="s">
        <v>223</v>
      </c>
      <c r="H54" s="200"/>
      <c r="I54" s="234" t="s">
        <v>50</v>
      </c>
      <c r="J54" s="237"/>
      <c r="K54" s="184"/>
      <c r="L54" s="213"/>
      <c r="M54" s="138"/>
      <c r="N54" s="138"/>
      <c r="O54" s="251"/>
      <c r="P54" s="251"/>
      <c r="Q54" s="251"/>
      <c r="R54" s="251"/>
      <c r="S54" s="251"/>
      <c r="T54" s="251"/>
      <c r="U54" s="251"/>
      <c r="V54" s="251"/>
      <c r="W54" s="251"/>
    </row>
    <row r="55" spans="1:23" s="185" customFormat="1" ht="18" customHeight="1" x14ac:dyDescent="0.35">
      <c r="A55" s="28"/>
      <c r="B55" s="199"/>
      <c r="C55" s="200"/>
      <c r="D55" s="200"/>
      <c r="E55" s="200"/>
      <c r="F55" s="200"/>
      <c r="G55" s="200"/>
      <c r="H55" s="200"/>
      <c r="I55" s="234"/>
      <c r="J55" s="237"/>
      <c r="K55" s="184"/>
      <c r="L55" s="213"/>
      <c r="M55" s="138"/>
      <c r="N55" s="138"/>
      <c r="O55" s="251"/>
      <c r="P55" s="251"/>
      <c r="Q55" s="251"/>
      <c r="R55" s="251"/>
      <c r="S55" s="251"/>
      <c r="T55" s="251"/>
      <c r="U55" s="251"/>
      <c r="V55" s="251"/>
      <c r="W55" s="251"/>
    </row>
    <row r="56" spans="1:23" s="185" customFormat="1" ht="18" customHeight="1" x14ac:dyDescent="0.35">
      <c r="A56" s="28"/>
      <c r="B56" s="199"/>
      <c r="C56" s="200"/>
      <c r="D56" s="200"/>
      <c r="E56" s="200"/>
      <c r="F56" s="200"/>
      <c r="G56" s="200"/>
      <c r="H56" s="200"/>
      <c r="I56" s="234"/>
      <c r="J56" s="237"/>
      <c r="K56" s="184"/>
      <c r="L56" s="213"/>
      <c r="M56" s="138"/>
      <c r="N56" s="138"/>
      <c r="O56" s="251"/>
      <c r="P56" s="251"/>
      <c r="Q56" s="251"/>
      <c r="R56" s="251"/>
      <c r="S56" s="251"/>
      <c r="T56" s="251"/>
      <c r="U56" s="251"/>
      <c r="V56" s="251"/>
      <c r="W56" s="251"/>
    </row>
    <row r="57" spans="1:23" s="185" customFormat="1" ht="18" customHeight="1" x14ac:dyDescent="0.35">
      <c r="A57" s="28"/>
      <c r="B57" s="199"/>
      <c r="C57" s="200"/>
      <c r="D57" s="200"/>
      <c r="E57" s="200"/>
      <c r="F57" s="200"/>
      <c r="G57" s="200"/>
      <c r="H57" s="200"/>
      <c r="I57" s="234"/>
      <c r="J57" s="238"/>
      <c r="K57" s="184"/>
      <c r="L57" s="213"/>
      <c r="M57" s="138"/>
      <c r="N57" s="138"/>
      <c r="O57" s="251"/>
      <c r="P57" s="251"/>
      <c r="Q57" s="251"/>
      <c r="R57" s="251"/>
      <c r="S57" s="251"/>
      <c r="T57" s="251"/>
      <c r="U57" s="251"/>
      <c r="V57" s="251"/>
      <c r="W57" s="251"/>
    </row>
    <row r="58" spans="1:23" s="185" customFormat="1" ht="18" customHeight="1" x14ac:dyDescent="0.35">
      <c r="A58" s="28"/>
      <c r="B58" s="199"/>
      <c r="C58" s="200"/>
      <c r="D58" s="200"/>
      <c r="E58" s="200"/>
      <c r="F58" s="200"/>
      <c r="G58" s="200"/>
      <c r="H58" s="200"/>
      <c r="I58" s="234"/>
      <c r="J58" s="238"/>
      <c r="K58" s="184"/>
      <c r="L58" s="213"/>
      <c r="M58" s="138"/>
      <c r="N58" s="138"/>
      <c r="O58" s="251"/>
      <c r="P58" s="251"/>
      <c r="Q58" s="251"/>
      <c r="R58" s="251"/>
      <c r="S58" s="251"/>
      <c r="T58" s="251"/>
      <c r="U58" s="251"/>
      <c r="V58" s="251"/>
      <c r="W58" s="251"/>
    </row>
    <row r="59" spans="1:23" s="185" customFormat="1" ht="18" customHeight="1" x14ac:dyDescent="0.35">
      <c r="A59" s="28"/>
      <c r="B59" s="199"/>
      <c r="C59" s="200"/>
      <c r="D59" s="200"/>
      <c r="E59" s="200"/>
      <c r="F59" s="200"/>
      <c r="G59" s="200"/>
      <c r="H59" s="200"/>
      <c r="I59" s="234"/>
      <c r="J59" s="238"/>
      <c r="K59" s="184"/>
      <c r="L59" s="213"/>
      <c r="M59" s="138"/>
      <c r="N59" s="138"/>
      <c r="O59" s="251"/>
      <c r="P59" s="251"/>
      <c r="Q59" s="251"/>
      <c r="R59" s="251"/>
      <c r="S59" s="251"/>
      <c r="T59" s="251"/>
      <c r="U59" s="251"/>
      <c r="V59" s="251"/>
      <c r="W59" s="251"/>
    </row>
    <row r="60" spans="1:23" s="185" customFormat="1" ht="18" customHeight="1" x14ac:dyDescent="0.35">
      <c r="A60" s="28"/>
      <c r="B60" s="199"/>
      <c r="C60" s="200"/>
      <c r="D60" s="200"/>
      <c r="E60" s="200"/>
      <c r="F60" s="200"/>
      <c r="G60" s="200"/>
      <c r="H60" s="200"/>
      <c r="I60" s="234"/>
      <c r="J60" s="238"/>
      <c r="K60" s="184"/>
      <c r="L60" s="213"/>
      <c r="M60" s="138"/>
      <c r="N60" s="138"/>
      <c r="O60" s="251"/>
      <c r="P60" s="251"/>
      <c r="Q60" s="251"/>
      <c r="R60" s="251"/>
      <c r="S60" s="251"/>
      <c r="T60" s="251"/>
      <c r="U60" s="251"/>
      <c r="V60" s="251"/>
      <c r="W60" s="251"/>
    </row>
    <row r="61" spans="1:23" s="185" customFormat="1" ht="18" customHeight="1" x14ac:dyDescent="0.35">
      <c r="A61" s="28"/>
      <c r="B61" s="199"/>
      <c r="C61" s="200"/>
      <c r="D61" s="200"/>
      <c r="E61" s="200"/>
      <c r="F61" s="200"/>
      <c r="G61" s="200"/>
      <c r="H61" s="200"/>
      <c r="I61" s="234"/>
      <c r="J61" s="238"/>
      <c r="K61" s="184"/>
      <c r="L61" s="213"/>
      <c r="M61" s="138"/>
      <c r="N61" s="138"/>
      <c r="O61" s="251"/>
      <c r="P61" s="251"/>
      <c r="Q61" s="251"/>
      <c r="R61" s="251"/>
      <c r="S61" s="251"/>
      <c r="T61" s="251"/>
      <c r="U61" s="251"/>
      <c r="V61" s="251"/>
      <c r="W61" s="251"/>
    </row>
    <row r="62" spans="1:23" s="185" customFormat="1" ht="18" customHeight="1" x14ac:dyDescent="0.35">
      <c r="A62" s="28"/>
      <c r="B62" s="199"/>
      <c r="C62" s="200"/>
      <c r="D62" s="200"/>
      <c r="E62" s="200"/>
      <c r="F62" s="200"/>
      <c r="G62" s="200"/>
      <c r="H62" s="200"/>
      <c r="I62" s="234"/>
      <c r="J62" s="238"/>
      <c r="K62" s="184"/>
      <c r="L62" s="213"/>
      <c r="M62" s="138"/>
      <c r="N62" s="138"/>
      <c r="O62" s="251"/>
      <c r="P62" s="251"/>
      <c r="Q62" s="251"/>
      <c r="R62" s="251"/>
      <c r="S62" s="251"/>
      <c r="T62" s="251"/>
      <c r="U62" s="251"/>
      <c r="V62" s="251"/>
      <c r="W62" s="251"/>
    </row>
    <row r="63" spans="1:23" s="185" customFormat="1" ht="18" customHeight="1" x14ac:dyDescent="0.35">
      <c r="A63" s="28"/>
      <c r="B63" s="199"/>
      <c r="C63" s="200"/>
      <c r="D63" s="200"/>
      <c r="E63" s="200"/>
      <c r="F63" s="200"/>
      <c r="G63" s="200"/>
      <c r="H63" s="200"/>
      <c r="I63" s="234"/>
      <c r="J63" s="238"/>
      <c r="K63" s="184"/>
      <c r="L63" s="213"/>
      <c r="M63" s="138"/>
      <c r="N63" s="138"/>
      <c r="O63" s="251"/>
      <c r="P63" s="251"/>
      <c r="Q63" s="251"/>
      <c r="R63" s="251"/>
      <c r="S63" s="251"/>
      <c r="T63" s="251"/>
      <c r="U63" s="251"/>
      <c r="V63" s="251"/>
      <c r="W63" s="251"/>
    </row>
    <row r="64" spans="1:23" s="185" customFormat="1" ht="18" customHeight="1" x14ac:dyDescent="0.35">
      <c r="A64" s="28"/>
      <c r="B64" s="199"/>
      <c r="C64" s="200"/>
      <c r="D64" s="200"/>
      <c r="E64" s="200"/>
      <c r="F64" s="200"/>
      <c r="G64" s="200"/>
      <c r="H64" s="200"/>
      <c r="I64" s="234"/>
      <c r="J64" s="238"/>
      <c r="K64" s="184"/>
      <c r="L64" s="213"/>
      <c r="N64" s="138"/>
      <c r="O64" s="251"/>
      <c r="P64" s="251"/>
      <c r="Q64" s="251"/>
      <c r="R64" s="251"/>
      <c r="S64" s="251"/>
      <c r="T64" s="251"/>
      <c r="U64" s="251"/>
      <c r="V64" s="251"/>
      <c r="W64" s="251"/>
    </row>
    <row r="65" spans="1:23" s="185" customFormat="1" ht="18" customHeight="1" x14ac:dyDescent="0.35">
      <c r="A65" s="28"/>
      <c r="B65" s="199"/>
      <c r="C65" s="200"/>
      <c r="D65" s="200"/>
      <c r="E65" s="200"/>
      <c r="F65" s="200"/>
      <c r="G65" s="200"/>
      <c r="H65" s="200"/>
      <c r="I65" s="234"/>
      <c r="J65" s="238"/>
      <c r="K65" s="184"/>
      <c r="L65" s="213"/>
      <c r="N65" s="138"/>
      <c r="O65" s="251"/>
      <c r="P65" s="251"/>
      <c r="Q65" s="251"/>
      <c r="R65" s="251"/>
      <c r="S65" s="251"/>
      <c r="T65" s="251"/>
      <c r="U65" s="251"/>
      <c r="V65" s="251"/>
      <c r="W65" s="251"/>
    </row>
    <row r="66" spans="1:23" s="185" customFormat="1" ht="18" customHeight="1" x14ac:dyDescent="0.35">
      <c r="A66" s="28"/>
      <c r="B66" s="199"/>
      <c r="C66" s="200"/>
      <c r="D66" s="200"/>
      <c r="E66" s="200"/>
      <c r="F66" s="200"/>
      <c r="G66" s="200"/>
      <c r="H66" s="200"/>
      <c r="I66" s="234"/>
      <c r="J66" s="238"/>
      <c r="K66" s="184"/>
      <c r="L66" s="213"/>
      <c r="N66" s="138"/>
      <c r="O66" s="251"/>
      <c r="P66" s="251"/>
      <c r="Q66" s="251"/>
      <c r="R66" s="251"/>
      <c r="S66" s="251"/>
      <c r="T66" s="251"/>
      <c r="U66" s="251"/>
      <c r="V66" s="251"/>
      <c r="W66" s="251"/>
    </row>
    <row r="67" spans="1:23" s="185" customFormat="1" ht="18" customHeight="1" x14ac:dyDescent="0.35">
      <c r="A67" s="28"/>
      <c r="B67" s="199"/>
      <c r="C67" s="200"/>
      <c r="D67" s="200"/>
      <c r="E67" s="200"/>
      <c r="F67" s="200"/>
      <c r="G67" s="200"/>
      <c r="H67" s="200"/>
      <c r="I67" s="234"/>
      <c r="J67" s="238"/>
      <c r="K67" s="184"/>
      <c r="L67" s="213"/>
      <c r="N67" s="138"/>
      <c r="O67" s="251"/>
      <c r="P67" s="251"/>
      <c r="Q67" s="251"/>
      <c r="R67" s="251"/>
      <c r="S67" s="251"/>
      <c r="T67" s="251"/>
      <c r="U67" s="251"/>
      <c r="V67" s="251"/>
      <c r="W67" s="251"/>
    </row>
    <row r="68" spans="1:23" s="185" customFormat="1" ht="18" customHeight="1" x14ac:dyDescent="0.35">
      <c r="A68" s="28"/>
      <c r="B68" s="199"/>
      <c r="C68" s="200"/>
      <c r="D68" s="200"/>
      <c r="E68" s="200"/>
      <c r="F68" s="200"/>
      <c r="G68" s="200"/>
      <c r="H68" s="200"/>
      <c r="I68" s="234"/>
      <c r="J68" s="238"/>
      <c r="K68" s="184"/>
      <c r="L68" s="213"/>
      <c r="N68" s="138"/>
      <c r="O68" s="251"/>
      <c r="P68" s="251"/>
      <c r="Q68" s="251"/>
      <c r="R68" s="251"/>
      <c r="S68" s="251"/>
      <c r="T68" s="251"/>
      <c r="U68" s="251"/>
      <c r="V68" s="251"/>
      <c r="W68" s="251"/>
    </row>
    <row r="69" spans="1:23" s="185" customFormat="1" ht="18" customHeight="1" x14ac:dyDescent="0.35">
      <c r="A69" s="28"/>
      <c r="B69" s="199"/>
      <c r="C69" s="200"/>
      <c r="D69" s="200"/>
      <c r="E69" s="200"/>
      <c r="F69" s="200"/>
      <c r="G69" s="200"/>
      <c r="H69" s="200"/>
      <c r="I69" s="234"/>
      <c r="J69" s="238"/>
      <c r="K69" s="184"/>
      <c r="L69" s="213"/>
      <c r="N69" s="138"/>
      <c r="O69" s="251"/>
      <c r="P69" s="251"/>
      <c r="Q69" s="251"/>
      <c r="R69" s="251"/>
      <c r="S69" s="251"/>
      <c r="T69" s="251"/>
      <c r="U69" s="251"/>
      <c r="V69" s="251"/>
      <c r="W69" s="251"/>
    </row>
    <row r="70" spans="1:23" s="185" customFormat="1" ht="18" customHeight="1" x14ac:dyDescent="0.35">
      <c r="A70" s="28"/>
      <c r="B70" s="199"/>
      <c r="C70" s="200"/>
      <c r="D70" s="200"/>
      <c r="E70" s="200"/>
      <c r="F70" s="200"/>
      <c r="G70" s="200"/>
      <c r="H70" s="200"/>
      <c r="I70" s="234"/>
      <c r="J70" s="238"/>
      <c r="K70" s="184"/>
      <c r="L70" s="213"/>
      <c r="N70" s="138"/>
      <c r="O70" s="251"/>
      <c r="P70" s="251"/>
      <c r="Q70" s="251"/>
      <c r="R70" s="251"/>
      <c r="S70" s="251"/>
      <c r="T70" s="251"/>
      <c r="U70" s="251"/>
      <c r="V70" s="251"/>
      <c r="W70" s="251"/>
    </row>
    <row r="71" spans="1:23" s="185" customFormat="1" ht="18" customHeight="1" x14ac:dyDescent="0.35">
      <c r="B71" s="199"/>
      <c r="C71" s="200"/>
      <c r="D71" s="200"/>
      <c r="E71" s="200"/>
      <c r="F71" s="200"/>
      <c r="G71" s="200"/>
      <c r="H71" s="200"/>
      <c r="I71" s="234"/>
      <c r="J71" s="238"/>
      <c r="K71" s="184"/>
      <c r="L71" s="213"/>
      <c r="N71" s="138"/>
      <c r="O71" s="251"/>
      <c r="P71" s="251"/>
      <c r="Q71" s="251"/>
      <c r="R71" s="251"/>
      <c r="S71" s="251"/>
      <c r="T71" s="251"/>
      <c r="U71" s="251"/>
      <c r="V71" s="251"/>
      <c r="W71" s="251"/>
    </row>
    <row r="72" spans="1:23" s="185" customFormat="1" ht="18" customHeight="1" x14ac:dyDescent="0.35">
      <c r="B72" s="199"/>
      <c r="C72" s="200"/>
      <c r="D72" s="200"/>
      <c r="E72" s="200"/>
      <c r="F72" s="200"/>
      <c r="G72" s="200"/>
      <c r="H72" s="200"/>
      <c r="I72" s="234"/>
      <c r="J72" s="238"/>
      <c r="K72" s="184"/>
      <c r="L72" s="213"/>
      <c r="N72" s="138"/>
      <c r="O72" s="251"/>
      <c r="P72" s="251"/>
      <c r="Q72" s="251"/>
      <c r="R72" s="251"/>
      <c r="S72" s="251"/>
      <c r="T72" s="251"/>
      <c r="U72" s="251"/>
      <c r="V72" s="251"/>
      <c r="W72" s="251"/>
    </row>
    <row r="73" spans="1:23" s="185" customFormat="1" ht="18" customHeight="1" x14ac:dyDescent="0.35">
      <c r="B73" s="199"/>
      <c r="C73" s="200"/>
      <c r="D73" s="200"/>
      <c r="E73" s="200"/>
      <c r="F73" s="200"/>
      <c r="G73" s="200"/>
      <c r="H73" s="200"/>
      <c r="I73" s="234"/>
      <c r="J73" s="237"/>
      <c r="K73" s="184"/>
      <c r="L73" s="213"/>
      <c r="N73" s="138"/>
      <c r="O73" s="251"/>
      <c r="P73" s="251"/>
      <c r="Q73" s="251"/>
      <c r="R73" s="251"/>
      <c r="S73" s="251"/>
      <c r="T73" s="251"/>
      <c r="U73" s="251"/>
      <c r="V73" s="251"/>
      <c r="W73" s="251"/>
    </row>
    <row r="74" spans="1:23" s="185" customFormat="1" ht="18" customHeight="1" x14ac:dyDescent="0.35">
      <c r="B74" s="199"/>
      <c r="C74" s="200"/>
      <c r="D74" s="200"/>
      <c r="E74" s="200"/>
      <c r="F74" s="200"/>
      <c r="G74" s="200"/>
      <c r="H74" s="200"/>
      <c r="I74" s="234"/>
      <c r="J74" s="237"/>
      <c r="K74" s="184"/>
      <c r="L74" s="213"/>
      <c r="N74" s="138"/>
      <c r="O74" s="251"/>
      <c r="P74" s="251"/>
      <c r="Q74" s="251"/>
      <c r="R74" s="251"/>
      <c r="S74" s="251"/>
      <c r="T74" s="251"/>
      <c r="U74" s="251"/>
      <c r="V74" s="251"/>
      <c r="W74" s="251"/>
    </row>
    <row r="75" spans="1:23" s="185" customFormat="1" ht="18" customHeight="1" x14ac:dyDescent="0.35">
      <c r="B75" s="199"/>
      <c r="C75" s="200"/>
      <c r="D75" s="200"/>
      <c r="E75" s="200"/>
      <c r="F75" s="200"/>
      <c r="G75" s="200"/>
      <c r="H75" s="200"/>
      <c r="I75" s="234"/>
      <c r="J75" s="237"/>
      <c r="K75" s="184"/>
      <c r="L75" s="213"/>
      <c r="N75" s="138"/>
      <c r="O75" s="251"/>
      <c r="P75" s="251"/>
      <c r="Q75" s="251"/>
      <c r="R75" s="251"/>
      <c r="S75" s="251"/>
      <c r="T75" s="251"/>
      <c r="U75" s="251"/>
      <c r="V75" s="251"/>
      <c r="W75" s="251"/>
    </row>
    <row r="76" spans="1:23" s="185" customFormat="1" ht="18" customHeight="1" x14ac:dyDescent="0.35">
      <c r="B76" s="199"/>
      <c r="C76" s="200"/>
      <c r="D76" s="200"/>
      <c r="E76" s="200"/>
      <c r="F76" s="200"/>
      <c r="G76" s="200"/>
      <c r="H76" s="200"/>
      <c r="I76" s="234"/>
      <c r="J76" s="237"/>
      <c r="K76" s="184"/>
      <c r="L76" s="213"/>
      <c r="N76" s="138"/>
      <c r="O76" s="251"/>
      <c r="P76" s="251"/>
      <c r="Q76" s="251"/>
      <c r="R76" s="251"/>
      <c r="S76" s="251"/>
      <c r="T76" s="251"/>
      <c r="U76" s="251"/>
      <c r="V76" s="251"/>
      <c r="W76" s="251"/>
    </row>
    <row r="77" spans="1:23" s="185" customFormat="1" ht="18" customHeight="1" x14ac:dyDescent="0.35">
      <c r="B77" s="199"/>
      <c r="C77" s="200"/>
      <c r="D77" s="200"/>
      <c r="E77" s="200"/>
      <c r="F77" s="200"/>
      <c r="G77" s="200"/>
      <c r="H77" s="200"/>
      <c r="I77" s="234"/>
      <c r="J77" s="237"/>
      <c r="K77" s="184"/>
      <c r="L77" s="213"/>
      <c r="N77" s="138"/>
      <c r="O77" s="251"/>
      <c r="P77" s="251"/>
      <c r="Q77" s="251"/>
      <c r="R77" s="251"/>
      <c r="S77" s="251"/>
      <c r="T77" s="251"/>
      <c r="U77" s="251"/>
      <c r="V77" s="251"/>
      <c r="W77" s="251"/>
    </row>
    <row r="78" spans="1:23" s="185" customFormat="1" ht="18" customHeight="1" x14ac:dyDescent="0.35">
      <c r="B78" s="199"/>
      <c r="C78" s="200"/>
      <c r="D78" s="200"/>
      <c r="E78" s="200"/>
      <c r="F78" s="200"/>
      <c r="G78" s="200"/>
      <c r="H78" s="200"/>
      <c r="I78" s="234"/>
      <c r="J78" s="237"/>
      <c r="K78" s="184"/>
      <c r="L78" s="213"/>
      <c r="N78" s="138"/>
      <c r="O78" s="251"/>
      <c r="P78" s="251"/>
      <c r="Q78" s="251"/>
      <c r="R78" s="251"/>
      <c r="S78" s="251"/>
      <c r="T78" s="251"/>
      <c r="U78" s="251"/>
      <c r="V78" s="251"/>
      <c r="W78" s="251"/>
    </row>
    <row r="79" spans="1:23" s="185" customFormat="1" ht="18" customHeight="1" x14ac:dyDescent="0.35">
      <c r="B79" s="199"/>
      <c r="C79" s="200"/>
      <c r="D79" s="200"/>
      <c r="E79" s="200"/>
      <c r="F79" s="200"/>
      <c r="G79" s="200"/>
      <c r="H79" s="200"/>
      <c r="I79" s="234"/>
      <c r="J79" s="237"/>
      <c r="K79" s="184"/>
      <c r="L79" s="213"/>
      <c r="N79" s="138"/>
      <c r="O79" s="251"/>
      <c r="P79" s="251"/>
      <c r="Q79" s="251"/>
      <c r="R79" s="251"/>
      <c r="S79" s="251"/>
      <c r="T79" s="251"/>
      <c r="U79" s="251"/>
      <c r="V79" s="251"/>
      <c r="W79" s="251"/>
    </row>
    <row r="80" spans="1:23" s="185" customFormat="1" ht="18" customHeight="1" x14ac:dyDescent="0.35">
      <c r="B80" s="199"/>
      <c r="C80" s="200"/>
      <c r="D80" s="200"/>
      <c r="E80" s="200"/>
      <c r="F80" s="200"/>
      <c r="G80" s="200"/>
      <c r="H80" s="200"/>
      <c r="I80" s="234"/>
      <c r="J80" s="237"/>
      <c r="K80" s="184"/>
      <c r="L80" s="144"/>
      <c r="N80" s="138"/>
      <c r="O80" s="251"/>
      <c r="P80" s="251"/>
      <c r="Q80" s="251"/>
      <c r="R80" s="251"/>
      <c r="S80" s="251"/>
      <c r="T80" s="251"/>
      <c r="U80" s="251"/>
      <c r="V80" s="251"/>
      <c r="W80" s="251"/>
    </row>
    <row r="81" spans="1:23" s="185" customFormat="1" ht="18" customHeight="1" x14ac:dyDescent="0.35">
      <c r="B81" s="199"/>
      <c r="C81" s="200"/>
      <c r="D81" s="200"/>
      <c r="E81" s="200"/>
      <c r="F81" s="200"/>
      <c r="G81" s="200"/>
      <c r="H81" s="200"/>
      <c r="I81" s="234"/>
      <c r="J81" s="237"/>
      <c r="K81" s="184"/>
      <c r="L81" s="144"/>
      <c r="N81" s="138"/>
      <c r="O81" s="251"/>
      <c r="P81" s="251"/>
      <c r="Q81" s="251"/>
      <c r="R81" s="251"/>
      <c r="S81" s="251"/>
      <c r="T81" s="251"/>
      <c r="U81" s="251"/>
      <c r="V81" s="251"/>
      <c r="W81" s="251"/>
    </row>
    <row r="82" spans="1:23" s="185" customFormat="1" ht="18" customHeight="1" x14ac:dyDescent="0.35">
      <c r="B82" s="199"/>
      <c r="C82" s="200"/>
      <c r="D82" s="200"/>
      <c r="E82" s="200"/>
      <c r="F82" s="200"/>
      <c r="G82" s="200"/>
      <c r="H82" s="200"/>
      <c r="I82" s="234"/>
      <c r="J82" s="237"/>
      <c r="K82" s="184"/>
      <c r="L82" s="144"/>
      <c r="N82" s="138"/>
      <c r="O82" s="251"/>
      <c r="P82" s="251"/>
      <c r="Q82" s="251"/>
      <c r="R82" s="251"/>
      <c r="S82" s="251"/>
      <c r="T82" s="251"/>
      <c r="U82" s="251"/>
      <c r="V82" s="251"/>
      <c r="W82" s="251"/>
    </row>
    <row r="83" spans="1:23" s="185" customFormat="1" ht="18" customHeight="1" x14ac:dyDescent="0.35">
      <c r="B83" s="199"/>
      <c r="C83" s="200"/>
      <c r="D83" s="200"/>
      <c r="E83" s="200"/>
      <c r="F83" s="200"/>
      <c r="G83" s="200"/>
      <c r="H83" s="200"/>
      <c r="I83" s="234"/>
      <c r="J83" s="237"/>
      <c r="K83" s="184"/>
      <c r="L83" s="144"/>
      <c r="N83" s="138"/>
      <c r="O83" s="251"/>
      <c r="P83" s="251"/>
      <c r="Q83" s="251"/>
      <c r="R83" s="251"/>
      <c r="S83" s="251"/>
      <c r="T83" s="251"/>
      <c r="U83" s="251"/>
      <c r="V83" s="251"/>
      <c r="W83" s="251"/>
    </row>
    <row r="84" spans="1:23" s="185" customFormat="1" ht="18" customHeight="1" x14ac:dyDescent="0.35">
      <c r="B84" s="199"/>
      <c r="C84" s="200"/>
      <c r="D84" s="200"/>
      <c r="E84" s="200"/>
      <c r="F84" s="200"/>
      <c r="G84" s="200"/>
      <c r="H84" s="200"/>
      <c r="I84" s="234"/>
      <c r="J84" s="237"/>
      <c r="K84" s="184"/>
      <c r="L84" s="144"/>
      <c r="N84" s="138"/>
      <c r="O84" s="251"/>
      <c r="P84" s="251"/>
      <c r="Q84" s="251"/>
      <c r="R84" s="251"/>
      <c r="S84" s="251"/>
      <c r="T84" s="251"/>
      <c r="U84" s="251"/>
      <c r="V84" s="251"/>
      <c r="W84" s="251"/>
    </row>
    <row r="85" spans="1:23" s="185" customFormat="1" ht="18" customHeight="1" x14ac:dyDescent="0.35">
      <c r="B85" s="199"/>
      <c r="C85" s="200"/>
      <c r="D85" s="200"/>
      <c r="E85" s="200"/>
      <c r="F85" s="200"/>
      <c r="G85" s="200"/>
      <c r="H85" s="200"/>
      <c r="I85" s="234"/>
      <c r="J85" s="237"/>
      <c r="K85" s="184"/>
      <c r="L85" s="144"/>
      <c r="N85" s="138"/>
      <c r="O85" s="251"/>
      <c r="P85" s="251"/>
      <c r="Q85" s="251"/>
      <c r="R85" s="251"/>
      <c r="S85" s="251"/>
      <c r="T85" s="251"/>
      <c r="U85" s="251"/>
      <c r="V85" s="251"/>
      <c r="W85" s="251"/>
    </row>
    <row r="86" spans="1:23" s="185" customFormat="1" ht="18" customHeight="1" x14ac:dyDescent="0.35">
      <c r="B86" s="199"/>
      <c r="C86" s="200"/>
      <c r="D86" s="200"/>
      <c r="E86" s="200"/>
      <c r="F86" s="200"/>
      <c r="G86" s="200"/>
      <c r="H86" s="200"/>
      <c r="I86" s="234"/>
      <c r="J86" s="237"/>
      <c r="K86" s="184"/>
      <c r="L86" s="144"/>
      <c r="N86" s="138"/>
      <c r="O86" s="251"/>
      <c r="P86" s="251"/>
      <c r="Q86" s="251"/>
      <c r="R86" s="251"/>
      <c r="S86" s="251"/>
      <c r="T86" s="251"/>
      <c r="U86" s="251"/>
      <c r="V86" s="251"/>
      <c r="W86" s="251"/>
    </row>
    <row r="87" spans="1:23" s="162" customFormat="1" ht="18" customHeight="1" x14ac:dyDescent="0.35">
      <c r="A87" s="185"/>
      <c r="B87" s="199"/>
      <c r="C87" s="200"/>
      <c r="D87" s="200"/>
      <c r="E87" s="200"/>
      <c r="F87" s="200"/>
      <c r="G87" s="200"/>
      <c r="H87" s="200"/>
      <c r="I87" s="234"/>
      <c r="J87" s="237"/>
      <c r="K87" s="184"/>
      <c r="L87" s="144"/>
      <c r="N87" s="138"/>
      <c r="O87" s="251"/>
      <c r="P87" s="251"/>
      <c r="Q87" s="251"/>
      <c r="R87" s="251"/>
      <c r="S87" s="251"/>
      <c r="T87" s="251"/>
      <c r="U87" s="251"/>
      <c r="V87" s="251"/>
      <c r="W87" s="251"/>
    </row>
    <row r="88" spans="1:23" s="69" customFormat="1" ht="18" customHeight="1" x14ac:dyDescent="0.3">
      <c r="B88" s="71" t="s">
        <v>5</v>
      </c>
      <c r="C88" s="71" t="s">
        <v>45</v>
      </c>
      <c r="D88" s="194" t="s">
        <v>203</v>
      </c>
      <c r="E88" s="71" t="s">
        <v>47</v>
      </c>
      <c r="F88" s="71" t="s">
        <v>48</v>
      </c>
      <c r="G88" s="71" t="s">
        <v>49</v>
      </c>
      <c r="H88" s="71" t="s">
        <v>78</v>
      </c>
      <c r="I88" s="72"/>
      <c r="J88" s="239"/>
      <c r="K88" s="72"/>
      <c r="L88" s="145"/>
      <c r="M88" s="54"/>
      <c r="N88" s="54"/>
      <c r="O88" s="251"/>
      <c r="P88" s="251"/>
      <c r="Q88" s="251"/>
      <c r="R88" s="251"/>
      <c r="S88" s="251"/>
      <c r="T88" s="251"/>
      <c r="U88" s="251"/>
      <c r="V88" s="251"/>
      <c r="W88" s="251"/>
    </row>
    <row r="89" spans="1:23" s="69" customFormat="1" ht="18" customHeight="1" x14ac:dyDescent="0.35">
      <c r="B89" s="141">
        <v>42853</v>
      </c>
      <c r="C89" s="142" t="s">
        <v>132</v>
      </c>
      <c r="D89" s="142">
        <v>500</v>
      </c>
      <c r="E89" s="142">
        <v>10770071</v>
      </c>
      <c r="F89" s="200"/>
      <c r="G89" s="200">
        <v>2314</v>
      </c>
      <c r="H89" s="142"/>
      <c r="I89" s="234" t="s">
        <v>272</v>
      </c>
      <c r="J89" s="240"/>
      <c r="K89" s="61"/>
      <c r="L89" s="145"/>
      <c r="M89" s="54"/>
      <c r="N89" s="162"/>
      <c r="O89" s="251"/>
      <c r="P89" s="251"/>
      <c r="Q89" s="251"/>
      <c r="R89" s="251"/>
      <c r="S89" s="251"/>
      <c r="T89" s="251"/>
      <c r="U89" s="251"/>
      <c r="V89" s="251"/>
      <c r="W89" s="251"/>
    </row>
    <row r="90" spans="1:23" s="185" customFormat="1" ht="18" customHeight="1" x14ac:dyDescent="0.35">
      <c r="B90" s="199">
        <v>42852</v>
      </c>
      <c r="C90" s="200" t="s">
        <v>783</v>
      </c>
      <c r="D90" s="200">
        <v>1087</v>
      </c>
      <c r="E90" s="200">
        <v>1288918732</v>
      </c>
      <c r="F90" s="200">
        <v>7700</v>
      </c>
      <c r="G90" s="200"/>
      <c r="H90" s="200"/>
      <c r="I90" s="234" t="s">
        <v>200</v>
      </c>
      <c r="J90" s="240"/>
      <c r="K90" s="184"/>
      <c r="L90" s="145"/>
      <c r="M90" s="54"/>
      <c r="O90" s="251"/>
      <c r="P90" s="251"/>
      <c r="Q90" s="251"/>
      <c r="R90" s="251"/>
      <c r="S90" s="251"/>
      <c r="T90" s="251"/>
      <c r="U90" s="251"/>
      <c r="V90" s="251"/>
      <c r="W90" s="251"/>
    </row>
    <row r="91" spans="1:23" s="185" customFormat="1" ht="18" customHeight="1" x14ac:dyDescent="0.35">
      <c r="B91" s="199">
        <v>42851</v>
      </c>
      <c r="C91" s="200" t="s">
        <v>132</v>
      </c>
      <c r="D91" s="200">
        <v>500</v>
      </c>
      <c r="E91" s="200">
        <v>10770350</v>
      </c>
      <c r="F91" s="200"/>
      <c r="G91" s="200">
        <v>100</v>
      </c>
      <c r="H91" s="200"/>
      <c r="I91" s="234" t="s">
        <v>272</v>
      </c>
      <c r="J91" s="240"/>
      <c r="K91" s="184"/>
      <c r="L91" s="145"/>
      <c r="M91" s="54"/>
      <c r="O91" s="251"/>
      <c r="P91" s="251"/>
      <c r="Q91" s="251"/>
      <c r="R91" s="251"/>
      <c r="S91" s="251"/>
      <c r="T91" s="251"/>
      <c r="U91" s="251"/>
      <c r="V91" s="251"/>
      <c r="W91" s="251"/>
    </row>
    <row r="92" spans="1:23" s="185" customFormat="1" ht="18" customHeight="1" x14ac:dyDescent="0.35">
      <c r="B92" s="199">
        <v>42849</v>
      </c>
      <c r="C92" s="200" t="s">
        <v>132</v>
      </c>
      <c r="D92" s="200">
        <v>500</v>
      </c>
      <c r="E92" s="200">
        <v>10770430</v>
      </c>
      <c r="F92" s="200"/>
      <c r="G92" s="200">
        <v>1460</v>
      </c>
      <c r="H92" s="200"/>
      <c r="I92" s="234" t="s">
        <v>272</v>
      </c>
      <c r="J92" s="240"/>
      <c r="K92" s="184"/>
      <c r="L92" s="145"/>
      <c r="M92" s="54"/>
      <c r="O92" s="251"/>
      <c r="P92" s="251"/>
      <c r="Q92" s="251"/>
      <c r="R92" s="251"/>
      <c r="S92" s="251"/>
      <c r="T92" s="251"/>
      <c r="U92" s="251"/>
      <c r="V92" s="251"/>
      <c r="W92" s="251"/>
    </row>
    <row r="93" spans="1:23" s="162" customFormat="1" ht="18" customHeight="1" x14ac:dyDescent="0.35">
      <c r="A93" s="185"/>
      <c r="B93" s="199">
        <v>42849</v>
      </c>
      <c r="C93" s="200" t="s">
        <v>132</v>
      </c>
      <c r="D93" s="200">
        <v>500</v>
      </c>
      <c r="E93" s="200">
        <v>10770423</v>
      </c>
      <c r="F93" s="200"/>
      <c r="G93" s="200">
        <v>6180</v>
      </c>
      <c r="H93" s="200"/>
      <c r="I93" s="234" t="s">
        <v>272</v>
      </c>
      <c r="J93" s="240"/>
      <c r="K93" s="184"/>
      <c r="L93" s="145"/>
      <c r="M93" s="54"/>
      <c r="O93" s="251"/>
      <c r="P93" s="251"/>
      <c r="Q93" s="251"/>
      <c r="R93" s="251"/>
      <c r="S93" s="251"/>
      <c r="T93" s="251"/>
      <c r="U93" s="251"/>
      <c r="V93" s="251"/>
      <c r="W93" s="251"/>
    </row>
    <row r="94" spans="1:23" s="162" customFormat="1" ht="18" customHeight="1" x14ac:dyDescent="0.35">
      <c r="A94" s="185"/>
      <c r="B94" s="199">
        <v>42831</v>
      </c>
      <c r="C94" s="200" t="s">
        <v>783</v>
      </c>
      <c r="D94" s="200">
        <v>1087</v>
      </c>
      <c r="E94" s="200">
        <v>1288901944</v>
      </c>
      <c r="F94" s="200">
        <v>10200</v>
      </c>
      <c r="G94" s="200"/>
      <c r="H94" s="200"/>
      <c r="I94" s="234" t="s">
        <v>200</v>
      </c>
      <c r="J94" s="240"/>
      <c r="K94" s="184"/>
      <c r="L94" s="145"/>
      <c r="M94" s="54"/>
      <c r="N94" s="198"/>
      <c r="O94" s="251"/>
      <c r="P94" s="251"/>
      <c r="Q94" s="251"/>
      <c r="R94" s="251"/>
      <c r="S94" s="251"/>
      <c r="T94" s="251"/>
      <c r="U94" s="251"/>
      <c r="V94" s="251"/>
      <c r="W94" s="251"/>
    </row>
    <row r="95" spans="1:23" s="251" customFormat="1" ht="18" customHeight="1" x14ac:dyDescent="0.35">
      <c r="B95" s="199"/>
      <c r="C95" s="200"/>
      <c r="D95" s="200"/>
      <c r="E95" s="200"/>
      <c r="F95" s="200"/>
      <c r="G95" s="200"/>
      <c r="H95" s="200"/>
      <c r="I95" s="234"/>
      <c r="J95" s="240"/>
      <c r="K95" s="184"/>
      <c r="L95" s="145"/>
      <c r="M95" s="54"/>
      <c r="N95" s="198"/>
    </row>
    <row r="96" spans="1:23" s="162" customFormat="1" ht="18" customHeight="1" x14ac:dyDescent="0.35">
      <c r="A96" s="185"/>
      <c r="B96" s="199"/>
      <c r="C96" s="200"/>
      <c r="D96" s="200"/>
      <c r="E96" s="200"/>
      <c r="F96" s="200"/>
      <c r="G96" s="200"/>
      <c r="H96" s="200"/>
      <c r="I96" s="234"/>
      <c r="J96" s="240"/>
      <c r="K96" s="184"/>
      <c r="L96" s="145"/>
      <c r="M96" s="54"/>
      <c r="N96" s="198"/>
      <c r="O96" s="251"/>
      <c r="P96" s="251"/>
      <c r="Q96" s="251"/>
      <c r="R96" s="251"/>
      <c r="S96" s="251"/>
      <c r="T96" s="251"/>
      <c r="U96" s="251"/>
      <c r="V96" s="251"/>
      <c r="W96" s="251"/>
    </row>
    <row r="97" spans="1:35" s="162" customFormat="1" ht="18" customHeight="1" x14ac:dyDescent="0.35">
      <c r="A97" s="185"/>
      <c r="B97" s="199"/>
      <c r="C97" s="200"/>
      <c r="D97" s="200"/>
      <c r="E97" s="200"/>
      <c r="F97" s="200"/>
      <c r="G97" s="200"/>
      <c r="H97" s="200"/>
      <c r="I97" s="234"/>
      <c r="J97" s="240"/>
      <c r="K97" s="184"/>
      <c r="L97" s="145"/>
      <c r="M97" s="54"/>
      <c r="N97" s="198"/>
      <c r="O97" s="251" t="s">
        <v>5</v>
      </c>
      <c r="P97" s="251" t="s">
        <v>45</v>
      </c>
      <c r="Q97" s="251" t="s">
        <v>203</v>
      </c>
      <c r="R97" s="251" t="s">
        <v>47</v>
      </c>
      <c r="S97" s="251" t="s">
        <v>81</v>
      </c>
      <c r="T97" s="251"/>
      <c r="U97" s="251"/>
      <c r="V97" s="251"/>
      <c r="W97" s="251"/>
    </row>
    <row r="98" spans="1:35" s="162" customFormat="1" ht="18" customHeight="1" x14ac:dyDescent="0.3">
      <c r="B98" s="194" t="s">
        <v>181</v>
      </c>
      <c r="C98" s="194" t="s">
        <v>5</v>
      </c>
      <c r="D98" s="194" t="s">
        <v>202</v>
      </c>
      <c r="E98" s="194"/>
      <c r="F98" s="194"/>
      <c r="G98" s="194"/>
      <c r="H98" s="194"/>
      <c r="I98" s="72"/>
      <c r="J98" s="239"/>
      <c r="K98" s="72"/>
      <c r="L98" s="16"/>
      <c r="M98" s="185"/>
      <c r="N98" s="139"/>
      <c r="O98" s="251"/>
      <c r="P98" s="251"/>
      <c r="Q98" s="251"/>
      <c r="R98" s="251"/>
      <c r="S98" s="251"/>
      <c r="T98" s="251"/>
      <c r="U98" s="251"/>
      <c r="V98" s="251"/>
      <c r="W98" s="251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</row>
    <row r="99" spans="1:35" s="162" customFormat="1" ht="18" customHeight="1" x14ac:dyDescent="0.35">
      <c r="B99" s="199" t="s">
        <v>1387</v>
      </c>
      <c r="C99" s="200" t="s">
        <v>785</v>
      </c>
      <c r="D99" s="200" t="s">
        <v>1388</v>
      </c>
      <c r="E99" s="200"/>
      <c r="F99" s="313">
        <v>16390</v>
      </c>
      <c r="G99" s="200"/>
      <c r="H99" s="200"/>
      <c r="I99" s="234" t="s">
        <v>269</v>
      </c>
      <c r="J99" s="238"/>
      <c r="K99" s="184"/>
      <c r="L99" s="16"/>
      <c r="M99" s="185"/>
      <c r="N99" s="139"/>
      <c r="O99" s="251"/>
      <c r="P99" s="251"/>
      <c r="Q99" s="251"/>
      <c r="R99" s="251"/>
      <c r="S99" s="251"/>
      <c r="T99" s="251"/>
      <c r="U99" s="251"/>
      <c r="V99" s="251"/>
      <c r="W99" s="251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</row>
    <row r="100" spans="1:35" s="162" customFormat="1" ht="18" customHeight="1" x14ac:dyDescent="0.35">
      <c r="B100" s="199" t="s">
        <v>1389</v>
      </c>
      <c r="C100" s="200" t="s">
        <v>1390</v>
      </c>
      <c r="D100" s="200" t="s">
        <v>1391</v>
      </c>
      <c r="E100" s="200"/>
      <c r="F100" s="313">
        <v>12000</v>
      </c>
      <c r="G100" s="200"/>
      <c r="H100" s="200"/>
      <c r="I100" s="234" t="s">
        <v>269</v>
      </c>
      <c r="J100" s="238"/>
      <c r="K100" s="184"/>
      <c r="L100" s="16"/>
      <c r="M100" s="185"/>
      <c r="N100" s="139"/>
      <c r="O100" s="139"/>
      <c r="P100" s="139"/>
      <c r="Q100" s="139"/>
      <c r="R100" s="139"/>
      <c r="S100" s="139"/>
      <c r="T100" s="212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</row>
    <row r="101" spans="1:35" s="185" customFormat="1" ht="18" customHeight="1" x14ac:dyDescent="0.35">
      <c r="B101" s="199" t="s">
        <v>1392</v>
      </c>
      <c r="C101" s="200" t="s">
        <v>1390</v>
      </c>
      <c r="D101" s="200" t="s">
        <v>1393</v>
      </c>
      <c r="E101" s="200"/>
      <c r="F101" s="313">
        <v>21600</v>
      </c>
      <c r="G101" s="200"/>
      <c r="H101" s="200"/>
      <c r="I101" s="234" t="s">
        <v>269</v>
      </c>
      <c r="J101" s="238"/>
      <c r="K101" s="184"/>
      <c r="L101" s="16"/>
      <c r="N101" s="139"/>
      <c r="O101" s="139"/>
      <c r="P101" s="139"/>
      <c r="Q101" s="139"/>
      <c r="R101" s="139"/>
      <c r="S101" s="139"/>
      <c r="T101" s="212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</row>
    <row r="102" spans="1:35" s="185" customFormat="1" ht="18" customHeight="1" x14ac:dyDescent="0.35">
      <c r="B102" s="199" t="s">
        <v>1394</v>
      </c>
      <c r="C102" s="200" t="s">
        <v>790</v>
      </c>
      <c r="D102" s="200" t="s">
        <v>1395</v>
      </c>
      <c r="E102" s="200"/>
      <c r="F102" s="313">
        <v>29980</v>
      </c>
      <c r="G102" s="200"/>
      <c r="H102" s="200"/>
      <c r="I102" s="234" t="s">
        <v>269</v>
      </c>
      <c r="J102" s="238"/>
      <c r="K102" s="184"/>
      <c r="L102" s="16"/>
      <c r="N102" s="139"/>
      <c r="O102" s="139"/>
      <c r="P102" s="139"/>
      <c r="Q102" s="139"/>
      <c r="R102" s="139"/>
      <c r="S102" s="139"/>
      <c r="T102" s="212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</row>
    <row r="103" spans="1:35" s="185" customFormat="1" ht="18" customHeight="1" x14ac:dyDescent="0.35">
      <c r="B103" s="199" t="s">
        <v>1396</v>
      </c>
      <c r="C103" s="200" t="s">
        <v>790</v>
      </c>
      <c r="D103" s="200" t="s">
        <v>360</v>
      </c>
      <c r="E103" s="200"/>
      <c r="F103" s="313">
        <v>78121</v>
      </c>
      <c r="G103" s="200"/>
      <c r="H103" s="200"/>
      <c r="I103" s="234" t="s">
        <v>269</v>
      </c>
      <c r="J103" s="238"/>
      <c r="K103" s="184"/>
      <c r="L103" s="16"/>
      <c r="N103" s="139"/>
      <c r="O103" s="139"/>
      <c r="P103" s="139"/>
      <c r="Q103" s="139"/>
      <c r="R103" s="139"/>
      <c r="S103" s="139"/>
      <c r="T103" s="212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</row>
    <row r="104" spans="1:35" s="185" customFormat="1" ht="18" customHeight="1" x14ac:dyDescent="0.35">
      <c r="B104" s="199" t="s">
        <v>1397</v>
      </c>
      <c r="C104" s="200" t="s">
        <v>790</v>
      </c>
      <c r="D104" s="200" t="s">
        <v>360</v>
      </c>
      <c r="E104" s="200"/>
      <c r="F104" s="313">
        <v>113668</v>
      </c>
      <c r="G104" s="200"/>
      <c r="H104" s="200"/>
      <c r="I104" s="234" t="s">
        <v>269</v>
      </c>
      <c r="J104" s="238"/>
      <c r="K104" s="184"/>
      <c r="L104" s="16"/>
      <c r="N104" s="139"/>
      <c r="O104" s="139"/>
      <c r="P104" s="139"/>
      <c r="Q104" s="139"/>
      <c r="R104" s="139"/>
      <c r="S104" s="139"/>
      <c r="T104" s="212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</row>
    <row r="105" spans="1:35" s="185" customFormat="1" ht="18" customHeight="1" x14ac:dyDescent="0.35">
      <c r="B105" s="199" t="s">
        <v>1398</v>
      </c>
      <c r="C105" s="200" t="s">
        <v>1234</v>
      </c>
      <c r="D105" s="200" t="s">
        <v>360</v>
      </c>
      <c r="E105" s="200"/>
      <c r="F105" s="313">
        <v>52136</v>
      </c>
      <c r="G105" s="200"/>
      <c r="H105" s="200"/>
      <c r="I105" s="234" t="s">
        <v>269</v>
      </c>
      <c r="J105" s="238"/>
      <c r="K105" s="184"/>
      <c r="L105" s="16"/>
      <c r="N105" s="139"/>
      <c r="O105" s="139"/>
      <c r="P105" s="139"/>
      <c r="Q105" s="139"/>
      <c r="R105" s="139"/>
      <c r="S105" s="139"/>
      <c r="T105" s="212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</row>
    <row r="106" spans="1:35" s="185" customFormat="1" ht="18" customHeight="1" x14ac:dyDescent="0.35">
      <c r="B106" s="199" t="s">
        <v>1399</v>
      </c>
      <c r="C106" s="200" t="s">
        <v>1234</v>
      </c>
      <c r="D106" s="200" t="s">
        <v>360</v>
      </c>
      <c r="E106" s="200"/>
      <c r="F106" s="313">
        <v>53878</v>
      </c>
      <c r="G106" s="200"/>
      <c r="H106" s="200"/>
      <c r="I106" s="234" t="s">
        <v>269</v>
      </c>
      <c r="J106" s="238"/>
      <c r="K106" s="184"/>
      <c r="L106" s="16"/>
      <c r="N106" s="139"/>
      <c r="O106" s="139"/>
      <c r="P106" s="139"/>
      <c r="Q106" s="139"/>
      <c r="R106" s="139"/>
      <c r="S106" s="139"/>
      <c r="T106" s="212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</row>
    <row r="107" spans="1:35" s="185" customFormat="1" ht="18" customHeight="1" x14ac:dyDescent="0.35">
      <c r="B107" s="199" t="s">
        <v>1400</v>
      </c>
      <c r="C107" s="200" t="s">
        <v>774</v>
      </c>
      <c r="D107" s="200" t="s">
        <v>353</v>
      </c>
      <c r="E107" s="200"/>
      <c r="F107" s="313">
        <v>-1488</v>
      </c>
      <c r="G107" s="200"/>
      <c r="H107" s="200"/>
      <c r="I107" s="234" t="s">
        <v>266</v>
      </c>
      <c r="J107" s="238"/>
      <c r="K107" s="184"/>
      <c r="L107" s="16"/>
      <c r="N107" s="139"/>
      <c r="O107" s="139"/>
      <c r="P107" s="139"/>
      <c r="Q107" s="139"/>
      <c r="R107" s="139"/>
      <c r="S107" s="139"/>
      <c r="T107" s="212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</row>
    <row r="108" spans="1:35" s="185" customFormat="1" ht="18" customHeight="1" x14ac:dyDescent="0.35">
      <c r="B108" s="199" t="s">
        <v>1401</v>
      </c>
      <c r="C108" s="200" t="s">
        <v>778</v>
      </c>
      <c r="D108" s="200" t="s">
        <v>252</v>
      </c>
      <c r="E108" s="200"/>
      <c r="F108" s="313">
        <v>1821</v>
      </c>
      <c r="G108" s="200"/>
      <c r="H108" s="200"/>
      <c r="I108" s="234" t="s">
        <v>266</v>
      </c>
      <c r="J108" s="238"/>
      <c r="K108" s="184"/>
      <c r="L108" s="16"/>
      <c r="N108" s="139"/>
      <c r="O108" s="139"/>
      <c r="P108" s="139"/>
      <c r="Q108" s="139"/>
      <c r="R108" s="139"/>
      <c r="S108" s="139"/>
      <c r="T108" s="212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</row>
    <row r="109" spans="1:35" s="185" customFormat="1" ht="18" customHeight="1" x14ac:dyDescent="0.35">
      <c r="B109" s="199" t="s">
        <v>1402</v>
      </c>
      <c r="C109" s="200" t="s">
        <v>1403</v>
      </c>
      <c r="D109" s="200" t="s">
        <v>252</v>
      </c>
      <c r="E109" s="200"/>
      <c r="F109" s="313">
        <v>14734</v>
      </c>
      <c r="G109" s="200"/>
      <c r="H109" s="200"/>
      <c r="I109" s="234" t="s">
        <v>266</v>
      </c>
      <c r="J109" s="238"/>
      <c r="K109" s="184"/>
      <c r="L109" s="16"/>
      <c r="N109" s="139"/>
      <c r="O109" s="139"/>
      <c r="P109" s="139"/>
      <c r="Q109" s="139"/>
      <c r="R109" s="139"/>
      <c r="S109" s="139"/>
      <c r="T109" s="212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</row>
    <row r="110" spans="1:35" s="185" customFormat="1" ht="18" customHeight="1" x14ac:dyDescent="0.35">
      <c r="B110" s="199" t="s">
        <v>1404</v>
      </c>
      <c r="C110" s="200" t="s">
        <v>790</v>
      </c>
      <c r="D110" s="200" t="s">
        <v>1405</v>
      </c>
      <c r="E110" s="200"/>
      <c r="F110" s="313">
        <v>-820</v>
      </c>
      <c r="G110" s="200"/>
      <c r="H110" s="200"/>
      <c r="I110" s="234" t="s">
        <v>266</v>
      </c>
      <c r="J110" s="238"/>
      <c r="K110" s="184"/>
      <c r="L110" s="16"/>
      <c r="N110" s="139"/>
      <c r="O110" s="139"/>
      <c r="P110" s="139"/>
      <c r="Q110" s="139"/>
      <c r="R110" s="139"/>
      <c r="S110" s="139"/>
      <c r="T110" s="212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</row>
    <row r="111" spans="1:35" s="185" customFormat="1" ht="18" customHeight="1" x14ac:dyDescent="0.35">
      <c r="B111" s="199" t="s">
        <v>1406</v>
      </c>
      <c r="C111" s="200" t="s">
        <v>775</v>
      </c>
      <c r="D111" s="200" t="s">
        <v>252</v>
      </c>
      <c r="E111" s="200"/>
      <c r="F111" s="313">
        <v>1510</v>
      </c>
      <c r="G111" s="200"/>
      <c r="H111" s="200"/>
      <c r="I111" s="234" t="s">
        <v>266</v>
      </c>
      <c r="J111" s="238"/>
      <c r="K111" s="184"/>
      <c r="L111" s="16"/>
      <c r="N111" s="139"/>
      <c r="O111" s="139"/>
      <c r="P111" s="139"/>
      <c r="Q111" s="139"/>
      <c r="R111" s="139"/>
      <c r="S111" s="139"/>
      <c r="T111" s="212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</row>
    <row r="112" spans="1:35" s="185" customFormat="1" ht="18" customHeight="1" x14ac:dyDescent="0.35">
      <c r="B112" s="199" t="s">
        <v>1407</v>
      </c>
      <c r="C112" s="200" t="s">
        <v>776</v>
      </c>
      <c r="D112" s="200" t="s">
        <v>353</v>
      </c>
      <c r="E112" s="200"/>
      <c r="F112" s="313">
        <v>-1918</v>
      </c>
      <c r="G112" s="200"/>
      <c r="H112" s="200"/>
      <c r="I112" s="234" t="s">
        <v>266</v>
      </c>
      <c r="J112" s="238"/>
      <c r="K112" s="184"/>
      <c r="L112" s="16"/>
      <c r="N112" s="139"/>
      <c r="O112" s="139"/>
      <c r="P112" s="139"/>
      <c r="Q112" s="139"/>
      <c r="R112" s="139"/>
      <c r="S112" s="139"/>
      <c r="T112" s="212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</row>
    <row r="113" spans="2:35" s="185" customFormat="1" ht="18" customHeight="1" x14ac:dyDescent="0.35">
      <c r="B113" s="199" t="s">
        <v>1408</v>
      </c>
      <c r="C113" s="200" t="s">
        <v>1234</v>
      </c>
      <c r="D113" s="200" t="s">
        <v>252</v>
      </c>
      <c r="E113" s="200"/>
      <c r="F113" s="313">
        <v>763</v>
      </c>
      <c r="G113" s="200"/>
      <c r="H113" s="200"/>
      <c r="I113" s="234" t="s">
        <v>266</v>
      </c>
      <c r="J113" s="238"/>
      <c r="K113" s="184"/>
      <c r="L113" s="16"/>
      <c r="N113" s="139"/>
      <c r="O113" s="139"/>
      <c r="P113" s="139"/>
      <c r="Q113" s="139"/>
      <c r="R113" s="139"/>
      <c r="S113" s="139"/>
      <c r="T113" s="212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</row>
    <row r="114" spans="2:35" s="185" customFormat="1" ht="18" customHeight="1" x14ac:dyDescent="0.35">
      <c r="B114" s="199" t="s">
        <v>1409</v>
      </c>
      <c r="C114" s="200" t="s">
        <v>1235</v>
      </c>
      <c r="D114" s="200" t="s">
        <v>253</v>
      </c>
      <c r="E114" s="200"/>
      <c r="F114" s="313">
        <v>1589</v>
      </c>
      <c r="G114" s="200"/>
      <c r="H114" s="200"/>
      <c r="I114" s="234" t="s">
        <v>266</v>
      </c>
      <c r="J114" s="238"/>
      <c r="K114" s="184"/>
      <c r="L114" s="16"/>
      <c r="N114" s="139"/>
      <c r="O114" s="139"/>
      <c r="P114" s="139"/>
      <c r="Q114" s="139"/>
      <c r="R114" s="139"/>
      <c r="S114" s="139"/>
      <c r="T114" s="212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</row>
    <row r="115" spans="2:35" s="185" customFormat="1" ht="18" customHeight="1" x14ac:dyDescent="0.35">
      <c r="B115" s="199"/>
      <c r="C115" s="200"/>
      <c r="D115" s="200"/>
      <c r="E115" s="200"/>
      <c r="F115" s="200"/>
      <c r="G115" s="200"/>
      <c r="H115" s="200"/>
      <c r="I115" s="234"/>
      <c r="J115" s="238"/>
      <c r="K115" s="184"/>
      <c r="L115" s="16"/>
      <c r="N115" s="139"/>
      <c r="O115" s="139"/>
      <c r="P115" s="139"/>
      <c r="Q115" s="139"/>
      <c r="R115" s="139"/>
      <c r="S115" s="139"/>
      <c r="T115" s="212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</row>
    <row r="116" spans="2:35" s="185" customFormat="1" ht="18" customHeight="1" x14ac:dyDescent="0.35">
      <c r="B116" s="199"/>
      <c r="C116" s="200"/>
      <c r="D116" s="200"/>
      <c r="E116" s="200"/>
      <c r="F116" s="200"/>
      <c r="G116" s="200"/>
      <c r="H116" s="200"/>
      <c r="I116" s="234"/>
      <c r="J116" s="238"/>
      <c r="K116" s="184"/>
      <c r="L116" s="16"/>
      <c r="N116" s="139"/>
      <c r="O116" s="139"/>
      <c r="P116" s="139"/>
      <c r="Q116" s="139"/>
      <c r="R116" s="139"/>
      <c r="S116" s="139"/>
      <c r="T116" s="212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</row>
    <row r="117" spans="2:35" s="185" customFormat="1" ht="18" customHeight="1" x14ac:dyDescent="0.35">
      <c r="B117" s="199"/>
      <c r="C117" s="200"/>
      <c r="D117" s="200"/>
      <c r="E117" s="200"/>
      <c r="F117" s="200"/>
      <c r="G117" s="200"/>
      <c r="H117" s="200"/>
      <c r="I117" s="234"/>
      <c r="J117" s="238"/>
      <c r="K117" s="184"/>
      <c r="L117" s="16"/>
      <c r="N117" s="139"/>
      <c r="O117" s="139"/>
      <c r="P117" s="139"/>
      <c r="Q117" s="139"/>
      <c r="R117" s="139"/>
      <c r="S117" s="139"/>
      <c r="T117" s="212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</row>
    <row r="118" spans="2:35" s="185" customFormat="1" ht="18" customHeight="1" x14ac:dyDescent="0.35">
      <c r="B118" s="199"/>
      <c r="C118" s="200"/>
      <c r="D118" s="200"/>
      <c r="E118" s="200"/>
      <c r="F118" s="200"/>
      <c r="G118" s="200"/>
      <c r="H118" s="200"/>
      <c r="I118" s="234"/>
      <c r="J118" s="238"/>
      <c r="K118" s="184"/>
      <c r="L118" s="16"/>
      <c r="N118" s="139"/>
      <c r="O118" s="139"/>
      <c r="P118" s="139"/>
      <c r="Q118" s="139"/>
      <c r="R118" s="139"/>
      <c r="S118" s="139"/>
      <c r="T118" s="212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</row>
    <row r="119" spans="2:35" s="185" customFormat="1" ht="18" customHeight="1" x14ac:dyDescent="0.35">
      <c r="B119" s="199"/>
      <c r="C119" s="200"/>
      <c r="D119" s="200"/>
      <c r="E119" s="200"/>
      <c r="F119" s="200"/>
      <c r="G119" s="200"/>
      <c r="H119" s="200"/>
      <c r="I119" s="234"/>
      <c r="J119" s="238"/>
      <c r="K119" s="184"/>
      <c r="L119" s="16"/>
      <c r="N119" s="139"/>
      <c r="O119" s="139"/>
      <c r="P119" s="139"/>
      <c r="Q119" s="139"/>
      <c r="R119" s="139"/>
      <c r="S119" s="139"/>
      <c r="T119" s="212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</row>
    <row r="120" spans="2:35" s="185" customFormat="1" ht="18" customHeight="1" x14ac:dyDescent="0.35">
      <c r="B120" s="214"/>
      <c r="C120" s="250"/>
      <c r="D120" s="215"/>
      <c r="E120" s="215"/>
      <c r="F120" s="216"/>
      <c r="G120" s="216"/>
      <c r="H120" s="215"/>
      <c r="I120" s="234"/>
      <c r="J120" s="238"/>
      <c r="K120" s="184"/>
      <c r="L120" s="16"/>
      <c r="N120" s="139"/>
      <c r="O120" s="139"/>
      <c r="P120" s="139"/>
      <c r="Q120" s="139"/>
      <c r="R120" s="139"/>
      <c r="S120" s="139"/>
      <c r="T120" s="212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</row>
    <row r="121" spans="2:35" s="185" customFormat="1" ht="18" customHeight="1" x14ac:dyDescent="0.35">
      <c r="B121" s="214"/>
      <c r="C121" s="250"/>
      <c r="D121" s="215"/>
      <c r="E121" s="215"/>
      <c r="F121" s="216"/>
      <c r="G121" s="216"/>
      <c r="H121" s="215"/>
      <c r="I121" s="234"/>
      <c r="J121" s="238"/>
      <c r="K121" s="184"/>
      <c r="L121" s="16"/>
      <c r="N121" s="139"/>
      <c r="O121" s="139"/>
      <c r="P121" s="139"/>
      <c r="Q121" s="139"/>
      <c r="R121" s="139"/>
      <c r="S121" s="139"/>
      <c r="T121" s="212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</row>
    <row r="122" spans="2:35" s="185" customFormat="1" ht="18" customHeight="1" x14ac:dyDescent="0.35">
      <c r="B122" s="244"/>
      <c r="C122" s="249"/>
      <c r="D122" s="245"/>
      <c r="E122" s="245"/>
      <c r="F122" s="246"/>
      <c r="G122" s="246"/>
      <c r="H122" s="215"/>
      <c r="I122" s="234"/>
      <c r="J122" s="238"/>
      <c r="K122" s="184"/>
      <c r="L122" s="16"/>
      <c r="N122" s="139"/>
      <c r="O122" s="139"/>
      <c r="P122" s="139"/>
      <c r="Q122" s="139"/>
      <c r="R122" s="139"/>
      <c r="S122" s="139"/>
      <c r="T122" s="212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</row>
    <row r="123" spans="2:35" s="185" customFormat="1" ht="18" customHeight="1" x14ac:dyDescent="0.35">
      <c r="B123" s="214"/>
      <c r="C123" s="250"/>
      <c r="D123" s="215"/>
      <c r="E123" s="215"/>
      <c r="F123" s="216"/>
      <c r="G123" s="216"/>
      <c r="H123" s="215"/>
      <c r="I123" s="234"/>
      <c r="J123" s="238"/>
      <c r="K123" s="184"/>
      <c r="L123" s="16"/>
      <c r="N123" s="139"/>
      <c r="O123" s="139"/>
      <c r="P123" s="139"/>
      <c r="Q123" s="139"/>
      <c r="R123" s="139"/>
      <c r="S123" s="139"/>
      <c r="T123" s="212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</row>
    <row r="124" spans="2:35" s="185" customFormat="1" ht="18" customHeight="1" x14ac:dyDescent="0.35">
      <c r="B124" s="214"/>
      <c r="C124" s="214"/>
      <c r="D124" s="215"/>
      <c r="E124" s="215"/>
      <c r="F124" s="216"/>
      <c r="G124" s="216"/>
      <c r="H124" s="215"/>
      <c r="I124" s="234"/>
      <c r="J124" s="238"/>
      <c r="K124" s="184"/>
      <c r="L124" s="16"/>
      <c r="N124" s="139"/>
      <c r="O124" s="139"/>
      <c r="P124" s="139"/>
      <c r="Q124" s="139"/>
      <c r="R124" s="139"/>
      <c r="S124" s="139"/>
      <c r="T124" s="212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</row>
    <row r="125" spans="2:35" s="185" customFormat="1" ht="18" customHeight="1" x14ac:dyDescent="0.35">
      <c r="B125" s="214"/>
      <c r="C125" s="214"/>
      <c r="D125" s="215"/>
      <c r="E125" s="215"/>
      <c r="F125" s="215"/>
      <c r="G125" s="215"/>
      <c r="H125" s="215"/>
      <c r="I125" s="234"/>
      <c r="J125" s="238"/>
      <c r="K125" s="184"/>
      <c r="L125" s="16"/>
      <c r="N125" s="139"/>
      <c r="O125" s="139"/>
      <c r="P125" s="139"/>
      <c r="Q125" s="139"/>
      <c r="R125" s="139"/>
      <c r="S125" s="139"/>
      <c r="T125" s="212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</row>
    <row r="126" spans="2:35" ht="18" x14ac:dyDescent="0.35">
      <c r="B126" s="199"/>
      <c r="C126" s="200"/>
      <c r="D126" s="200"/>
      <c r="E126" s="200"/>
      <c r="F126" s="200"/>
      <c r="G126" s="200"/>
      <c r="H126" s="200"/>
      <c r="I126" s="234"/>
      <c r="J126" s="240"/>
      <c r="K126" s="184"/>
      <c r="L126" s="53"/>
      <c r="N126" s="148"/>
      <c r="O126" s="148"/>
      <c r="P126" s="20"/>
      <c r="Q126" s="20"/>
      <c r="R126" s="20"/>
      <c r="S126" s="20"/>
      <c r="T126" s="212"/>
      <c r="U126" s="20"/>
    </row>
    <row r="127" spans="2:35" s="162" customFormat="1" x14ac:dyDescent="0.25">
      <c r="B127" s="181" t="s">
        <v>181</v>
      </c>
      <c r="C127" s="181" t="s">
        <v>5</v>
      </c>
      <c r="D127" s="181" t="s">
        <v>205</v>
      </c>
      <c r="E127" s="181" t="s">
        <v>204</v>
      </c>
      <c r="F127" s="181" t="s">
        <v>156</v>
      </c>
      <c r="G127" s="181" t="s">
        <v>206</v>
      </c>
      <c r="H127" s="181"/>
      <c r="I127" s="180"/>
      <c r="J127" s="241"/>
      <c r="K127" s="180"/>
      <c r="L127" s="148"/>
      <c r="M127" s="148"/>
      <c r="N127" s="148"/>
      <c r="O127" s="148"/>
      <c r="T127" s="212"/>
      <c r="V127" s="54"/>
      <c r="W127" s="54"/>
    </row>
    <row r="128" spans="2:35" s="185" customFormat="1" ht="18" x14ac:dyDescent="0.35">
      <c r="B128" s="200" t="s">
        <v>1410</v>
      </c>
      <c r="C128" s="250" t="s">
        <v>1411</v>
      </c>
      <c r="D128" s="200" t="s">
        <v>784</v>
      </c>
      <c r="E128" s="200">
        <v>109</v>
      </c>
      <c r="F128" s="204">
        <f>E128*EERR!$D$2</f>
        <v>71475.66</v>
      </c>
      <c r="G128" s="204"/>
      <c r="H128" s="204"/>
      <c r="I128" s="234"/>
      <c r="J128" s="237"/>
      <c r="K128" s="184"/>
      <c r="L128" s="16"/>
      <c r="M128" s="251"/>
      <c r="N128" s="148"/>
      <c r="O128" s="148"/>
      <c r="P128" s="139"/>
      <c r="Q128" s="139"/>
      <c r="R128" s="198"/>
      <c r="S128" s="198"/>
      <c r="T128" s="212"/>
      <c r="U128" s="54"/>
      <c r="V128" s="54"/>
      <c r="W128" s="54"/>
    </row>
    <row r="129" spans="2:23" s="251" customFormat="1" ht="18" x14ac:dyDescent="0.35">
      <c r="B129" s="200" t="s">
        <v>1412</v>
      </c>
      <c r="C129" s="250" t="s">
        <v>1413</v>
      </c>
      <c r="D129" s="200" t="s">
        <v>786</v>
      </c>
      <c r="E129" s="200">
        <v>937.26</v>
      </c>
      <c r="F129" s="204">
        <f>E129*EERR!$D$2</f>
        <v>614598.87239999999</v>
      </c>
      <c r="G129" s="204"/>
      <c r="H129" s="204"/>
      <c r="I129" s="234"/>
      <c r="J129" s="237"/>
      <c r="K129" s="184"/>
      <c r="L129" s="16"/>
      <c r="N129" s="148"/>
      <c r="O129" s="148"/>
      <c r="P129" s="139"/>
      <c r="Q129" s="139"/>
      <c r="R129" s="198"/>
      <c r="S129" s="198"/>
      <c r="T129" s="212"/>
      <c r="U129" s="54"/>
      <c r="V129" s="54"/>
      <c r="W129" s="54"/>
    </row>
    <row r="130" spans="2:23" s="251" customFormat="1" ht="18" x14ac:dyDescent="0.35">
      <c r="B130" s="200" t="s">
        <v>1414</v>
      </c>
      <c r="C130" s="250" t="s">
        <v>1257</v>
      </c>
      <c r="D130" s="200" t="s">
        <v>787</v>
      </c>
      <c r="E130" s="200">
        <v>90</v>
      </c>
      <c r="F130" s="204">
        <f>E130*EERR!$D$2</f>
        <v>59016.6</v>
      </c>
      <c r="G130" s="204"/>
      <c r="H130" s="204"/>
      <c r="I130" s="234"/>
      <c r="J130" s="237"/>
      <c r="K130" s="184"/>
      <c r="L130" s="16"/>
      <c r="N130" s="148"/>
      <c r="O130" s="148"/>
      <c r="P130" s="139"/>
      <c r="Q130" s="139"/>
      <c r="R130" s="198"/>
      <c r="S130" s="198"/>
      <c r="T130" s="212"/>
      <c r="U130" s="54"/>
      <c r="V130" s="54"/>
      <c r="W130" s="54"/>
    </row>
    <row r="131" spans="2:23" s="251" customFormat="1" ht="18" x14ac:dyDescent="0.35">
      <c r="B131" s="200" t="s">
        <v>1415</v>
      </c>
      <c r="C131" s="250" t="s">
        <v>1264</v>
      </c>
      <c r="D131" s="200" t="s">
        <v>788</v>
      </c>
      <c r="E131" s="200">
        <v>45</v>
      </c>
      <c r="F131" s="204">
        <f>E131*EERR!$D$2</f>
        <v>29508.3</v>
      </c>
      <c r="G131" s="204"/>
      <c r="H131" s="204"/>
      <c r="I131" s="234"/>
      <c r="J131" s="237"/>
      <c r="K131" s="184"/>
      <c r="L131" s="16"/>
      <c r="N131" s="148"/>
      <c r="O131" s="148"/>
      <c r="P131" s="139"/>
      <c r="Q131" s="139"/>
      <c r="R131" s="198"/>
      <c r="S131" s="198"/>
      <c r="T131" s="212"/>
      <c r="U131" s="54"/>
      <c r="V131" s="54"/>
      <c r="W131" s="54"/>
    </row>
    <row r="132" spans="2:23" s="185" customFormat="1" ht="18" x14ac:dyDescent="0.35">
      <c r="B132" s="200"/>
      <c r="C132" s="250"/>
      <c r="D132" s="200"/>
      <c r="E132" s="200"/>
      <c r="F132" s="200"/>
      <c r="G132" s="204"/>
      <c r="H132" s="204"/>
      <c r="I132" s="234"/>
      <c r="J132" s="237"/>
      <c r="K132" s="184"/>
      <c r="L132" s="16"/>
      <c r="M132" s="251">
        <v>883.71</v>
      </c>
      <c r="N132" s="148"/>
      <c r="O132" s="148"/>
      <c r="P132" s="139"/>
      <c r="Q132" s="139"/>
      <c r="R132" s="198"/>
      <c r="S132" s="198"/>
      <c r="T132" s="212"/>
      <c r="U132" s="54"/>
      <c r="V132" s="54"/>
      <c r="W132" s="54"/>
    </row>
    <row r="133" spans="2:23" s="185" customFormat="1" ht="18" x14ac:dyDescent="0.35">
      <c r="B133" s="200"/>
      <c r="C133" s="250"/>
      <c r="D133" s="200"/>
      <c r="E133" s="200"/>
      <c r="F133" s="200"/>
      <c r="G133" s="204"/>
      <c r="H133" s="204"/>
      <c r="I133" s="234"/>
      <c r="J133" s="237"/>
      <c r="K133" s="184"/>
      <c r="L133" s="16"/>
      <c r="M133" s="251">
        <v>90</v>
      </c>
      <c r="N133" s="148"/>
      <c r="O133" s="148"/>
      <c r="P133" s="139"/>
      <c r="Q133" s="139"/>
      <c r="R133" s="198"/>
      <c r="S133" s="198"/>
      <c r="T133" s="212"/>
      <c r="U133" s="54"/>
      <c r="V133" s="54"/>
      <c r="W133" s="54"/>
    </row>
    <row r="134" spans="2:23" s="185" customFormat="1" ht="18" x14ac:dyDescent="0.35">
      <c r="B134" s="200"/>
      <c r="C134" s="250"/>
      <c r="D134" s="200"/>
      <c r="E134" s="200"/>
      <c r="F134" s="200"/>
      <c r="G134" s="204"/>
      <c r="H134" s="204"/>
      <c r="I134" s="234"/>
      <c r="J134" s="242"/>
      <c r="K134" s="184"/>
      <c r="L134" s="148"/>
      <c r="M134" s="148">
        <v>45</v>
      </c>
      <c r="N134" s="148"/>
      <c r="O134" s="148"/>
      <c r="P134" s="139"/>
      <c r="Q134" s="139"/>
      <c r="R134" s="198"/>
      <c r="S134" s="198"/>
      <c r="T134" s="212"/>
      <c r="U134" s="54"/>
      <c r="V134" s="54"/>
      <c r="W134" s="54"/>
    </row>
    <row r="135" spans="2:23" s="162" customFormat="1" ht="18" x14ac:dyDescent="0.35">
      <c r="B135" s="200"/>
      <c r="C135" s="200"/>
      <c r="D135" s="200"/>
      <c r="E135" s="200"/>
      <c r="F135" s="200"/>
      <c r="G135" s="204"/>
      <c r="H135" s="204"/>
      <c r="I135" s="234"/>
      <c r="J135" s="242"/>
      <c r="K135" s="143"/>
      <c r="L135" s="148"/>
      <c r="M135" s="148"/>
      <c r="N135" s="139"/>
      <c r="O135" s="148"/>
      <c r="P135" s="139"/>
      <c r="Q135" s="139"/>
      <c r="R135" s="140"/>
      <c r="S135" s="140"/>
      <c r="T135" s="212"/>
      <c r="U135" s="54"/>
      <c r="V135" s="54"/>
      <c r="W135" s="54"/>
    </row>
    <row r="136" spans="2:23" s="162" customFormat="1" ht="18" x14ac:dyDescent="0.35">
      <c r="B136" s="200"/>
      <c r="C136" s="200"/>
      <c r="D136" s="200"/>
      <c r="E136" s="200"/>
      <c r="F136" s="200"/>
      <c r="G136" s="204"/>
      <c r="H136" s="203"/>
      <c r="I136" s="234"/>
      <c r="J136" s="243"/>
      <c r="K136" s="143"/>
      <c r="L136" s="148"/>
      <c r="M136" s="148"/>
      <c r="N136" s="139"/>
      <c r="O136" s="148"/>
      <c r="P136" s="139"/>
      <c r="Q136" s="139"/>
      <c r="R136" s="140"/>
      <c r="S136" s="140"/>
      <c r="T136" s="212"/>
      <c r="U136" s="54"/>
      <c r="V136" s="54"/>
      <c r="W136" s="54"/>
    </row>
    <row r="137" spans="2:23" s="162" customFormat="1" ht="18" x14ac:dyDescent="0.35">
      <c r="B137" s="141"/>
      <c r="C137" s="199"/>
      <c r="D137" s="142"/>
      <c r="E137" s="186"/>
      <c r="F137" s="203"/>
      <c r="G137" s="204"/>
      <c r="H137" s="203"/>
      <c r="I137" s="234"/>
      <c r="J137" s="243"/>
      <c r="K137" s="143"/>
      <c r="L137" s="148"/>
      <c r="M137" s="148"/>
      <c r="N137" s="139"/>
      <c r="O137" s="148"/>
      <c r="P137" s="139"/>
      <c r="Q137" s="139"/>
      <c r="R137" s="140"/>
      <c r="S137" s="140"/>
      <c r="T137" s="212"/>
      <c r="U137" s="54"/>
      <c r="V137" s="54"/>
      <c r="W137" s="54"/>
    </row>
    <row r="138" spans="2:23" s="162" customFormat="1" ht="18" x14ac:dyDescent="0.35">
      <c r="B138" s="199"/>
      <c r="C138" s="199"/>
      <c r="D138" s="200"/>
      <c r="E138" s="186"/>
      <c r="F138" s="203"/>
      <c r="G138" s="200"/>
      <c r="H138" s="203"/>
      <c r="I138" s="234"/>
      <c r="J138" s="238"/>
      <c r="K138" s="143"/>
      <c r="N138" s="139"/>
      <c r="O138" s="148"/>
      <c r="P138" s="139"/>
      <c r="Q138" s="139"/>
      <c r="R138" s="140"/>
      <c r="S138" s="140"/>
      <c r="T138" s="212"/>
      <c r="U138" s="54"/>
      <c r="V138" s="54"/>
      <c r="W138" s="54"/>
    </row>
    <row r="139" spans="2:23" s="162" customFormat="1" x14ac:dyDescent="0.25">
      <c r="B139" s="163"/>
      <c r="C139" s="164"/>
      <c r="D139" s="164"/>
      <c r="E139" s="164"/>
      <c r="F139" s="28"/>
      <c r="G139" s="148"/>
      <c r="H139" s="148"/>
      <c r="I139" s="148"/>
      <c r="J139" s="148"/>
      <c r="K139" s="148"/>
      <c r="N139" s="139"/>
      <c r="O139" s="148"/>
      <c r="P139" s="139"/>
      <c r="Q139" s="139"/>
      <c r="R139" s="140"/>
      <c r="S139" s="140"/>
      <c r="T139" s="212"/>
      <c r="U139" s="54"/>
      <c r="V139" s="54"/>
      <c r="W139" s="54"/>
    </row>
    <row r="140" spans="2:23" s="162" customFormat="1" x14ac:dyDescent="0.25">
      <c r="B140" s="163"/>
      <c r="C140" s="164"/>
      <c r="D140" s="164"/>
      <c r="E140" s="164"/>
      <c r="F140" s="28"/>
      <c r="G140" s="148"/>
      <c r="H140" s="148"/>
      <c r="I140" s="148"/>
      <c r="J140" s="148"/>
      <c r="K140" s="148"/>
      <c r="N140" s="139"/>
      <c r="O140" s="148"/>
      <c r="P140" s="139"/>
      <c r="Q140" s="139"/>
      <c r="R140" s="140"/>
      <c r="S140" s="140"/>
      <c r="T140" s="212"/>
      <c r="U140" s="54"/>
      <c r="V140" s="54"/>
      <c r="W140" s="54"/>
    </row>
    <row r="141" spans="2:23" s="162" customFormat="1" x14ac:dyDescent="0.25">
      <c r="B141" s="163"/>
      <c r="C141" s="164"/>
      <c r="D141" s="164"/>
      <c r="E141" s="164"/>
      <c r="F141" s="212">
        <f>SUBTOTAL(9,F3:F138)</f>
        <v>28947395.432400003</v>
      </c>
      <c r="G141" s="212">
        <f>SUBTOTAL(9,G3:G138)</f>
        <v>10054</v>
      </c>
      <c r="H141" s="212"/>
      <c r="I141" s="148"/>
      <c r="J141" s="185"/>
      <c r="K141" s="148"/>
      <c r="L141" s="54"/>
      <c r="M141" s="54"/>
      <c r="N141" s="54"/>
      <c r="O141" s="54"/>
      <c r="P141" s="139"/>
      <c r="Q141" s="139"/>
      <c r="R141" s="140"/>
      <c r="S141" s="140"/>
      <c r="T141" s="212"/>
      <c r="U141" s="54"/>
      <c r="V141" s="54"/>
      <c r="W141" s="54"/>
    </row>
    <row r="142" spans="2:23" ht="14.4" x14ac:dyDescent="0.3">
      <c r="B142" s="30"/>
      <c r="E142" s="29"/>
      <c r="F142" s="30"/>
      <c r="G142" s="55"/>
      <c r="H142" s="73"/>
      <c r="I142" s="73" t="s">
        <v>4</v>
      </c>
      <c r="J142" s="185"/>
      <c r="L142" s="54"/>
      <c r="M142" s="54"/>
      <c r="N142" s="54"/>
      <c r="O142" s="54"/>
      <c r="P142" s="139"/>
      <c r="Q142" s="139"/>
      <c r="R142" s="140"/>
      <c r="S142" s="140"/>
      <c r="T142" s="212"/>
    </row>
    <row r="143" spans="2:23" ht="18" x14ac:dyDescent="0.35">
      <c r="B143" s="30"/>
      <c r="E143" s="29"/>
      <c r="F143" s="30"/>
      <c r="G143" s="55"/>
      <c r="H143" s="74">
        <f t="shared" ref="H143:H159" si="3">SUMIF($I$3:$I$138,I143,$F$3:$F$138)-SUMIF($I$3:$I$138,I143,$G$3:$G$138)</f>
        <v>27325</v>
      </c>
      <c r="I143" s="234" t="s">
        <v>266</v>
      </c>
      <c r="J143" s="185"/>
      <c r="L143" s="54"/>
      <c r="M143" s="54"/>
      <c r="N143" s="54"/>
      <c r="O143" s="54"/>
      <c r="T143" s="212"/>
    </row>
    <row r="144" spans="2:23" ht="18" x14ac:dyDescent="0.35">
      <c r="B144" s="30"/>
      <c r="E144" s="29"/>
      <c r="F144" s="30"/>
      <c r="G144" s="55"/>
      <c r="H144" s="74">
        <f t="shared" si="3"/>
        <v>3226086</v>
      </c>
      <c r="I144" s="234" t="s">
        <v>51</v>
      </c>
      <c r="J144" s="185"/>
      <c r="L144" s="54"/>
      <c r="M144" s="54"/>
      <c r="N144" s="54"/>
      <c r="O144" s="54"/>
      <c r="P144" s="149"/>
      <c r="Q144" s="139"/>
      <c r="R144" s="140"/>
      <c r="S144" s="140"/>
      <c r="T144" s="212"/>
    </row>
    <row r="145" spans="2:23" ht="18" x14ac:dyDescent="0.35">
      <c r="B145" s="30"/>
      <c r="E145" s="29"/>
      <c r="F145" s="30"/>
      <c r="G145" s="55"/>
      <c r="H145" s="74">
        <f t="shared" si="3"/>
        <v>0</v>
      </c>
      <c r="I145" s="234" t="s">
        <v>157</v>
      </c>
      <c r="J145" s="185"/>
      <c r="L145" s="54"/>
      <c r="M145" s="54"/>
      <c r="N145" s="54"/>
      <c r="O145" s="54"/>
      <c r="P145" s="139"/>
      <c r="Q145" s="139"/>
      <c r="R145" s="140"/>
      <c r="S145" s="140"/>
      <c r="T145" s="212"/>
    </row>
    <row r="146" spans="2:23" ht="18" x14ac:dyDescent="0.35">
      <c r="B146" s="30"/>
      <c r="E146" s="29"/>
      <c r="F146" s="30"/>
      <c r="G146" s="55"/>
      <c r="H146" s="74">
        <f t="shared" si="3"/>
        <v>198864</v>
      </c>
      <c r="I146" s="235" t="s">
        <v>265</v>
      </c>
      <c r="J146" s="185"/>
      <c r="L146" s="54"/>
      <c r="M146" s="54"/>
      <c r="N146" s="54"/>
      <c r="O146" s="54"/>
      <c r="P146" s="139"/>
      <c r="Q146" s="139"/>
      <c r="R146" s="140"/>
      <c r="S146" s="140"/>
      <c r="T146" s="212"/>
    </row>
    <row r="147" spans="2:23" ht="18" x14ac:dyDescent="0.35">
      <c r="F147" s="30"/>
      <c r="G147" s="55"/>
      <c r="H147" s="74">
        <f t="shared" si="3"/>
        <v>54264</v>
      </c>
      <c r="I147" s="235" t="s">
        <v>9</v>
      </c>
      <c r="J147" s="185"/>
      <c r="L147" s="54"/>
      <c r="M147" s="54"/>
      <c r="N147" s="54"/>
      <c r="O147" s="54"/>
      <c r="P147" s="139"/>
      <c r="Q147" s="139"/>
      <c r="R147" s="140"/>
      <c r="S147" s="140"/>
      <c r="T147" s="212"/>
    </row>
    <row r="148" spans="2:23" ht="18" x14ac:dyDescent="0.35">
      <c r="F148" s="30"/>
      <c r="G148" s="55"/>
      <c r="H148" s="74">
        <f t="shared" si="3"/>
        <v>3500000</v>
      </c>
      <c r="I148" s="236" t="s">
        <v>267</v>
      </c>
      <c r="J148" s="185"/>
      <c r="L148" s="54"/>
      <c r="M148" s="54"/>
      <c r="N148" s="54"/>
      <c r="O148" s="54"/>
      <c r="P148" s="149"/>
      <c r="Q148" s="139"/>
      <c r="R148" s="140"/>
      <c r="S148" s="140"/>
      <c r="T148" s="212"/>
    </row>
    <row r="149" spans="2:23" ht="18" x14ac:dyDescent="0.35">
      <c r="F149" s="30"/>
      <c r="G149" s="55"/>
      <c r="H149" s="74">
        <f t="shared" si="3"/>
        <v>392153</v>
      </c>
      <c r="I149" s="234" t="s">
        <v>269</v>
      </c>
      <c r="J149" s="185"/>
      <c r="L149" s="54"/>
      <c r="M149" s="54"/>
      <c r="N149" s="54"/>
      <c r="O149" s="54"/>
      <c r="P149" s="20"/>
      <c r="Q149" s="20"/>
      <c r="R149" s="20"/>
      <c r="S149" s="20"/>
      <c r="T149" s="212"/>
    </row>
    <row r="150" spans="2:23" ht="18" x14ac:dyDescent="0.35">
      <c r="F150" s="30"/>
      <c r="G150" s="55"/>
      <c r="H150" s="74">
        <f t="shared" si="3"/>
        <v>896831</v>
      </c>
      <c r="I150" s="234" t="s">
        <v>268</v>
      </c>
      <c r="J150" s="185"/>
      <c r="L150" s="54"/>
      <c r="M150" s="54"/>
      <c r="N150" s="54"/>
      <c r="O150" s="54"/>
      <c r="P150" s="20"/>
      <c r="Q150" s="20"/>
      <c r="R150" s="20"/>
      <c r="S150" s="20"/>
      <c r="T150" s="212"/>
    </row>
    <row r="151" spans="2:23" ht="18" x14ac:dyDescent="0.35">
      <c r="F151" s="30"/>
      <c r="G151" s="55"/>
      <c r="H151" s="74">
        <f t="shared" si="3"/>
        <v>0</v>
      </c>
      <c r="I151" s="236" t="s">
        <v>43</v>
      </c>
      <c r="J151" s="185"/>
      <c r="L151" s="54"/>
      <c r="M151" s="54"/>
      <c r="N151" s="54"/>
      <c r="O151" s="54"/>
      <c r="P151" s="20"/>
      <c r="Q151" s="20"/>
      <c r="R151" s="20"/>
      <c r="S151" s="20"/>
      <c r="T151" s="212"/>
    </row>
    <row r="152" spans="2:23" ht="18" x14ac:dyDescent="0.35">
      <c r="F152" s="30"/>
      <c r="G152" s="55"/>
      <c r="H152" s="74">
        <f t="shared" si="3"/>
        <v>100000</v>
      </c>
      <c r="I152" s="234" t="s">
        <v>12</v>
      </c>
      <c r="J152" s="185"/>
      <c r="L152" s="54"/>
      <c r="M152" s="54"/>
      <c r="N152" s="54"/>
      <c r="O152" s="54"/>
      <c r="P152" s="63"/>
      <c r="Q152" s="20"/>
      <c r="R152" s="20"/>
      <c r="S152" s="20"/>
      <c r="T152" s="212"/>
    </row>
    <row r="153" spans="2:23" ht="18" x14ac:dyDescent="0.35">
      <c r="F153" s="30"/>
      <c r="G153" s="55"/>
      <c r="H153" s="74">
        <f t="shared" si="3"/>
        <v>4120242</v>
      </c>
      <c r="I153" s="234" t="s">
        <v>22</v>
      </c>
      <c r="J153" s="185"/>
      <c r="L153" s="54"/>
      <c r="M153" s="54"/>
      <c r="N153" s="54"/>
      <c r="O153" s="54"/>
      <c r="P153" s="20"/>
      <c r="Q153" s="20"/>
      <c r="R153" s="20"/>
      <c r="S153" s="20"/>
      <c r="T153" s="212"/>
    </row>
    <row r="154" spans="2:23" ht="18" x14ac:dyDescent="0.35">
      <c r="F154" s="30"/>
      <c r="G154" s="55"/>
      <c r="H154" s="74">
        <f t="shared" si="3"/>
        <v>2411000</v>
      </c>
      <c r="I154" s="235" t="s">
        <v>270</v>
      </c>
      <c r="J154" s="185"/>
      <c r="L154" s="54"/>
      <c r="M154" s="54"/>
      <c r="N154" s="54"/>
      <c r="O154" s="54"/>
      <c r="P154" s="20"/>
      <c r="Q154" s="20"/>
      <c r="R154" s="20"/>
      <c r="S154" s="20"/>
      <c r="T154" s="212"/>
    </row>
    <row r="155" spans="2:23" ht="18" x14ac:dyDescent="0.35">
      <c r="F155" s="30"/>
      <c r="G155" s="55"/>
      <c r="H155" s="74">
        <f t="shared" si="3"/>
        <v>9250267</v>
      </c>
      <c r="I155" s="234" t="s">
        <v>50</v>
      </c>
      <c r="J155" s="185"/>
      <c r="L155" s="54"/>
      <c r="M155" s="54"/>
      <c r="N155" s="54"/>
      <c r="O155" s="54"/>
      <c r="P155" s="20"/>
      <c r="Q155" s="20"/>
      <c r="R155" s="20"/>
      <c r="S155" s="20"/>
      <c r="T155" s="212"/>
    </row>
    <row r="156" spans="2:23" ht="18" x14ac:dyDescent="0.35">
      <c r="F156" s="30"/>
      <c r="G156" s="55"/>
      <c r="H156" s="74">
        <f>SUMIF($I$3:$I$138,I156,$F$3:$F$138)-SUMIF($I$3:$I$138,I156,$G$3:$G$138)</f>
        <v>2017900</v>
      </c>
      <c r="I156" s="235" t="s">
        <v>200</v>
      </c>
      <c r="J156" s="185"/>
      <c r="L156" s="54"/>
      <c r="M156" s="54"/>
      <c r="N156" s="54"/>
      <c r="O156" s="54"/>
      <c r="P156" s="63"/>
      <c r="Q156" s="20"/>
      <c r="R156" s="20"/>
      <c r="S156" s="20"/>
      <c r="T156" s="212"/>
    </row>
    <row r="157" spans="2:23" ht="18" x14ac:dyDescent="0.35">
      <c r="F157" s="30"/>
      <c r="G157" s="55"/>
      <c r="H157" s="74">
        <f t="shared" si="3"/>
        <v>0</v>
      </c>
      <c r="I157" s="234" t="s">
        <v>201</v>
      </c>
      <c r="J157" s="251"/>
      <c r="L157" s="54"/>
      <c r="M157" s="54"/>
      <c r="N157" s="54"/>
      <c r="O157" s="54"/>
    </row>
    <row r="158" spans="2:23" ht="18" x14ac:dyDescent="0.35">
      <c r="F158" s="30"/>
      <c r="G158" s="55"/>
      <c r="H158" s="74">
        <f t="shared" si="3"/>
        <v>0</v>
      </c>
      <c r="I158" s="234" t="s">
        <v>271</v>
      </c>
      <c r="J158" s="185"/>
      <c r="L158" s="54"/>
      <c r="M158" s="54"/>
      <c r="N158" s="54"/>
      <c r="O158" s="54"/>
    </row>
    <row r="159" spans="2:23" ht="18" x14ac:dyDescent="0.35">
      <c r="F159" s="30"/>
      <c r="G159" s="55"/>
      <c r="H159" s="74">
        <f t="shared" si="3"/>
        <v>-10054</v>
      </c>
      <c r="I159" s="234" t="s">
        <v>272</v>
      </c>
      <c r="J159" s="185"/>
      <c r="L159" s="54"/>
      <c r="M159" s="54"/>
      <c r="N159" s="54"/>
      <c r="O159" s="54"/>
      <c r="P159" s="131"/>
    </row>
    <row r="160" spans="2:23" s="69" customFormat="1" ht="14.4" x14ac:dyDescent="0.3">
      <c r="G160" s="56"/>
      <c r="H160" s="75">
        <f>SUM(H143:H158)</f>
        <v>26194932</v>
      </c>
      <c r="I160" s="73" t="s">
        <v>26</v>
      </c>
      <c r="J160" s="185"/>
      <c r="L160" s="54"/>
      <c r="M160" s="54"/>
      <c r="N160" s="54"/>
      <c r="O160" s="54"/>
      <c r="P160" s="54"/>
      <c r="Q160" s="54"/>
      <c r="R160" s="54"/>
      <c r="S160" s="132"/>
      <c r="T160" s="132"/>
      <c r="U160" s="54"/>
      <c r="V160" s="54"/>
      <c r="W160" s="54"/>
    </row>
    <row r="161" spans="1:16" x14ac:dyDescent="0.25">
      <c r="B161" s="63"/>
      <c r="F161" s="96"/>
      <c r="G161" s="96"/>
      <c r="H161" s="96"/>
      <c r="J161" s="185"/>
      <c r="L161" s="54"/>
      <c r="M161" s="54"/>
      <c r="N161" s="54"/>
      <c r="O161" s="54"/>
    </row>
    <row r="162" spans="1:16" x14ac:dyDescent="0.25">
      <c r="B162" s="63"/>
      <c r="F162" s="96"/>
      <c r="G162" s="96"/>
      <c r="H162" s="96"/>
    </row>
    <row r="163" spans="1:16" x14ac:dyDescent="0.25">
      <c r="B163" s="63"/>
      <c r="F163" s="96"/>
      <c r="G163" s="96"/>
      <c r="H163" s="96"/>
      <c r="P163" s="131"/>
    </row>
    <row r="164" spans="1:16" x14ac:dyDescent="0.25">
      <c r="B164" s="63"/>
      <c r="F164" s="96"/>
      <c r="G164" s="96"/>
      <c r="H164" s="96"/>
    </row>
    <row r="165" spans="1:16" x14ac:dyDescent="0.25">
      <c r="B165" s="63"/>
      <c r="F165" s="96"/>
      <c r="G165" s="96"/>
      <c r="H165" s="96"/>
      <c r="O165" s="150"/>
    </row>
    <row r="166" spans="1:16" x14ac:dyDescent="0.25">
      <c r="B166" s="185"/>
      <c r="C166" s="185"/>
      <c r="D166" s="185"/>
      <c r="E166" s="185"/>
      <c r="F166" s="185"/>
      <c r="G166" s="185"/>
      <c r="H166" s="185"/>
    </row>
    <row r="167" spans="1:16" x14ac:dyDescent="0.25">
      <c r="B167" s="185"/>
      <c r="C167" s="185"/>
      <c r="D167" s="185"/>
      <c r="E167" s="185"/>
      <c r="F167" s="185"/>
      <c r="G167" s="185"/>
      <c r="H167" s="185"/>
      <c r="I167" s="131"/>
      <c r="J167" s="131"/>
      <c r="K167" s="131"/>
      <c r="L167" s="131"/>
      <c r="M167" s="131"/>
      <c r="P167" s="131"/>
    </row>
    <row r="168" spans="1:16" x14ac:dyDescent="0.25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</row>
    <row r="169" spans="1:16" x14ac:dyDescent="0.25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O169" s="150"/>
    </row>
    <row r="170" spans="1:16" x14ac:dyDescent="0.25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</row>
    <row r="171" spans="1:16" x14ac:dyDescent="0.25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P171" s="131"/>
    </row>
    <row r="172" spans="1:16" x14ac:dyDescent="0.25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</row>
    <row r="173" spans="1:16" x14ac:dyDescent="0.25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O173" s="150"/>
    </row>
    <row r="174" spans="1:16" x14ac:dyDescent="0.25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</row>
    <row r="175" spans="1:16" x14ac:dyDescent="0.2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P175" s="131"/>
    </row>
    <row r="176" spans="1:16" x14ac:dyDescent="0.25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</row>
    <row r="177" spans="1:16" x14ac:dyDescent="0.25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O177" s="150"/>
    </row>
    <row r="178" spans="1:16" x14ac:dyDescent="0.25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</row>
    <row r="179" spans="1:16" x14ac:dyDescent="0.25">
      <c r="I179" s="131"/>
      <c r="J179" s="131"/>
      <c r="K179" s="131"/>
      <c r="L179" s="131"/>
      <c r="M179" s="131"/>
      <c r="P179" s="131"/>
    </row>
    <row r="181" spans="1:16" x14ac:dyDescent="0.25">
      <c r="O181" s="150"/>
    </row>
    <row r="183" spans="1:16" x14ac:dyDescent="0.25">
      <c r="P183" s="131"/>
    </row>
    <row r="185" spans="1:16" x14ac:dyDescent="0.25">
      <c r="O185" s="150"/>
    </row>
    <row r="187" spans="1:16" x14ac:dyDescent="0.25">
      <c r="P187" s="131"/>
    </row>
    <row r="189" spans="1:16" x14ac:dyDescent="0.25">
      <c r="O189" s="150"/>
    </row>
    <row r="192" spans="1:16" x14ac:dyDescent="0.25">
      <c r="O192" s="150"/>
    </row>
  </sheetData>
  <autoFilter ref="B2:K138"/>
  <sortState ref="B3:H57">
    <sortCondition ref="B3:B5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I89:I97 I128:I138 I3:I87 I99:I126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B17" sqref="B17:G18"/>
    </sheetView>
  </sheetViews>
  <sheetFormatPr baseColWidth="10" defaultRowHeight="14.4" x14ac:dyDescent="0.3"/>
  <cols>
    <col min="1" max="1" width="14.21875" customWidth="1"/>
    <col min="2" max="2" width="72.109375" customWidth="1"/>
    <col min="3" max="3" width="14.109375" bestFit="1" customWidth="1"/>
    <col min="4" max="4" width="18.21875" style="1" customWidth="1"/>
    <col min="5" max="6" width="18.21875" customWidth="1"/>
    <col min="7" max="7" width="28.6640625" style="14" customWidth="1"/>
    <col min="8" max="8" width="15.88671875" customWidth="1"/>
    <col min="10" max="10" width="20.77734375" customWidth="1"/>
    <col min="11" max="11" width="15.109375" bestFit="1" customWidth="1"/>
    <col min="12" max="12" width="20.109375" customWidth="1"/>
    <col min="13" max="13" width="36" customWidth="1"/>
    <col min="14" max="14" width="15.77734375" bestFit="1" customWidth="1"/>
    <col min="15" max="15" width="6.6640625" customWidth="1"/>
    <col min="16" max="16" width="16.6640625" bestFit="1" customWidth="1"/>
  </cols>
  <sheetData>
    <row r="1" spans="1:17" x14ac:dyDescent="0.3">
      <c r="A1" s="80" t="s">
        <v>102</v>
      </c>
      <c r="B1" s="81" t="s">
        <v>103</v>
      </c>
      <c r="C1" s="81" t="s">
        <v>104</v>
      </c>
      <c r="D1" s="82" t="s">
        <v>105</v>
      </c>
      <c r="E1" s="81" t="s">
        <v>106</v>
      </c>
      <c r="F1" s="81" t="s">
        <v>127</v>
      </c>
      <c r="G1" s="83" t="s">
        <v>59</v>
      </c>
      <c r="H1" s="84">
        <f>F2</f>
        <v>3469173</v>
      </c>
      <c r="J1" t="s">
        <v>60</v>
      </c>
    </row>
    <row r="2" spans="1:17" ht="18" x14ac:dyDescent="0.35">
      <c r="A2" s="77">
        <v>42828</v>
      </c>
      <c r="B2" s="78" t="s">
        <v>306</v>
      </c>
      <c r="C2" s="270">
        <v>0</v>
      </c>
      <c r="D2" s="79">
        <v>0</v>
      </c>
      <c r="E2" s="79">
        <v>27981</v>
      </c>
      <c r="F2" s="271">
        <v>3469173</v>
      </c>
      <c r="G2" s="234" t="s">
        <v>201</v>
      </c>
      <c r="J2" s="2" t="s">
        <v>5</v>
      </c>
      <c r="K2" s="2" t="s">
        <v>161</v>
      </c>
      <c r="L2" s="2" t="s">
        <v>162</v>
      </c>
      <c r="M2" s="2" t="s">
        <v>163</v>
      </c>
      <c r="N2" s="2" t="s">
        <v>164</v>
      </c>
      <c r="O2" s="2" t="s">
        <v>165</v>
      </c>
      <c r="P2" s="2" t="s">
        <v>166</v>
      </c>
    </row>
    <row r="3" spans="1:17" ht="18" x14ac:dyDescent="0.35">
      <c r="A3" s="77">
        <v>42828</v>
      </c>
      <c r="B3" s="78" t="s">
        <v>1416</v>
      </c>
      <c r="C3" s="270">
        <v>14827098</v>
      </c>
      <c r="D3" s="79">
        <v>27654</v>
      </c>
      <c r="E3" s="79">
        <v>0</v>
      </c>
      <c r="F3" s="271">
        <v>3441519</v>
      </c>
      <c r="G3" s="234" t="s">
        <v>266</v>
      </c>
      <c r="J3" s="170">
        <v>42831.444444444445</v>
      </c>
      <c r="K3" s="168">
        <v>1413119661</v>
      </c>
      <c r="L3" s="168" t="s">
        <v>280</v>
      </c>
      <c r="M3" s="168" t="s">
        <v>281</v>
      </c>
      <c r="N3" s="168">
        <v>54009685</v>
      </c>
      <c r="O3" s="168" t="s">
        <v>107</v>
      </c>
      <c r="P3" s="169">
        <v>4000000</v>
      </c>
    </row>
    <row r="4" spans="1:17" ht="18.75" x14ac:dyDescent="0.3">
      <c r="A4" s="77">
        <v>42829</v>
      </c>
      <c r="B4" s="78" t="s">
        <v>306</v>
      </c>
      <c r="C4" s="270">
        <v>0</v>
      </c>
      <c r="D4" s="79">
        <v>0</v>
      </c>
      <c r="E4" s="79">
        <v>282053</v>
      </c>
      <c r="F4" s="271">
        <v>3723572</v>
      </c>
      <c r="G4" s="234" t="s">
        <v>201</v>
      </c>
      <c r="J4" s="170">
        <v>42846.558333333334</v>
      </c>
      <c r="K4" s="168">
        <v>1436076035</v>
      </c>
      <c r="L4" s="168" t="s">
        <v>280</v>
      </c>
      <c r="M4" s="168" t="s">
        <v>281</v>
      </c>
      <c r="N4" s="168">
        <v>54009685</v>
      </c>
      <c r="O4" s="168" t="s">
        <v>107</v>
      </c>
      <c r="P4" s="169">
        <v>5000000</v>
      </c>
    </row>
    <row r="5" spans="1:17" ht="18" x14ac:dyDescent="0.35">
      <c r="A5" s="77">
        <v>42830</v>
      </c>
      <c r="B5" s="78" t="s">
        <v>306</v>
      </c>
      <c r="C5" s="270">
        <v>0</v>
      </c>
      <c r="D5" s="79">
        <v>0</v>
      </c>
      <c r="E5" s="79">
        <v>885281</v>
      </c>
      <c r="F5" s="271">
        <v>4608853</v>
      </c>
      <c r="G5" s="234" t="s">
        <v>201</v>
      </c>
      <c r="J5" s="170">
        <v>42852.646527777775</v>
      </c>
      <c r="K5" s="168">
        <v>1445629293</v>
      </c>
      <c r="L5" s="168" t="s">
        <v>280</v>
      </c>
      <c r="M5" s="168" t="s">
        <v>1428</v>
      </c>
      <c r="N5" s="168">
        <v>200586487</v>
      </c>
      <c r="O5" s="168" t="s">
        <v>1429</v>
      </c>
      <c r="P5" s="169">
        <v>5000000</v>
      </c>
    </row>
    <row r="6" spans="1:17" ht="18" x14ac:dyDescent="0.35">
      <c r="A6" s="77">
        <v>42830</v>
      </c>
      <c r="B6" s="78" t="s">
        <v>354</v>
      </c>
      <c r="C6" s="270">
        <v>0</v>
      </c>
      <c r="D6" s="79">
        <v>0</v>
      </c>
      <c r="E6" s="79">
        <v>251471</v>
      </c>
      <c r="F6" s="271">
        <v>4860324</v>
      </c>
      <c r="G6" s="234" t="s">
        <v>201</v>
      </c>
      <c r="J6" s="170">
        <v>42852.647222222222</v>
      </c>
      <c r="K6" s="168">
        <v>1445631713</v>
      </c>
      <c r="L6" s="168" t="s">
        <v>280</v>
      </c>
      <c r="M6" s="168" t="s">
        <v>1428</v>
      </c>
      <c r="N6" s="168">
        <v>200586487</v>
      </c>
      <c r="O6" s="168" t="s">
        <v>1429</v>
      </c>
      <c r="P6" s="169">
        <v>5000000</v>
      </c>
    </row>
    <row r="7" spans="1:17" ht="18" x14ac:dyDescent="0.35">
      <c r="A7" s="77">
        <v>42831</v>
      </c>
      <c r="B7" s="78" t="s">
        <v>309</v>
      </c>
      <c r="C7" s="270">
        <v>15326477</v>
      </c>
      <c r="D7" s="79">
        <v>4000000</v>
      </c>
      <c r="E7" s="79">
        <v>0</v>
      </c>
      <c r="F7" s="271">
        <v>860324</v>
      </c>
      <c r="G7" s="234" t="s">
        <v>200</v>
      </c>
      <c r="J7" s="170">
        <v>42852.647916666669</v>
      </c>
      <c r="K7" s="168">
        <v>1445633613</v>
      </c>
      <c r="L7" s="168" t="s">
        <v>280</v>
      </c>
      <c r="M7" s="168" t="s">
        <v>1428</v>
      </c>
      <c r="N7" s="168">
        <v>200586487</v>
      </c>
      <c r="O7" s="168" t="s">
        <v>1429</v>
      </c>
      <c r="P7" s="169">
        <v>5000000</v>
      </c>
      <c r="Q7" s="173"/>
    </row>
    <row r="8" spans="1:17" ht="18" x14ac:dyDescent="0.35">
      <c r="A8" s="77">
        <v>42832</v>
      </c>
      <c r="B8" s="78" t="s">
        <v>1417</v>
      </c>
      <c r="C8" s="270">
        <v>15344997</v>
      </c>
      <c r="D8" s="79">
        <v>0</v>
      </c>
      <c r="E8" s="79">
        <v>2000000</v>
      </c>
      <c r="F8" s="271">
        <v>2860324</v>
      </c>
      <c r="G8" s="234" t="s">
        <v>201</v>
      </c>
      <c r="J8" s="170">
        <v>42852.648611111108</v>
      </c>
      <c r="K8" s="168">
        <v>1445637240</v>
      </c>
      <c r="L8" s="168" t="s">
        <v>280</v>
      </c>
      <c r="M8" s="168" t="s">
        <v>1428</v>
      </c>
      <c r="N8" s="168">
        <v>200586487</v>
      </c>
      <c r="O8" s="168" t="s">
        <v>1429</v>
      </c>
      <c r="P8" s="169">
        <v>5000000</v>
      </c>
    </row>
    <row r="9" spans="1:17" ht="18" x14ac:dyDescent="0.35">
      <c r="A9" s="77">
        <v>42832</v>
      </c>
      <c r="B9" s="78" t="s">
        <v>232</v>
      </c>
      <c r="C9" s="270">
        <v>15357785</v>
      </c>
      <c r="D9" s="79">
        <v>1349832</v>
      </c>
      <c r="E9" s="79">
        <v>0</v>
      </c>
      <c r="F9" s="271">
        <v>1510492</v>
      </c>
      <c r="G9" s="234" t="s">
        <v>50</v>
      </c>
      <c r="J9" s="170">
        <v>42852.65</v>
      </c>
      <c r="K9" s="168">
        <v>1445640828</v>
      </c>
      <c r="L9" s="168" t="s">
        <v>280</v>
      </c>
      <c r="M9" s="168" t="s">
        <v>1428</v>
      </c>
      <c r="N9" s="168">
        <v>200586487</v>
      </c>
      <c r="O9" s="168" t="s">
        <v>1429</v>
      </c>
      <c r="P9" s="169">
        <v>5000000</v>
      </c>
      <c r="Q9" s="173"/>
    </row>
    <row r="10" spans="1:17" ht="18" x14ac:dyDescent="0.35">
      <c r="A10" s="77">
        <v>42832</v>
      </c>
      <c r="B10" s="78" t="s">
        <v>307</v>
      </c>
      <c r="C10" s="270">
        <v>0</v>
      </c>
      <c r="D10" s="79">
        <v>1668</v>
      </c>
      <c r="E10" s="79">
        <v>0</v>
      </c>
      <c r="F10" s="271">
        <v>1508824</v>
      </c>
      <c r="G10" s="234" t="s">
        <v>266</v>
      </c>
      <c r="J10" s="170">
        <v>42852.650694444441</v>
      </c>
      <c r="K10" s="168">
        <v>1445642833</v>
      </c>
      <c r="L10" s="168" t="s">
        <v>280</v>
      </c>
      <c r="M10" s="168" t="s">
        <v>1428</v>
      </c>
      <c r="N10" s="168">
        <v>200586487</v>
      </c>
      <c r="O10" s="168" t="s">
        <v>1429</v>
      </c>
      <c r="P10" s="169">
        <v>5000000</v>
      </c>
    </row>
    <row r="11" spans="1:17" ht="18" x14ac:dyDescent="0.35">
      <c r="A11" s="77">
        <v>42832</v>
      </c>
      <c r="B11" s="78" t="s">
        <v>308</v>
      </c>
      <c r="C11" s="270">
        <v>0</v>
      </c>
      <c r="D11" s="79">
        <v>317</v>
      </c>
      <c r="E11" s="79">
        <v>0</v>
      </c>
      <c r="F11" s="271">
        <v>1508507</v>
      </c>
      <c r="G11" s="234" t="s">
        <v>266</v>
      </c>
      <c r="J11" s="170">
        <v>42855.730555555558</v>
      </c>
      <c r="K11" s="168">
        <v>1450774339</v>
      </c>
      <c r="L11" s="168" t="s">
        <v>280</v>
      </c>
      <c r="M11" s="168" t="s">
        <v>1430</v>
      </c>
      <c r="N11" s="168">
        <v>7505124</v>
      </c>
      <c r="O11" s="168" t="s">
        <v>1431</v>
      </c>
      <c r="P11" s="169">
        <v>1000000</v>
      </c>
    </row>
    <row r="12" spans="1:17" ht="18.75" x14ac:dyDescent="0.3">
      <c r="A12" s="77">
        <v>42837</v>
      </c>
      <c r="B12" s="78" t="s">
        <v>1418</v>
      </c>
      <c r="C12" s="270">
        <v>15817170</v>
      </c>
      <c r="D12" s="79">
        <v>0</v>
      </c>
      <c r="E12" s="79">
        <v>12985000</v>
      </c>
      <c r="F12" s="271">
        <v>14493507</v>
      </c>
      <c r="G12" s="234" t="s">
        <v>201</v>
      </c>
      <c r="J12" s="170"/>
      <c r="K12" s="168"/>
      <c r="L12" s="168"/>
      <c r="M12" s="168"/>
      <c r="N12" s="168"/>
      <c r="O12" s="168"/>
      <c r="P12" s="169"/>
    </row>
    <row r="13" spans="1:17" ht="18.75" x14ac:dyDescent="0.3">
      <c r="A13" s="77">
        <v>42838</v>
      </c>
      <c r="B13" s="78" t="s">
        <v>1419</v>
      </c>
      <c r="C13" s="270">
        <v>15829611</v>
      </c>
      <c r="D13" s="79">
        <v>2726889</v>
      </c>
      <c r="E13" s="79">
        <v>0</v>
      </c>
      <c r="F13" s="271">
        <v>11766618</v>
      </c>
      <c r="G13" s="234" t="s">
        <v>43</v>
      </c>
      <c r="J13" s="170"/>
      <c r="K13" s="168"/>
      <c r="L13" s="168"/>
      <c r="M13" s="168"/>
      <c r="N13" s="168"/>
      <c r="O13" s="168"/>
      <c r="P13" s="169"/>
    </row>
    <row r="14" spans="1:17" ht="18.75" x14ac:dyDescent="0.3">
      <c r="A14" s="77">
        <v>42838</v>
      </c>
      <c r="B14" s="78" t="s">
        <v>1420</v>
      </c>
      <c r="C14" s="270">
        <v>0</v>
      </c>
      <c r="D14" s="79">
        <v>0</v>
      </c>
      <c r="E14" s="79">
        <v>2434984</v>
      </c>
      <c r="F14" s="271">
        <v>14201602</v>
      </c>
      <c r="G14" s="234" t="s">
        <v>201</v>
      </c>
      <c r="H14" s="182"/>
      <c r="J14" s="170"/>
      <c r="K14" s="168"/>
      <c r="L14" s="168"/>
      <c r="M14" s="168"/>
      <c r="N14" s="168"/>
      <c r="O14" s="168"/>
      <c r="P14" s="169"/>
    </row>
    <row r="15" spans="1:17" ht="18.75" x14ac:dyDescent="0.3">
      <c r="A15" s="77">
        <v>42845</v>
      </c>
      <c r="B15" s="78" t="s">
        <v>1419</v>
      </c>
      <c r="C15" s="270">
        <v>16191352</v>
      </c>
      <c r="D15" s="79">
        <v>2743642</v>
      </c>
      <c r="E15" s="79">
        <v>0</v>
      </c>
      <c r="F15" s="271">
        <v>11457960</v>
      </c>
      <c r="G15" s="234" t="s">
        <v>43</v>
      </c>
      <c r="H15" s="205"/>
      <c r="J15" s="170"/>
      <c r="K15" s="168"/>
      <c r="L15" s="168"/>
      <c r="M15" s="168"/>
      <c r="N15" s="168"/>
      <c r="O15" s="168"/>
      <c r="P15" s="169"/>
    </row>
    <row r="16" spans="1:17" ht="18.75" x14ac:dyDescent="0.3">
      <c r="A16" s="77">
        <v>42845</v>
      </c>
      <c r="B16" s="78" t="s">
        <v>306</v>
      </c>
      <c r="C16" s="270">
        <v>0</v>
      </c>
      <c r="D16" s="79">
        <v>0</v>
      </c>
      <c r="E16" s="79">
        <v>1107470</v>
      </c>
      <c r="F16" s="271">
        <v>12565430</v>
      </c>
      <c r="G16" s="234" t="s">
        <v>201</v>
      </c>
      <c r="J16" s="170"/>
      <c r="K16" s="168"/>
      <c r="L16" s="168"/>
      <c r="M16" s="168"/>
      <c r="N16" s="168"/>
      <c r="O16" s="168"/>
      <c r="P16" s="169"/>
    </row>
    <row r="17" spans="1:16" ht="18.75" x14ac:dyDescent="0.3">
      <c r="A17" s="77">
        <v>42846</v>
      </c>
      <c r="B17" s="78" t="s">
        <v>309</v>
      </c>
      <c r="C17" s="270">
        <v>16440824</v>
      </c>
      <c r="D17" s="79">
        <v>5000000</v>
      </c>
      <c r="E17" s="79">
        <v>0</v>
      </c>
      <c r="F17" s="271">
        <v>7565430</v>
      </c>
      <c r="G17" s="234" t="s">
        <v>200</v>
      </c>
      <c r="J17" s="170"/>
      <c r="K17" s="168"/>
      <c r="L17" s="168"/>
      <c r="M17" s="168"/>
      <c r="N17" s="168"/>
      <c r="O17" s="168"/>
      <c r="P17" s="169"/>
    </row>
    <row r="18" spans="1:16" ht="18.75" x14ac:dyDescent="0.3">
      <c r="A18" s="77">
        <v>42849</v>
      </c>
      <c r="B18" s="78" t="s">
        <v>306</v>
      </c>
      <c r="C18" s="270">
        <v>0</v>
      </c>
      <c r="D18" s="79">
        <v>0</v>
      </c>
      <c r="E18" s="79">
        <v>1464067</v>
      </c>
      <c r="F18" s="271">
        <v>9029497</v>
      </c>
      <c r="G18" s="234" t="s">
        <v>201</v>
      </c>
      <c r="H18" s="205"/>
      <c r="J18" s="170"/>
      <c r="K18" s="168"/>
      <c r="L18" s="168"/>
      <c r="M18" s="168"/>
      <c r="N18" s="168"/>
      <c r="O18" s="168"/>
      <c r="P18" s="169"/>
    </row>
    <row r="19" spans="1:16" ht="18.75" x14ac:dyDescent="0.3">
      <c r="A19" s="77">
        <v>42850</v>
      </c>
      <c r="B19" s="78" t="s">
        <v>306</v>
      </c>
      <c r="C19" s="270">
        <v>0</v>
      </c>
      <c r="D19" s="79">
        <v>0</v>
      </c>
      <c r="E19" s="79">
        <v>454566</v>
      </c>
      <c r="F19" s="271">
        <v>9484063</v>
      </c>
      <c r="G19" s="234" t="s">
        <v>201</v>
      </c>
      <c r="J19" s="170"/>
      <c r="K19" s="168"/>
      <c r="L19" s="168"/>
      <c r="M19" s="168"/>
      <c r="N19" s="168"/>
      <c r="O19" s="168"/>
      <c r="P19" s="169"/>
    </row>
    <row r="20" spans="1:16" ht="18.75" x14ac:dyDescent="0.3">
      <c r="A20" s="77">
        <v>42851</v>
      </c>
      <c r="B20" s="78" t="s">
        <v>306</v>
      </c>
      <c r="C20" s="270">
        <v>0</v>
      </c>
      <c r="D20" s="79">
        <v>0</v>
      </c>
      <c r="E20" s="79">
        <v>148086</v>
      </c>
      <c r="F20" s="271">
        <v>9632149</v>
      </c>
      <c r="G20" s="234" t="s">
        <v>201</v>
      </c>
      <c r="H20" s="205"/>
      <c r="J20" s="170"/>
      <c r="K20" s="168"/>
      <c r="L20" s="168"/>
      <c r="M20" s="168"/>
      <c r="N20" s="168"/>
      <c r="O20" s="168"/>
      <c r="P20" s="169"/>
    </row>
    <row r="21" spans="1:16" ht="18" x14ac:dyDescent="0.35">
      <c r="A21" s="77">
        <v>42851</v>
      </c>
      <c r="B21" s="78" t="s">
        <v>1421</v>
      </c>
      <c r="C21" s="270">
        <v>16703455</v>
      </c>
      <c r="D21" s="79">
        <v>0</v>
      </c>
      <c r="E21" s="79">
        <v>28552000</v>
      </c>
      <c r="F21" s="271">
        <v>38184149</v>
      </c>
      <c r="G21" s="234" t="s">
        <v>201</v>
      </c>
      <c r="J21" s="170"/>
      <c r="K21" s="168"/>
      <c r="L21" s="168"/>
      <c r="M21" s="168"/>
      <c r="N21" s="168"/>
      <c r="O21" s="168"/>
      <c r="P21" s="169"/>
    </row>
    <row r="22" spans="1:16" ht="18" x14ac:dyDescent="0.35">
      <c r="A22" s="77">
        <v>42852</v>
      </c>
      <c r="B22" s="78" t="s">
        <v>306</v>
      </c>
      <c r="C22" s="270">
        <v>0</v>
      </c>
      <c r="D22" s="79">
        <v>0</v>
      </c>
      <c r="E22" s="79">
        <v>1949</v>
      </c>
      <c r="F22" s="271">
        <v>38186098</v>
      </c>
      <c r="G22" s="234" t="s">
        <v>201</v>
      </c>
    </row>
    <row r="23" spans="1:16" ht="18" x14ac:dyDescent="0.35">
      <c r="A23" s="77">
        <v>42853</v>
      </c>
      <c r="B23" s="78" t="s">
        <v>1422</v>
      </c>
      <c r="C23" s="270">
        <v>16786689</v>
      </c>
      <c r="D23" s="79">
        <v>5000000</v>
      </c>
      <c r="E23" s="79">
        <v>0</v>
      </c>
      <c r="F23" s="271">
        <v>33186098</v>
      </c>
      <c r="G23" s="234"/>
      <c r="H23" s="205" t="s">
        <v>1450</v>
      </c>
    </row>
    <row r="24" spans="1:16" ht="18" x14ac:dyDescent="0.35">
      <c r="A24" s="77">
        <v>42853</v>
      </c>
      <c r="B24" s="78" t="s">
        <v>1422</v>
      </c>
      <c r="C24" s="270">
        <v>16786742</v>
      </c>
      <c r="D24" s="79">
        <v>5000000</v>
      </c>
      <c r="E24" s="79">
        <v>0</v>
      </c>
      <c r="F24" s="271">
        <v>28186098</v>
      </c>
      <c r="G24" s="234"/>
      <c r="H24" s="252" t="s">
        <v>1450</v>
      </c>
    </row>
    <row r="25" spans="1:16" ht="18" x14ac:dyDescent="0.35">
      <c r="A25" s="77">
        <v>42853</v>
      </c>
      <c r="B25" s="78" t="s">
        <v>1422</v>
      </c>
      <c r="C25" s="270">
        <v>16786780</v>
      </c>
      <c r="D25" s="79">
        <v>5000000</v>
      </c>
      <c r="E25" s="79">
        <v>0</v>
      </c>
      <c r="F25" s="271">
        <v>23186098</v>
      </c>
      <c r="G25" s="234"/>
      <c r="H25" s="252" t="s">
        <v>1450</v>
      </c>
    </row>
    <row r="26" spans="1:16" ht="18" x14ac:dyDescent="0.35">
      <c r="A26" s="77">
        <v>42853</v>
      </c>
      <c r="B26" s="78" t="s">
        <v>1422</v>
      </c>
      <c r="C26" s="78">
        <v>16786875</v>
      </c>
      <c r="D26" s="79">
        <v>5000000</v>
      </c>
      <c r="E26" s="79">
        <v>0</v>
      </c>
      <c r="F26" s="190">
        <v>18186098</v>
      </c>
      <c r="G26" s="234"/>
      <c r="H26" s="252" t="s">
        <v>1450</v>
      </c>
    </row>
    <row r="27" spans="1:16" ht="18" x14ac:dyDescent="0.35">
      <c r="A27" s="77">
        <v>42853</v>
      </c>
      <c r="B27" s="78" t="s">
        <v>1422</v>
      </c>
      <c r="C27" s="78">
        <v>16786961</v>
      </c>
      <c r="D27" s="79">
        <v>5000000</v>
      </c>
      <c r="E27" s="79">
        <v>0</v>
      </c>
      <c r="F27" s="190">
        <v>13186098</v>
      </c>
      <c r="G27" s="234"/>
      <c r="H27" s="252" t="s">
        <v>1450</v>
      </c>
    </row>
    <row r="28" spans="1:16" ht="18" x14ac:dyDescent="0.35">
      <c r="A28" s="77">
        <v>42853</v>
      </c>
      <c r="B28" s="78" t="s">
        <v>1422</v>
      </c>
      <c r="C28" s="78">
        <v>16787014</v>
      </c>
      <c r="D28" s="79">
        <v>5000000</v>
      </c>
      <c r="E28" s="79">
        <v>0</v>
      </c>
      <c r="F28" s="190">
        <v>8186098</v>
      </c>
      <c r="G28" s="234"/>
      <c r="H28" s="252" t="s">
        <v>1450</v>
      </c>
    </row>
    <row r="29" spans="1:16" s="205" customFormat="1" ht="18" x14ac:dyDescent="0.35">
      <c r="A29" s="77">
        <v>42853</v>
      </c>
      <c r="B29" s="78" t="s">
        <v>354</v>
      </c>
      <c r="C29" s="78">
        <v>0</v>
      </c>
      <c r="D29" s="79">
        <v>0</v>
      </c>
      <c r="E29" s="79">
        <v>49</v>
      </c>
      <c r="F29" s="190">
        <v>8186147</v>
      </c>
      <c r="G29" s="234"/>
      <c r="H29" s="248"/>
    </row>
    <row r="30" spans="1:16" s="205" customFormat="1" ht="18" x14ac:dyDescent="0.35">
      <c r="A30" s="77" t="s">
        <v>1445</v>
      </c>
      <c r="B30" s="78" t="s">
        <v>1446</v>
      </c>
      <c r="C30" s="78">
        <v>17092614</v>
      </c>
      <c r="D30" s="79">
        <v>1000000</v>
      </c>
      <c r="E30" s="79" t="s">
        <v>1447</v>
      </c>
      <c r="F30" s="190"/>
      <c r="G30" s="234" t="s">
        <v>50</v>
      </c>
      <c r="H30" s="205" t="s">
        <v>1449</v>
      </c>
    </row>
    <row r="31" spans="1:16" s="205" customFormat="1" ht="18" x14ac:dyDescent="0.35">
      <c r="A31" s="77" t="s">
        <v>1445</v>
      </c>
      <c r="B31" s="78" t="s">
        <v>1448</v>
      </c>
      <c r="C31" s="78">
        <v>17089462</v>
      </c>
      <c r="D31" s="79">
        <v>5414197</v>
      </c>
      <c r="E31" s="79" t="s">
        <v>1447</v>
      </c>
      <c r="F31" s="190"/>
      <c r="G31" s="234" t="s">
        <v>43</v>
      </c>
    </row>
    <row r="32" spans="1:16" s="205" customFormat="1" ht="18" x14ac:dyDescent="0.35">
      <c r="A32" s="77"/>
      <c r="B32" s="78"/>
      <c r="C32" s="78"/>
      <c r="D32" s="79"/>
      <c r="E32" s="79"/>
      <c r="F32" s="190"/>
      <c r="G32" s="234"/>
    </row>
    <row r="33" spans="1:8" s="205" customFormat="1" ht="18" x14ac:dyDescent="0.35">
      <c r="A33" s="77"/>
      <c r="B33" s="78"/>
      <c r="C33" s="78"/>
      <c r="D33" s="79"/>
      <c r="E33" s="79"/>
      <c r="F33" s="190"/>
      <c r="G33" s="234"/>
    </row>
    <row r="34" spans="1:8" s="205" customFormat="1" ht="18" x14ac:dyDescent="0.35">
      <c r="A34" s="77"/>
      <c r="B34" s="78"/>
      <c r="C34" s="78"/>
      <c r="D34" s="79"/>
      <c r="E34" s="79"/>
      <c r="F34" s="190"/>
      <c r="G34" s="234"/>
    </row>
    <row r="35" spans="1:8" s="205" customFormat="1" ht="18" x14ac:dyDescent="0.35">
      <c r="A35" s="77"/>
      <c r="B35" s="78"/>
      <c r="C35" s="78"/>
      <c r="D35" s="79"/>
      <c r="E35" s="79"/>
      <c r="F35" s="190"/>
      <c r="G35" s="234"/>
    </row>
    <row r="36" spans="1:8" s="205" customFormat="1" ht="18" x14ac:dyDescent="0.35">
      <c r="A36" s="77"/>
      <c r="B36" s="78"/>
      <c r="C36" s="78"/>
      <c r="D36" s="79"/>
      <c r="E36" s="79"/>
      <c r="F36" s="190"/>
      <c r="G36" s="234"/>
    </row>
    <row r="37" spans="1:8" s="205" customFormat="1" ht="18" x14ac:dyDescent="0.35">
      <c r="A37" s="77"/>
      <c r="B37" s="78"/>
      <c r="C37" s="78"/>
      <c r="D37" s="79"/>
      <c r="E37" s="79"/>
      <c r="F37" s="190"/>
      <c r="G37" s="234"/>
    </row>
    <row r="38" spans="1:8" s="205" customFormat="1" x14ac:dyDescent="0.3">
      <c r="A38" s="77"/>
      <c r="B38" s="78"/>
      <c r="C38" s="78"/>
      <c r="D38" s="79"/>
      <c r="E38" s="79"/>
      <c r="F38" s="190"/>
      <c r="G38" s="195"/>
    </row>
    <row r="39" spans="1:8" s="205" customFormat="1" x14ac:dyDescent="0.3">
      <c r="A39" s="77"/>
      <c r="B39" s="78"/>
      <c r="C39" s="78"/>
      <c r="D39" s="79"/>
      <c r="E39" s="79"/>
      <c r="F39" s="190"/>
      <c r="G39" s="195"/>
    </row>
    <row r="40" spans="1:8" s="205" customFormat="1" x14ac:dyDescent="0.3">
      <c r="A40" s="77"/>
      <c r="B40" s="78"/>
      <c r="C40" s="78"/>
      <c r="D40" s="79"/>
      <c r="E40" s="79"/>
      <c r="F40" s="190"/>
      <c r="G40" s="195"/>
    </row>
    <row r="41" spans="1:8" s="205" customFormat="1" x14ac:dyDescent="0.3">
      <c r="A41" s="77"/>
      <c r="B41" s="78"/>
      <c r="C41" s="78"/>
      <c r="D41" s="79"/>
      <c r="E41" s="79"/>
      <c r="F41" s="190"/>
      <c r="G41" s="195"/>
    </row>
    <row r="42" spans="1:8" s="205" customFormat="1" x14ac:dyDescent="0.3">
      <c r="A42" s="77"/>
      <c r="B42" s="78"/>
      <c r="C42" s="78"/>
      <c r="D42" s="79"/>
      <c r="E42" s="79"/>
      <c r="F42" s="190"/>
      <c r="G42" s="195"/>
    </row>
    <row r="43" spans="1:8" x14ac:dyDescent="0.3">
      <c r="A43" s="77"/>
      <c r="B43" s="78"/>
      <c r="C43" s="78"/>
      <c r="D43" s="79"/>
      <c r="E43" s="79"/>
      <c r="F43" s="74"/>
      <c r="G43" s="193"/>
    </row>
    <row r="44" spans="1:8" x14ac:dyDescent="0.3">
      <c r="A44" s="77"/>
      <c r="B44" s="78"/>
      <c r="C44" s="78"/>
      <c r="D44" s="79"/>
      <c r="E44" s="79"/>
      <c r="F44" s="190"/>
      <c r="G44" s="195"/>
      <c r="H44" s="157"/>
    </row>
    <row r="45" spans="1:8" s="157" customFormat="1" x14ac:dyDescent="0.3">
      <c r="A45" s="77"/>
      <c r="B45" s="78"/>
      <c r="C45" s="78"/>
      <c r="D45" s="79"/>
      <c r="E45" s="79"/>
      <c r="F45" s="74"/>
      <c r="G45" s="195"/>
      <c r="H45" s="205"/>
    </row>
    <row r="46" spans="1:8" s="157" customFormat="1" x14ac:dyDescent="0.3">
      <c r="A46" s="77"/>
      <c r="B46" s="78"/>
      <c r="C46" s="78"/>
      <c r="D46" s="79"/>
      <c r="E46" s="79"/>
      <c r="F46" s="190"/>
      <c r="G46" s="195"/>
    </row>
    <row r="47" spans="1:8" s="157" customFormat="1" x14ac:dyDescent="0.3">
      <c r="A47" s="77"/>
      <c r="B47" s="78"/>
      <c r="C47" s="78"/>
      <c r="D47" s="79"/>
      <c r="E47" s="79"/>
      <c r="F47" s="74"/>
      <c r="G47" s="76"/>
    </row>
    <row r="48" spans="1:8" s="157" customFormat="1" x14ac:dyDescent="0.3">
      <c r="A48" s="77"/>
      <c r="B48" s="78"/>
      <c r="C48" s="78"/>
      <c r="D48" s="79"/>
      <c r="E48" s="79"/>
      <c r="F48" s="74"/>
      <c r="G48" s="76"/>
    </row>
    <row r="49" spans="1:7" s="157" customFormat="1" x14ac:dyDescent="0.3">
      <c r="A49" s="77"/>
      <c r="B49" s="78"/>
      <c r="C49" s="78"/>
      <c r="D49" s="79"/>
      <c r="E49" s="79"/>
      <c r="F49" s="74"/>
      <c r="G49" s="59"/>
    </row>
    <row r="50" spans="1:7" s="157" customFormat="1" x14ac:dyDescent="0.3">
      <c r="A50" s="77"/>
      <c r="B50" s="78"/>
      <c r="C50" s="78"/>
      <c r="D50" s="79"/>
      <c r="E50" s="79"/>
      <c r="F50" s="74"/>
      <c r="G50" s="59"/>
    </row>
    <row r="51" spans="1:7" x14ac:dyDescent="0.3">
      <c r="A51" s="77"/>
      <c r="B51" s="78"/>
      <c r="C51" s="78"/>
      <c r="D51" s="79"/>
      <c r="E51" s="79"/>
      <c r="F51" s="74"/>
      <c r="G51" s="76"/>
    </row>
    <row r="52" spans="1:7" ht="15" customHeight="1" x14ac:dyDescent="0.3">
      <c r="A52" s="80" t="s">
        <v>102</v>
      </c>
      <c r="B52" s="81" t="s">
        <v>103</v>
      </c>
      <c r="C52" s="81" t="s">
        <v>104</v>
      </c>
      <c r="D52" s="82" t="s">
        <v>105</v>
      </c>
      <c r="E52" s="81" t="s">
        <v>106</v>
      </c>
      <c r="F52" s="81" t="s">
        <v>127</v>
      </c>
      <c r="G52" s="83" t="s">
        <v>59</v>
      </c>
    </row>
    <row r="53" spans="1:7" ht="15" customHeight="1" x14ac:dyDescent="0.35">
      <c r="A53" s="77">
        <v>42828</v>
      </c>
      <c r="B53" s="78" t="s">
        <v>1416</v>
      </c>
      <c r="C53" s="78">
        <v>14827096</v>
      </c>
      <c r="D53" s="79">
        <v>0</v>
      </c>
      <c r="E53" s="79">
        <v>9521</v>
      </c>
      <c r="F53" s="190"/>
      <c r="G53" s="234"/>
    </row>
    <row r="54" spans="1:7" ht="15" customHeight="1" x14ac:dyDescent="0.35">
      <c r="A54" s="77">
        <v>42835</v>
      </c>
      <c r="B54" s="78" t="s">
        <v>1423</v>
      </c>
      <c r="C54" s="78">
        <v>15571475</v>
      </c>
      <c r="D54" s="79">
        <v>0</v>
      </c>
      <c r="E54" s="79">
        <v>8284</v>
      </c>
      <c r="F54" s="190"/>
      <c r="G54" s="234"/>
    </row>
    <row r="55" spans="1:7" ht="15" customHeight="1" x14ac:dyDescent="0.35">
      <c r="A55" s="77">
        <v>42837</v>
      </c>
      <c r="B55" s="78" t="s">
        <v>1424</v>
      </c>
      <c r="C55" s="78">
        <v>15817136</v>
      </c>
      <c r="D55" s="79">
        <v>20000</v>
      </c>
      <c r="E55" s="79">
        <v>0</v>
      </c>
      <c r="F55" s="190"/>
      <c r="G55" s="234"/>
    </row>
    <row r="56" spans="1:7" ht="15" customHeight="1" x14ac:dyDescent="0.35">
      <c r="A56" s="77">
        <v>42842</v>
      </c>
      <c r="B56" s="78" t="s">
        <v>1425</v>
      </c>
      <c r="C56" s="78">
        <v>16043497</v>
      </c>
      <c r="D56" s="79">
        <v>0</v>
      </c>
      <c r="E56" s="79">
        <v>10160</v>
      </c>
      <c r="F56" s="190"/>
      <c r="G56" s="234"/>
    </row>
    <row r="57" spans="1:7" ht="15" customHeight="1" x14ac:dyDescent="0.35">
      <c r="A57" s="77">
        <v>42849</v>
      </c>
      <c r="B57" s="78" t="s">
        <v>1426</v>
      </c>
      <c r="C57" s="78">
        <v>16530766</v>
      </c>
      <c r="D57" s="79">
        <v>0</v>
      </c>
      <c r="E57" s="79">
        <v>4755</v>
      </c>
      <c r="F57" s="190"/>
      <c r="G57" s="234"/>
    </row>
    <row r="58" spans="1:7" ht="15" customHeight="1" x14ac:dyDescent="0.35">
      <c r="A58" s="77">
        <v>42851</v>
      </c>
      <c r="B58" s="78" t="s">
        <v>1427</v>
      </c>
      <c r="C58" s="78">
        <v>16703403</v>
      </c>
      <c r="D58" s="79">
        <v>43000</v>
      </c>
      <c r="E58" s="79">
        <v>0</v>
      </c>
      <c r="F58" s="190"/>
      <c r="G58" s="234"/>
    </row>
    <row r="59" spans="1:7" ht="15" customHeight="1" x14ac:dyDescent="0.35">
      <c r="A59" s="77"/>
      <c r="B59" s="78"/>
      <c r="C59" s="78"/>
      <c r="D59" s="79"/>
      <c r="E59" s="79"/>
      <c r="F59" s="190"/>
      <c r="G59" s="234"/>
    </row>
    <row r="60" spans="1:7" ht="15" customHeight="1" x14ac:dyDescent="0.3">
      <c r="A60" s="77"/>
      <c r="B60" s="78"/>
      <c r="C60" s="78"/>
      <c r="D60" s="79"/>
      <c r="E60" s="79"/>
      <c r="F60" s="74"/>
      <c r="G60" s="77"/>
    </row>
    <row r="61" spans="1:7" ht="15" customHeight="1" x14ac:dyDescent="0.3">
      <c r="A61" s="112"/>
      <c r="B61" s="113"/>
      <c r="C61" s="113"/>
      <c r="D61" s="114"/>
      <c r="E61" s="114"/>
      <c r="F61" s="114"/>
      <c r="G61" s="61"/>
    </row>
    <row r="64" spans="1:7" x14ac:dyDescent="0.3">
      <c r="D64" s="1">
        <f>SUBTOTAL(9,D2:D61)</f>
        <v>52327199</v>
      </c>
      <c r="E64" s="1">
        <f>SUBTOTAL(9,E2:E61)</f>
        <v>50627677</v>
      </c>
    </row>
    <row r="66" spans="1:10" x14ac:dyDescent="0.3">
      <c r="F66" s="73"/>
      <c r="G66" s="73" t="s">
        <v>4</v>
      </c>
    </row>
    <row r="67" spans="1:10" ht="18" x14ac:dyDescent="0.35">
      <c r="A67" s="80" t="s">
        <v>102</v>
      </c>
      <c r="B67" s="81" t="s">
        <v>103</v>
      </c>
      <c r="C67" s="81" t="s">
        <v>104</v>
      </c>
      <c r="D67" s="82" t="s">
        <v>105</v>
      </c>
      <c r="F67" s="74">
        <f>SUMIF($G$2:$G$61,G67,$D$2:$D$61)-SUMIF($G$2:$G$61,G67,$E$2:$E$61)</f>
        <v>29639</v>
      </c>
      <c r="G67" s="234" t="s">
        <v>266</v>
      </c>
    </row>
    <row r="68" spans="1:10" ht="18" x14ac:dyDescent="0.35">
      <c r="A68" s="77"/>
      <c r="B68" s="78"/>
      <c r="C68" s="78"/>
      <c r="D68" s="79"/>
      <c r="F68" s="74">
        <f t="shared" ref="F68:F83" si="0">SUMIF($G$2:$G$61,G68,$D$2:$D$61)-SUMIF($G$2:$G$61,G68,$E$2:$E$61)</f>
        <v>0</v>
      </c>
      <c r="G68" s="234" t="s">
        <v>51</v>
      </c>
    </row>
    <row r="69" spans="1:10" ht="18" x14ac:dyDescent="0.35">
      <c r="A69" s="77"/>
      <c r="B69" s="78"/>
      <c r="C69" s="78"/>
      <c r="D69" s="79"/>
      <c r="F69" s="74">
        <f t="shared" si="0"/>
        <v>0</v>
      </c>
      <c r="G69" s="234" t="s">
        <v>157</v>
      </c>
    </row>
    <row r="70" spans="1:10" ht="18" x14ac:dyDescent="0.35">
      <c r="A70" s="77"/>
      <c r="B70" s="78"/>
      <c r="C70" s="78"/>
      <c r="D70" s="79"/>
      <c r="F70" s="74">
        <f t="shared" si="0"/>
        <v>0</v>
      </c>
      <c r="G70" s="235" t="s">
        <v>265</v>
      </c>
    </row>
    <row r="71" spans="1:10" ht="18" x14ac:dyDescent="0.35">
      <c r="F71" s="74">
        <f t="shared" si="0"/>
        <v>0</v>
      </c>
      <c r="G71" s="235" t="s">
        <v>9</v>
      </c>
    </row>
    <row r="72" spans="1:10" ht="18" x14ac:dyDescent="0.35">
      <c r="F72" s="74">
        <f t="shared" si="0"/>
        <v>0</v>
      </c>
      <c r="G72" s="236" t="s">
        <v>267</v>
      </c>
      <c r="H72" s="119"/>
    </row>
    <row r="73" spans="1:10" ht="18" x14ac:dyDescent="0.35">
      <c r="F73" s="74">
        <f t="shared" si="0"/>
        <v>0</v>
      </c>
      <c r="G73" s="234" t="s">
        <v>269</v>
      </c>
    </row>
    <row r="74" spans="1:10" ht="18" x14ac:dyDescent="0.35">
      <c r="F74" s="74">
        <f t="shared" si="0"/>
        <v>0</v>
      </c>
      <c r="G74" s="234" t="s">
        <v>268</v>
      </c>
    </row>
    <row r="75" spans="1:10" ht="18" x14ac:dyDescent="0.35">
      <c r="F75" s="74">
        <f t="shared" si="0"/>
        <v>10884728</v>
      </c>
      <c r="G75" s="236" t="s">
        <v>43</v>
      </c>
    </row>
    <row r="76" spans="1:10" ht="18" x14ac:dyDescent="0.35">
      <c r="F76" s="74">
        <f t="shared" si="0"/>
        <v>0</v>
      </c>
      <c r="G76" s="234" t="s">
        <v>12</v>
      </c>
      <c r="H76" s="120"/>
      <c r="I76" s="157"/>
      <c r="J76" s="157"/>
    </row>
    <row r="77" spans="1:10" ht="18" x14ac:dyDescent="0.35">
      <c r="F77" s="74">
        <f t="shared" si="0"/>
        <v>0</v>
      </c>
      <c r="G77" s="234" t="s">
        <v>22</v>
      </c>
      <c r="I77" s="157"/>
      <c r="J77" s="157"/>
    </row>
    <row r="78" spans="1:10" ht="18" x14ac:dyDescent="0.35">
      <c r="F78" s="74">
        <f t="shared" si="0"/>
        <v>0</v>
      </c>
      <c r="G78" s="235" t="s">
        <v>270</v>
      </c>
      <c r="I78" s="157"/>
    </row>
    <row r="79" spans="1:10" ht="18" x14ac:dyDescent="0.35">
      <c r="F79" s="74">
        <f t="shared" si="0"/>
        <v>2349832</v>
      </c>
      <c r="G79" s="234" t="s">
        <v>50</v>
      </c>
      <c r="I79" s="157"/>
      <c r="J79" s="157"/>
    </row>
    <row r="80" spans="1:10" ht="18" x14ac:dyDescent="0.35">
      <c r="F80" s="74">
        <f t="shared" si="0"/>
        <v>9000000</v>
      </c>
      <c r="G80" s="235" t="s">
        <v>200</v>
      </c>
      <c r="I80" s="157"/>
      <c r="J80" s="157"/>
    </row>
    <row r="81" spans="4:10" ht="18" x14ac:dyDescent="0.35">
      <c r="F81" s="74">
        <f t="shared" si="0"/>
        <v>-50594908</v>
      </c>
      <c r="G81" s="234" t="s">
        <v>201</v>
      </c>
      <c r="I81" s="157"/>
      <c r="J81" s="157"/>
    </row>
    <row r="82" spans="4:10" ht="18" x14ac:dyDescent="0.35">
      <c r="F82" s="74">
        <f t="shared" si="0"/>
        <v>0</v>
      </c>
      <c r="G82" s="234" t="s">
        <v>271</v>
      </c>
      <c r="I82" s="157"/>
      <c r="J82" s="157"/>
    </row>
    <row r="83" spans="4:10" ht="18" x14ac:dyDescent="0.35">
      <c r="F83" s="74">
        <f t="shared" si="0"/>
        <v>0</v>
      </c>
      <c r="G83" s="234" t="s">
        <v>272</v>
      </c>
      <c r="I83" s="157"/>
      <c r="J83" s="157"/>
    </row>
    <row r="84" spans="4:10" s="252" customFormat="1" ht="18" x14ac:dyDescent="0.35">
      <c r="D84" s="1"/>
      <c r="F84" s="74">
        <f>SUMIF($G$2:$G$61,G84,$D$2:$D$61)-SUMIF($G$2:$G$61,G84,$E$2:$E$61)</f>
        <v>0</v>
      </c>
      <c r="G84" s="234" t="s">
        <v>361</v>
      </c>
    </row>
    <row r="85" spans="4:10" x14ac:dyDescent="0.3">
      <c r="F85" s="75"/>
      <c r="G85" s="7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Clases de Costos">
          <x14:formula1>
            <xm:f>'1'!$A$2:$A$18</xm:f>
          </x14:formula1>
          <xm:sqref>G29:G33 G2:G25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G26:G28 G53:G59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V2713"/>
  <sheetViews>
    <sheetView zoomScale="70" zoomScaleNormal="70" workbookViewId="0">
      <selection activeCell="E39" sqref="E39"/>
    </sheetView>
  </sheetViews>
  <sheetFormatPr baseColWidth="10" defaultColWidth="11.33203125" defaultRowHeight="14.4" x14ac:dyDescent="0.3"/>
  <cols>
    <col min="1" max="1" width="13.109375" style="21" bestFit="1" customWidth="1"/>
    <col min="2" max="2" width="33.109375" style="25" customWidth="1"/>
    <col min="3" max="3" width="25" style="25" customWidth="1"/>
    <col min="4" max="4" width="27" style="25" customWidth="1"/>
    <col min="5" max="5" width="35.6640625" style="23" customWidth="1"/>
    <col min="6" max="6" width="29.77734375" style="23" customWidth="1"/>
    <col min="7" max="8" width="21.6640625" style="23" customWidth="1"/>
    <col min="9" max="9" width="28" style="23" customWidth="1"/>
    <col min="10" max="10" width="26.77734375" style="23" customWidth="1"/>
    <col min="11" max="11" width="25.33203125" style="23" customWidth="1"/>
    <col min="12" max="12" width="24.33203125" style="23" customWidth="1"/>
    <col min="13" max="14" width="17.33203125" style="23" customWidth="1"/>
    <col min="15" max="15" width="17.33203125" style="26" customWidth="1"/>
    <col min="16" max="16" width="17.33203125" style="23" customWidth="1"/>
    <col min="17" max="17" width="17.33203125" style="27" customWidth="1"/>
    <col min="18" max="22" width="17.33203125" style="15" customWidth="1"/>
    <col min="23" max="39" width="17.33203125" style="21" customWidth="1"/>
    <col min="40" max="40" width="17.6640625" style="21" customWidth="1"/>
    <col min="41" max="41" width="17.21875" style="21" customWidth="1"/>
    <col min="42" max="49" width="17.6640625" style="21" customWidth="1"/>
    <col min="50" max="16384" width="11.33203125" style="21"/>
  </cols>
  <sheetData>
    <row r="1" spans="1:48" x14ac:dyDescent="0.3">
      <c r="A1" s="57" t="s">
        <v>5</v>
      </c>
      <c r="B1" s="57" t="s">
        <v>45</v>
      </c>
      <c r="C1" s="57" t="s">
        <v>242</v>
      </c>
      <c r="D1" s="57" t="s">
        <v>243</v>
      </c>
      <c r="E1" s="57" t="s">
        <v>244</v>
      </c>
      <c r="F1" s="57" t="s">
        <v>245</v>
      </c>
      <c r="G1" s="103" t="s">
        <v>129</v>
      </c>
      <c r="H1" s="57" t="s">
        <v>246</v>
      </c>
      <c r="I1" s="57" t="s">
        <v>247</v>
      </c>
      <c r="J1" s="104" t="s">
        <v>130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48" ht="15" x14ac:dyDescent="0.25">
      <c r="A2" s="253" t="s">
        <v>1234</v>
      </c>
      <c r="B2" s="217" t="s">
        <v>186</v>
      </c>
      <c r="C2" s="217" t="s">
        <v>259</v>
      </c>
      <c r="D2" s="217" t="s">
        <v>223</v>
      </c>
      <c r="E2" s="218">
        <v>0</v>
      </c>
      <c r="F2" s="217">
        <v>2500000</v>
      </c>
      <c r="G2" s="267"/>
      <c r="H2" s="267"/>
      <c r="I2" s="267"/>
      <c r="J2" s="193"/>
      <c r="K2" s="211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1"/>
    </row>
    <row r="3" spans="1:48" x14ac:dyDescent="0.3">
      <c r="A3" s="253" t="s">
        <v>1234</v>
      </c>
      <c r="B3" s="217" t="s">
        <v>194</v>
      </c>
      <c r="C3" s="217" t="s">
        <v>195</v>
      </c>
      <c r="D3" s="218" t="s">
        <v>223</v>
      </c>
      <c r="E3" s="218">
        <v>9000</v>
      </c>
      <c r="F3" s="217">
        <v>0</v>
      </c>
      <c r="G3" s="267" t="s">
        <v>383</v>
      </c>
      <c r="H3" s="267">
        <v>2957</v>
      </c>
      <c r="I3" s="267" t="s">
        <v>285</v>
      </c>
      <c r="J3" s="188"/>
      <c r="K3" s="211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  <c r="AN3" s="105">
        <v>42614</v>
      </c>
      <c r="AO3" s="105">
        <v>42644</v>
      </c>
      <c r="AP3" s="105">
        <v>42675</v>
      </c>
      <c r="AQ3" s="105">
        <v>42705</v>
      </c>
      <c r="AR3" s="105">
        <v>42736</v>
      </c>
      <c r="AS3" s="105">
        <v>42767</v>
      </c>
      <c r="AT3" s="105">
        <v>42795</v>
      </c>
      <c r="AU3" s="105">
        <v>42826</v>
      </c>
      <c r="AV3" s="105">
        <v>42856</v>
      </c>
    </row>
    <row r="4" spans="1:48" x14ac:dyDescent="0.3">
      <c r="A4" s="253" t="s">
        <v>1235</v>
      </c>
      <c r="B4" s="217" t="s">
        <v>194</v>
      </c>
      <c r="C4" s="217" t="s">
        <v>195</v>
      </c>
      <c r="D4" s="218" t="s">
        <v>223</v>
      </c>
      <c r="E4" s="218">
        <v>11350</v>
      </c>
      <c r="F4" s="217">
        <v>0</v>
      </c>
      <c r="G4" s="267" t="s">
        <v>283</v>
      </c>
      <c r="H4" s="267">
        <v>47229019</v>
      </c>
      <c r="I4" s="267" t="s">
        <v>289</v>
      </c>
      <c r="J4" s="188"/>
      <c r="K4" s="211"/>
      <c r="L4" s="67" t="s">
        <v>82</v>
      </c>
      <c r="M4" s="68" t="s">
        <v>83</v>
      </c>
      <c r="N4" s="68" t="s">
        <v>83</v>
      </c>
      <c r="O4" s="68" t="s">
        <v>83</v>
      </c>
      <c r="P4" s="68" t="s">
        <v>83</v>
      </c>
      <c r="Q4" s="68" t="s">
        <v>83</v>
      </c>
      <c r="R4" s="68" t="s">
        <v>83</v>
      </c>
      <c r="S4" s="68" t="s">
        <v>83</v>
      </c>
      <c r="T4" s="68" t="s">
        <v>83</v>
      </c>
      <c r="U4" s="68" t="s">
        <v>83</v>
      </c>
      <c r="V4" s="68" t="s">
        <v>83</v>
      </c>
      <c r="W4" s="68" t="s">
        <v>83</v>
      </c>
      <c r="X4" s="68"/>
      <c r="Y4" s="68" t="s">
        <v>83</v>
      </c>
      <c r="Z4" s="68" t="s">
        <v>83</v>
      </c>
      <c r="AA4" s="68" t="s">
        <v>83</v>
      </c>
      <c r="AB4" s="68" t="s">
        <v>83</v>
      </c>
      <c r="AC4" s="68" t="s">
        <v>83</v>
      </c>
      <c r="AD4" s="68" t="s">
        <v>83</v>
      </c>
      <c r="AE4" s="68" t="s">
        <v>83</v>
      </c>
      <c r="AF4" s="68" t="s">
        <v>83</v>
      </c>
      <c r="AG4" s="68" t="s">
        <v>83</v>
      </c>
      <c r="AH4" s="68" t="s">
        <v>83</v>
      </c>
      <c r="AI4" s="68" t="s">
        <v>83</v>
      </c>
      <c r="AJ4" s="68" t="s">
        <v>83</v>
      </c>
      <c r="AK4" s="68" t="s">
        <v>83</v>
      </c>
      <c r="AL4" s="68" t="s">
        <v>83</v>
      </c>
      <c r="AM4" s="68" t="s">
        <v>83</v>
      </c>
      <c r="AN4" s="68" t="s">
        <v>83</v>
      </c>
      <c r="AO4" s="68" t="s">
        <v>83</v>
      </c>
      <c r="AP4" s="68" t="s">
        <v>1489</v>
      </c>
      <c r="AQ4" s="68" t="s">
        <v>1489</v>
      </c>
      <c r="AR4" s="68" t="s">
        <v>1489</v>
      </c>
      <c r="AS4" s="68" t="s">
        <v>1489</v>
      </c>
      <c r="AT4" s="68" t="s">
        <v>1489</v>
      </c>
      <c r="AU4" s="68" t="s">
        <v>83</v>
      </c>
    </row>
    <row r="5" spans="1:48" x14ac:dyDescent="0.3">
      <c r="A5" s="253" t="s">
        <v>1235</v>
      </c>
      <c r="B5" s="217" t="s">
        <v>194</v>
      </c>
      <c r="C5" s="217" t="s">
        <v>195</v>
      </c>
      <c r="D5" s="218" t="s">
        <v>223</v>
      </c>
      <c r="E5" s="218">
        <v>42570</v>
      </c>
      <c r="F5" s="217">
        <v>0</v>
      </c>
      <c r="G5" s="267" t="s">
        <v>283</v>
      </c>
      <c r="H5" s="267">
        <v>47229018</v>
      </c>
      <c r="I5" s="267" t="s">
        <v>286</v>
      </c>
      <c r="J5" s="188"/>
      <c r="K5" s="211"/>
      <c r="L5" s="66" t="s">
        <v>84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  <c r="AN5" s="24">
        <v>601495</v>
      </c>
      <c r="AO5" s="24">
        <v>347927</v>
      </c>
      <c r="AP5" s="24">
        <v>429199</v>
      </c>
      <c r="AQ5" s="24">
        <v>362015</v>
      </c>
      <c r="AR5" s="24">
        <v>441472</v>
      </c>
      <c r="AS5" s="24">
        <v>441472</v>
      </c>
      <c r="AT5" s="24">
        <v>448920</v>
      </c>
      <c r="AU5" s="24">
        <v>347450</v>
      </c>
    </row>
    <row r="6" spans="1:48" x14ac:dyDescent="0.3">
      <c r="A6" s="253" t="s">
        <v>1235</v>
      </c>
      <c r="B6" s="217" t="s">
        <v>194</v>
      </c>
      <c r="C6" s="217" t="s">
        <v>195</v>
      </c>
      <c r="D6" s="217" t="s">
        <v>223</v>
      </c>
      <c r="E6" s="317">
        <v>171843</v>
      </c>
      <c r="F6" s="217">
        <v>0</v>
      </c>
      <c r="G6" s="267" t="s">
        <v>283</v>
      </c>
      <c r="H6" s="267">
        <v>47229017</v>
      </c>
      <c r="I6" s="267" t="s">
        <v>285</v>
      </c>
      <c r="J6" s="188"/>
      <c r="K6" s="211"/>
      <c r="L6" s="66" t="s">
        <v>85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  <c r="AN6" s="24">
        <v>36995</v>
      </c>
      <c r="AO6" s="24">
        <v>70282</v>
      </c>
      <c r="AP6" s="24">
        <v>242992</v>
      </c>
      <c r="AQ6" s="24">
        <v>147570</v>
      </c>
      <c r="AR6" s="24">
        <v>103551</v>
      </c>
      <c r="AS6" s="24">
        <v>103551</v>
      </c>
      <c r="AT6" s="24">
        <v>52161</v>
      </c>
      <c r="AU6" s="24">
        <v>91761</v>
      </c>
    </row>
    <row r="7" spans="1:48" x14ac:dyDescent="0.3">
      <c r="A7" s="253" t="s">
        <v>1235</v>
      </c>
      <c r="B7" s="217" t="s">
        <v>194</v>
      </c>
      <c r="C7" s="217" t="s">
        <v>195</v>
      </c>
      <c r="D7" s="217" t="s">
        <v>223</v>
      </c>
      <c r="E7" s="218">
        <v>93000</v>
      </c>
      <c r="F7" s="217">
        <v>0</v>
      </c>
      <c r="G7" s="267" t="s">
        <v>258</v>
      </c>
      <c r="H7" s="267">
        <v>7002</v>
      </c>
      <c r="I7" s="267" t="s">
        <v>285</v>
      </c>
      <c r="J7" s="188"/>
      <c r="K7" s="211"/>
      <c r="L7" s="66" t="s">
        <v>86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  <c r="AN7" s="24">
        <v>164000</v>
      </c>
      <c r="AO7" s="24">
        <v>0</v>
      </c>
      <c r="AP7" s="24" t="s">
        <v>1490</v>
      </c>
      <c r="AQ7" s="24" t="s">
        <v>1490</v>
      </c>
      <c r="AR7" s="24" t="s">
        <v>1490</v>
      </c>
      <c r="AS7" s="24" t="s">
        <v>1490</v>
      </c>
      <c r="AT7" s="24" t="s">
        <v>1490</v>
      </c>
      <c r="AU7" s="24">
        <v>0</v>
      </c>
    </row>
    <row r="8" spans="1:48" x14ac:dyDescent="0.3">
      <c r="A8" s="253" t="s">
        <v>1235</v>
      </c>
      <c r="B8" s="217" t="s">
        <v>194</v>
      </c>
      <c r="C8" s="217" t="s">
        <v>195</v>
      </c>
      <c r="D8" s="218" t="s">
        <v>223</v>
      </c>
      <c r="E8" s="218">
        <v>57600</v>
      </c>
      <c r="F8" s="217">
        <v>0</v>
      </c>
      <c r="G8" s="267" t="s">
        <v>258</v>
      </c>
      <c r="H8" s="267">
        <v>7002</v>
      </c>
      <c r="I8" s="267" t="s">
        <v>286</v>
      </c>
      <c r="J8" s="188"/>
      <c r="K8" s="211"/>
      <c r="L8" s="66" t="s">
        <v>87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  <c r="AN8" s="24">
        <v>102238</v>
      </c>
      <c r="AO8" s="24">
        <v>59156</v>
      </c>
      <c r="AP8" s="24">
        <v>180494</v>
      </c>
      <c r="AQ8" s="24">
        <v>112092</v>
      </c>
      <c r="AR8" s="24">
        <v>149099</v>
      </c>
      <c r="AS8" s="24">
        <v>149099</v>
      </c>
      <c r="AT8" s="24">
        <v>85915</v>
      </c>
      <c r="AU8" s="24">
        <v>82543</v>
      </c>
    </row>
    <row r="9" spans="1:48" x14ac:dyDescent="0.3">
      <c r="A9" s="253" t="s">
        <v>1235</v>
      </c>
      <c r="B9" s="217" t="s">
        <v>194</v>
      </c>
      <c r="C9" s="217" t="s">
        <v>195</v>
      </c>
      <c r="D9" s="218" t="s">
        <v>223</v>
      </c>
      <c r="E9" s="218">
        <v>12430</v>
      </c>
      <c r="F9" s="217">
        <v>0</v>
      </c>
      <c r="G9" s="267" t="s">
        <v>287</v>
      </c>
      <c r="H9" s="267">
        <v>14766715</v>
      </c>
      <c r="I9" s="267" t="s">
        <v>89</v>
      </c>
      <c r="J9" s="188"/>
      <c r="K9" s="211"/>
      <c r="L9" s="66" t="s">
        <v>88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  <c r="AN9" s="24">
        <v>1189632</v>
      </c>
      <c r="AO9" s="24">
        <v>985166</v>
      </c>
      <c r="AP9" s="24">
        <v>1146857</v>
      </c>
      <c r="AQ9" s="24">
        <v>1051046</v>
      </c>
      <c r="AR9" s="24">
        <v>1268714</v>
      </c>
      <c r="AS9" s="24">
        <v>1268714</v>
      </c>
      <c r="AT9" s="24">
        <v>1041071</v>
      </c>
      <c r="AU9" s="24">
        <v>1252112</v>
      </c>
    </row>
    <row r="10" spans="1:48" x14ac:dyDescent="0.3">
      <c r="A10" s="253" t="s">
        <v>1235</v>
      </c>
      <c r="B10" s="217" t="s">
        <v>194</v>
      </c>
      <c r="C10" s="217" t="s">
        <v>195</v>
      </c>
      <c r="D10" s="218" t="s">
        <v>223</v>
      </c>
      <c r="E10" s="218">
        <v>15000</v>
      </c>
      <c r="F10" s="217">
        <v>0</v>
      </c>
      <c r="G10" s="267" t="s">
        <v>207</v>
      </c>
      <c r="H10" s="267">
        <v>12715</v>
      </c>
      <c r="I10" s="267" t="s">
        <v>282</v>
      </c>
      <c r="J10" s="188"/>
      <c r="K10" s="211"/>
      <c r="L10" s="66" t="s">
        <v>89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  <c r="AN10" s="24">
        <v>335210</v>
      </c>
      <c r="AO10" s="24">
        <v>986780</v>
      </c>
      <c r="AP10" s="24">
        <v>550534</v>
      </c>
      <c r="AQ10" s="24">
        <v>659901</v>
      </c>
      <c r="AR10" s="24">
        <v>406106</v>
      </c>
      <c r="AS10" s="24">
        <v>406106</v>
      </c>
      <c r="AT10" s="24">
        <v>840576</v>
      </c>
      <c r="AU10" s="24">
        <v>882871</v>
      </c>
    </row>
    <row r="11" spans="1:48" x14ac:dyDescent="0.3">
      <c r="A11" s="253" t="s">
        <v>1236</v>
      </c>
      <c r="B11" s="217" t="s">
        <v>194</v>
      </c>
      <c r="C11" s="217" t="s">
        <v>195</v>
      </c>
      <c r="D11" s="218" t="s">
        <v>223</v>
      </c>
      <c r="E11" s="218">
        <v>30130</v>
      </c>
      <c r="F11" s="217">
        <v>0</v>
      </c>
      <c r="G11" s="267" t="s">
        <v>283</v>
      </c>
      <c r="H11" s="267">
        <v>47229020</v>
      </c>
      <c r="I11" s="267" t="s">
        <v>284</v>
      </c>
      <c r="J11" s="188"/>
      <c r="K11" s="211"/>
      <c r="L11" s="66" t="s">
        <v>90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  <c r="AN11" s="24">
        <v>8360</v>
      </c>
      <c r="AO11" s="24">
        <v>30950</v>
      </c>
      <c r="AP11" s="24">
        <v>14532</v>
      </c>
      <c r="AQ11" s="24">
        <v>27560</v>
      </c>
      <c r="AR11" s="24">
        <v>60868</v>
      </c>
      <c r="AS11" s="24">
        <v>60868</v>
      </c>
      <c r="AT11" s="24">
        <v>14909</v>
      </c>
      <c r="AU11" s="24">
        <v>33487</v>
      </c>
    </row>
    <row r="12" spans="1:48" x14ac:dyDescent="0.3">
      <c r="A12" s="253" t="s">
        <v>1413</v>
      </c>
      <c r="B12" s="217" t="s">
        <v>194</v>
      </c>
      <c r="C12" s="217" t="s">
        <v>195</v>
      </c>
      <c r="D12" s="218" t="s">
        <v>223</v>
      </c>
      <c r="E12" s="218">
        <v>29000</v>
      </c>
      <c r="F12" s="217">
        <v>0</v>
      </c>
      <c r="G12" s="267" t="s">
        <v>207</v>
      </c>
      <c r="H12" s="267">
        <v>13194</v>
      </c>
      <c r="I12" s="267" t="s">
        <v>282</v>
      </c>
      <c r="J12" s="188"/>
      <c r="K12" s="211"/>
      <c r="L12" s="66" t="s">
        <v>121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  <c r="AN12" s="24">
        <v>135000</v>
      </c>
      <c r="AO12" s="24">
        <v>0</v>
      </c>
      <c r="AP12" s="24" t="s">
        <v>1490</v>
      </c>
      <c r="AQ12" s="24">
        <v>30000</v>
      </c>
      <c r="AR12" s="24">
        <v>90000</v>
      </c>
      <c r="AS12" s="24">
        <v>90000</v>
      </c>
      <c r="AT12" s="24" t="s">
        <v>1490</v>
      </c>
      <c r="AU12" s="24">
        <v>0</v>
      </c>
    </row>
    <row r="13" spans="1:48" x14ac:dyDescent="0.3">
      <c r="A13" s="253" t="s">
        <v>1413</v>
      </c>
      <c r="B13" s="217" t="s">
        <v>194</v>
      </c>
      <c r="C13" s="217" t="s">
        <v>195</v>
      </c>
      <c r="D13" s="218" t="s">
        <v>223</v>
      </c>
      <c r="E13" s="218">
        <v>62680</v>
      </c>
      <c r="F13" s="217">
        <v>0</v>
      </c>
      <c r="G13" s="267" t="s">
        <v>287</v>
      </c>
      <c r="H13" s="267">
        <v>14706678</v>
      </c>
      <c r="I13" s="267" t="s">
        <v>89</v>
      </c>
      <c r="J13" s="188"/>
      <c r="K13" s="211"/>
      <c r="L13" s="66" t="s">
        <v>221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  <c r="AN13" s="24">
        <v>34860</v>
      </c>
      <c r="AO13" s="24">
        <v>33620</v>
      </c>
      <c r="AP13" s="24">
        <v>125112</v>
      </c>
      <c r="AQ13" s="24">
        <v>64584</v>
      </c>
      <c r="AR13" s="24">
        <v>212687</v>
      </c>
      <c r="AS13" s="24">
        <v>212687</v>
      </c>
      <c r="AT13" s="24">
        <v>209247</v>
      </c>
      <c r="AU13" s="24">
        <v>64848</v>
      </c>
    </row>
    <row r="14" spans="1:48" x14ac:dyDescent="0.3">
      <c r="A14" s="253" t="s">
        <v>1244</v>
      </c>
      <c r="B14" s="217" t="s">
        <v>194</v>
      </c>
      <c r="C14" s="217" t="s">
        <v>195</v>
      </c>
      <c r="D14" s="218" t="s">
        <v>223</v>
      </c>
      <c r="E14" s="218">
        <v>8360</v>
      </c>
      <c r="F14" s="217">
        <v>0</v>
      </c>
      <c r="G14" s="267" t="s">
        <v>283</v>
      </c>
      <c r="H14" s="267">
        <v>47046187</v>
      </c>
      <c r="I14" s="267" t="s">
        <v>286</v>
      </c>
      <c r="J14" s="188"/>
      <c r="K14" s="211"/>
      <c r="L14" s="85" t="s">
        <v>91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  <c r="AN14" s="86">
        <f t="shared" ref="AN14" si="1">SUM(AN5:AN13)</f>
        <v>2607790</v>
      </c>
      <c r="AO14" s="86">
        <v>2480261</v>
      </c>
      <c r="AP14" s="86">
        <v>2564608</v>
      </c>
      <c r="AQ14" s="86">
        <v>2390184</v>
      </c>
      <c r="AR14" s="86">
        <v>2732497</v>
      </c>
      <c r="AS14" s="86">
        <v>2732497</v>
      </c>
      <c r="AT14" s="86">
        <v>2692799</v>
      </c>
      <c r="AU14" s="86">
        <v>2755072</v>
      </c>
    </row>
    <row r="15" spans="1:48" x14ac:dyDescent="0.3">
      <c r="A15" s="253" t="s">
        <v>1244</v>
      </c>
      <c r="B15" s="217" t="s">
        <v>194</v>
      </c>
      <c r="C15" s="217" t="s">
        <v>195</v>
      </c>
      <c r="D15" s="218" t="s">
        <v>223</v>
      </c>
      <c r="E15" s="317">
        <v>146830</v>
      </c>
      <c r="F15" s="217">
        <v>0</v>
      </c>
      <c r="G15" s="267" t="s">
        <v>283</v>
      </c>
      <c r="H15" s="267">
        <v>47046186</v>
      </c>
      <c r="I15" s="267" t="s">
        <v>285</v>
      </c>
      <c r="J15" s="188"/>
      <c r="K15" s="211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48" x14ac:dyDescent="0.3">
      <c r="A16" s="253" t="s">
        <v>1244</v>
      </c>
      <c r="B16" s="217" t="s">
        <v>194</v>
      </c>
      <c r="C16" s="217" t="s">
        <v>195</v>
      </c>
      <c r="D16" s="218" t="s">
        <v>223</v>
      </c>
      <c r="E16" s="218">
        <v>49170</v>
      </c>
      <c r="F16" s="217">
        <v>0</v>
      </c>
      <c r="G16" s="267" t="s">
        <v>283</v>
      </c>
      <c r="H16" s="267">
        <v>47046185</v>
      </c>
      <c r="I16" s="267" t="s">
        <v>286</v>
      </c>
      <c r="J16" s="188"/>
      <c r="K16" s="211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3">
      <c r="A17" s="253" t="s">
        <v>1244</v>
      </c>
      <c r="B17" s="217" t="s">
        <v>194</v>
      </c>
      <c r="C17" s="217" t="s">
        <v>195</v>
      </c>
      <c r="D17" s="218" t="s">
        <v>223</v>
      </c>
      <c r="E17" s="218">
        <v>17050</v>
      </c>
      <c r="F17" s="217">
        <v>0</v>
      </c>
      <c r="G17" s="267" t="s">
        <v>283</v>
      </c>
      <c r="H17" s="267">
        <v>47046184</v>
      </c>
      <c r="I17" s="267" t="s">
        <v>284</v>
      </c>
      <c r="J17" s="188"/>
      <c r="K17" s="211"/>
      <c r="L17" s="3"/>
      <c r="M17" s="5"/>
      <c r="N17"/>
      <c r="O17"/>
      <c r="P17"/>
      <c r="Q17"/>
      <c r="R17"/>
      <c r="S17" s="70"/>
      <c r="T17" s="70"/>
      <c r="U17" s="70"/>
      <c r="V17" s="70"/>
    </row>
    <row r="18" spans="1:22" x14ac:dyDescent="0.3">
      <c r="A18" s="253" t="s">
        <v>1244</v>
      </c>
      <c r="B18" s="217" t="s">
        <v>194</v>
      </c>
      <c r="C18" s="217" t="s">
        <v>195</v>
      </c>
      <c r="D18" s="217" t="s">
        <v>223</v>
      </c>
      <c r="E18" s="218">
        <v>32000</v>
      </c>
      <c r="F18" s="217">
        <v>0</v>
      </c>
      <c r="G18" s="267" t="s">
        <v>258</v>
      </c>
      <c r="H18" s="267">
        <v>7238</v>
      </c>
      <c r="I18" s="267" t="s">
        <v>286</v>
      </c>
      <c r="J18" s="188"/>
      <c r="K18" s="211"/>
      <c r="L18" s="3"/>
      <c r="M18" s="5"/>
      <c r="N18"/>
      <c r="O18"/>
      <c r="P18"/>
      <c r="Q18"/>
      <c r="R18"/>
      <c r="S18" s="70"/>
      <c r="T18" s="70"/>
      <c r="U18" s="70"/>
      <c r="V18" s="70"/>
    </row>
    <row r="19" spans="1:22" x14ac:dyDescent="0.3">
      <c r="A19" s="253" t="s">
        <v>1244</v>
      </c>
      <c r="B19" s="217" t="s">
        <v>194</v>
      </c>
      <c r="C19" s="217" t="s">
        <v>195</v>
      </c>
      <c r="D19" s="217" t="s">
        <v>223</v>
      </c>
      <c r="E19" s="218">
        <v>76200</v>
      </c>
      <c r="F19" s="217">
        <v>0</v>
      </c>
      <c r="G19" s="267" t="s">
        <v>258</v>
      </c>
      <c r="H19" s="267">
        <v>7238</v>
      </c>
      <c r="I19" s="267" t="s">
        <v>285</v>
      </c>
      <c r="J19" s="188"/>
      <c r="K19" s="66" t="s">
        <v>286</v>
      </c>
      <c r="L19" s="3"/>
      <c r="M19" s="5"/>
      <c r="N19"/>
      <c r="O19"/>
      <c r="P19"/>
      <c r="Q19"/>
      <c r="R19"/>
      <c r="S19" s="70"/>
      <c r="T19" s="70"/>
      <c r="U19" s="70"/>
      <c r="V19" s="70"/>
    </row>
    <row r="20" spans="1:22" x14ac:dyDescent="0.3">
      <c r="A20" s="253" t="s">
        <v>1244</v>
      </c>
      <c r="B20" s="217" t="s">
        <v>194</v>
      </c>
      <c r="C20" s="217" t="s">
        <v>195</v>
      </c>
      <c r="D20" s="217" t="s">
        <v>223</v>
      </c>
      <c r="E20" s="218">
        <v>14380</v>
      </c>
      <c r="F20" s="217">
        <v>0</v>
      </c>
      <c r="G20" s="267" t="s">
        <v>283</v>
      </c>
      <c r="H20" s="267">
        <v>53036422</v>
      </c>
      <c r="I20" s="267" t="s">
        <v>221</v>
      </c>
      <c r="J20" s="188"/>
      <c r="K20" s="66" t="s">
        <v>284</v>
      </c>
      <c r="L20" s="3"/>
      <c r="M20" s="5"/>
      <c r="N20"/>
      <c r="O20"/>
      <c r="P20"/>
      <c r="Q20"/>
      <c r="R20"/>
      <c r="S20" s="70"/>
      <c r="T20" s="70"/>
      <c r="U20" s="70"/>
      <c r="V20" s="70"/>
    </row>
    <row r="21" spans="1:22" x14ac:dyDescent="0.3">
      <c r="A21" s="253" t="s">
        <v>1244</v>
      </c>
      <c r="B21" s="217" t="s">
        <v>194</v>
      </c>
      <c r="C21" s="217" t="s">
        <v>195</v>
      </c>
      <c r="D21" s="218" t="s">
        <v>223</v>
      </c>
      <c r="E21" s="218">
        <v>20070</v>
      </c>
      <c r="F21" s="217">
        <v>0</v>
      </c>
      <c r="G21" s="267" t="s">
        <v>283</v>
      </c>
      <c r="H21" s="267">
        <v>53036421</v>
      </c>
      <c r="I21" s="267" t="s">
        <v>284</v>
      </c>
      <c r="J21" s="188"/>
      <c r="K21" s="66" t="s">
        <v>310</v>
      </c>
      <c r="L21" s="3"/>
      <c r="M21" s="5"/>
      <c r="N21"/>
      <c r="O21"/>
      <c r="P21"/>
      <c r="Q21"/>
      <c r="R21"/>
      <c r="S21" s="70"/>
      <c r="T21" s="70"/>
      <c r="U21" s="70"/>
      <c r="V21" s="70"/>
    </row>
    <row r="22" spans="1:22" x14ac:dyDescent="0.3">
      <c r="A22" s="253" t="s">
        <v>1244</v>
      </c>
      <c r="B22" s="217" t="s">
        <v>194</v>
      </c>
      <c r="C22" s="217" t="s">
        <v>195</v>
      </c>
      <c r="D22" s="218" t="s">
        <v>223</v>
      </c>
      <c r="E22" s="218">
        <v>70862</v>
      </c>
      <c r="F22" s="217">
        <v>0</v>
      </c>
      <c r="G22" s="267" t="s">
        <v>283</v>
      </c>
      <c r="H22" s="267">
        <v>53036420</v>
      </c>
      <c r="I22" s="267" t="s">
        <v>285</v>
      </c>
      <c r="J22" s="188"/>
      <c r="K22" s="66" t="s">
        <v>282</v>
      </c>
      <c r="L22" s="3"/>
      <c r="M22" s="5"/>
      <c r="N22"/>
      <c r="O22"/>
      <c r="P22"/>
      <c r="Q22"/>
      <c r="R22"/>
      <c r="S22" s="70"/>
      <c r="T22" s="70"/>
      <c r="U22" s="70"/>
      <c r="V22" s="70"/>
    </row>
    <row r="23" spans="1:22" x14ac:dyDescent="0.3">
      <c r="A23" s="253" t="s">
        <v>1244</v>
      </c>
      <c r="B23" s="217" t="s">
        <v>194</v>
      </c>
      <c r="C23" s="217" t="s">
        <v>195</v>
      </c>
      <c r="D23" s="218" t="s">
        <v>223</v>
      </c>
      <c r="E23" s="218">
        <v>14352</v>
      </c>
      <c r="F23" s="217">
        <v>0</v>
      </c>
      <c r="G23" s="267" t="s">
        <v>288</v>
      </c>
      <c r="H23" s="267">
        <v>6700050</v>
      </c>
      <c r="I23" s="267" t="s">
        <v>285</v>
      </c>
      <c r="J23" s="188"/>
      <c r="K23" s="66" t="s">
        <v>285</v>
      </c>
      <c r="L23" s="3"/>
      <c r="M23" s="5"/>
      <c r="N23"/>
      <c r="O23"/>
      <c r="P23"/>
      <c r="Q23"/>
      <c r="R23"/>
      <c r="S23" s="70"/>
      <c r="T23" s="70"/>
      <c r="U23" s="70"/>
      <c r="V23" s="70"/>
    </row>
    <row r="24" spans="1:22" x14ac:dyDescent="0.3">
      <c r="A24" s="253" t="s">
        <v>1244</v>
      </c>
      <c r="B24" s="217" t="s">
        <v>194</v>
      </c>
      <c r="C24" s="217" t="s">
        <v>195</v>
      </c>
      <c r="D24" s="218" t="s">
        <v>223</v>
      </c>
      <c r="E24" s="218">
        <v>44576</v>
      </c>
      <c r="F24" s="217">
        <v>0</v>
      </c>
      <c r="G24" s="267" t="s">
        <v>288</v>
      </c>
      <c r="H24" s="267">
        <v>6700049</v>
      </c>
      <c r="I24" s="267" t="s">
        <v>285</v>
      </c>
      <c r="J24" s="188"/>
      <c r="K24" s="66" t="s">
        <v>89</v>
      </c>
      <c r="L24" s="21"/>
      <c r="M24" s="5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3">
      <c r="A25" s="253" t="s">
        <v>1244</v>
      </c>
      <c r="B25" s="217" t="s">
        <v>194</v>
      </c>
      <c r="C25" s="217" t="s">
        <v>195</v>
      </c>
      <c r="D25" s="218" t="s">
        <v>223</v>
      </c>
      <c r="E25" s="218">
        <v>9000</v>
      </c>
      <c r="F25" s="217">
        <v>0</v>
      </c>
      <c r="G25" s="267" t="s">
        <v>288</v>
      </c>
      <c r="H25" s="267">
        <v>6700048</v>
      </c>
      <c r="I25" s="267" t="s">
        <v>285</v>
      </c>
      <c r="J25" s="188"/>
      <c r="K25" s="66" t="s">
        <v>289</v>
      </c>
      <c r="L25" s="21"/>
      <c r="M25" s="5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3">
      <c r="A26" s="253" t="s">
        <v>1474</v>
      </c>
      <c r="B26" s="217" t="s">
        <v>194</v>
      </c>
      <c r="C26" s="217" t="s">
        <v>195</v>
      </c>
      <c r="D26" s="218" t="s">
        <v>223</v>
      </c>
      <c r="E26" s="218">
        <v>43000</v>
      </c>
      <c r="F26" s="217">
        <v>0</v>
      </c>
      <c r="G26" s="267" t="s">
        <v>258</v>
      </c>
      <c r="H26" s="267">
        <v>7416</v>
      </c>
      <c r="I26" s="267" t="s">
        <v>286</v>
      </c>
      <c r="J26" s="188"/>
      <c r="K26" s="66" t="s">
        <v>121</v>
      </c>
      <c r="L26" s="21"/>
      <c r="M26" s="5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3">
      <c r="A27" s="253" t="s">
        <v>1474</v>
      </c>
      <c r="B27" s="217" t="s">
        <v>194</v>
      </c>
      <c r="C27" s="217" t="s">
        <v>195</v>
      </c>
      <c r="D27" s="218" t="s">
        <v>223</v>
      </c>
      <c r="E27" s="218">
        <v>76000</v>
      </c>
      <c r="F27" s="217">
        <v>0</v>
      </c>
      <c r="G27" s="267" t="s">
        <v>258</v>
      </c>
      <c r="H27" s="267">
        <v>7416</v>
      </c>
      <c r="I27" s="267" t="s">
        <v>285</v>
      </c>
      <c r="J27" s="188"/>
      <c r="K27" s="66" t="s">
        <v>221</v>
      </c>
      <c r="L27" s="21"/>
      <c r="M27" s="5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3">
      <c r="A28" s="253" t="s">
        <v>1474</v>
      </c>
      <c r="B28" s="217" t="s">
        <v>194</v>
      </c>
      <c r="C28" s="217" t="s">
        <v>195</v>
      </c>
      <c r="D28" s="218" t="s">
        <v>223</v>
      </c>
      <c r="E28" s="317">
        <v>99790</v>
      </c>
      <c r="F28" s="217">
        <v>0</v>
      </c>
      <c r="G28" s="267" t="s">
        <v>777</v>
      </c>
      <c r="H28" s="267">
        <v>82800443</v>
      </c>
      <c r="I28" s="267" t="s">
        <v>89</v>
      </c>
      <c r="J28" s="188"/>
      <c r="K28" s="211"/>
      <c r="L28" s="21"/>
      <c r="M28" s="5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3">
      <c r="A29" s="253" t="s">
        <v>1474</v>
      </c>
      <c r="B29" s="217" t="s">
        <v>194</v>
      </c>
      <c r="C29" s="217" t="s">
        <v>195</v>
      </c>
      <c r="D29" s="218" t="s">
        <v>223</v>
      </c>
      <c r="E29" s="218">
        <v>48850</v>
      </c>
      <c r="F29" s="217">
        <v>0</v>
      </c>
      <c r="G29" s="267" t="s">
        <v>777</v>
      </c>
      <c r="H29" s="267">
        <v>82800442</v>
      </c>
      <c r="I29" s="267" t="s">
        <v>89</v>
      </c>
      <c r="J29" s="188"/>
      <c r="K29" s="211"/>
      <c r="L29" s="21"/>
      <c r="M29" s="5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3">
      <c r="A30" s="253" t="s">
        <v>1474</v>
      </c>
      <c r="B30" s="217" t="s">
        <v>194</v>
      </c>
      <c r="C30" s="217" t="s">
        <v>195</v>
      </c>
      <c r="D30" s="217" t="s">
        <v>223</v>
      </c>
      <c r="E30" s="218">
        <v>6951</v>
      </c>
      <c r="F30" s="217">
        <v>0</v>
      </c>
      <c r="G30" s="267" t="s">
        <v>777</v>
      </c>
      <c r="H30" s="267">
        <v>82800441</v>
      </c>
      <c r="I30" s="267" t="s">
        <v>89</v>
      </c>
      <c r="J30" s="188"/>
      <c r="K30" s="211"/>
      <c r="L30" s="21"/>
      <c r="M30" s="5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3">
      <c r="A31" s="253" t="s">
        <v>1474</v>
      </c>
      <c r="B31" s="217" t="s">
        <v>194</v>
      </c>
      <c r="C31" s="217" t="s">
        <v>195</v>
      </c>
      <c r="D31" s="217" t="s">
        <v>223</v>
      </c>
      <c r="E31" s="218">
        <v>28940</v>
      </c>
      <c r="F31" s="217">
        <v>0</v>
      </c>
      <c r="G31" s="267" t="s">
        <v>283</v>
      </c>
      <c r="H31" s="267">
        <v>47187048</v>
      </c>
      <c r="I31" s="267" t="s">
        <v>221</v>
      </c>
      <c r="J31" s="188"/>
      <c r="K31" s="211"/>
      <c r="L31" s="21"/>
      <c r="M31" s="5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1" customFormat="1" x14ac:dyDescent="0.3">
      <c r="A32" s="253" t="s">
        <v>1474</v>
      </c>
      <c r="B32" s="217" t="s">
        <v>194</v>
      </c>
      <c r="C32" s="217" t="s">
        <v>195</v>
      </c>
      <c r="D32" s="217" t="s">
        <v>223</v>
      </c>
      <c r="E32" s="218">
        <v>11940</v>
      </c>
      <c r="F32" s="217">
        <v>0</v>
      </c>
      <c r="G32" s="267" t="s">
        <v>283</v>
      </c>
      <c r="H32" s="267">
        <v>47229107</v>
      </c>
      <c r="I32" s="267" t="s">
        <v>289</v>
      </c>
      <c r="J32" s="188"/>
      <c r="K32" s="211"/>
      <c r="M32" s="5"/>
      <c r="S32" s="70"/>
      <c r="T32" s="70"/>
      <c r="U32" s="70"/>
      <c r="V32" s="70"/>
    </row>
    <row r="33" spans="1:22" s="161" customFormat="1" x14ac:dyDescent="0.3">
      <c r="A33" s="253" t="s">
        <v>1474</v>
      </c>
      <c r="B33" s="191" t="s">
        <v>194</v>
      </c>
      <c r="C33" s="220" t="s">
        <v>195</v>
      </c>
      <c r="D33" s="221" t="s">
        <v>223</v>
      </c>
      <c r="E33" s="221">
        <v>1520</v>
      </c>
      <c r="F33" s="191">
        <v>0</v>
      </c>
      <c r="G33" s="267" t="s">
        <v>283</v>
      </c>
      <c r="H33" s="267">
        <v>47229108</v>
      </c>
      <c r="I33" s="267" t="s">
        <v>285</v>
      </c>
      <c r="J33" s="188"/>
      <c r="K33" s="211"/>
      <c r="M33" s="5"/>
      <c r="S33" s="70"/>
      <c r="T33" s="70"/>
      <c r="U33" s="70"/>
      <c r="V33" s="70"/>
    </row>
    <row r="34" spans="1:22" s="161" customFormat="1" x14ac:dyDescent="0.3">
      <c r="A34" s="253" t="s">
        <v>1474</v>
      </c>
      <c r="B34" s="191" t="s">
        <v>194</v>
      </c>
      <c r="C34" s="220" t="s">
        <v>195</v>
      </c>
      <c r="D34" s="221" t="s">
        <v>223</v>
      </c>
      <c r="E34" s="221">
        <v>7590</v>
      </c>
      <c r="F34" s="191">
        <v>0</v>
      </c>
      <c r="G34" s="267" t="s">
        <v>283</v>
      </c>
      <c r="H34" s="267">
        <v>47229106</v>
      </c>
      <c r="I34" s="267" t="s">
        <v>284</v>
      </c>
      <c r="J34" s="188"/>
      <c r="K34" s="211"/>
      <c r="M34" s="5"/>
      <c r="S34" s="70"/>
      <c r="T34" s="70"/>
      <c r="U34" s="70"/>
      <c r="V34" s="70"/>
    </row>
    <row r="35" spans="1:22" s="161" customFormat="1" x14ac:dyDescent="0.3">
      <c r="A35" s="253" t="s">
        <v>1474</v>
      </c>
      <c r="B35" s="191" t="s">
        <v>194</v>
      </c>
      <c r="C35" s="220" t="s">
        <v>195</v>
      </c>
      <c r="D35" s="209" t="s">
        <v>223</v>
      </c>
      <c r="E35" s="221">
        <v>12460</v>
      </c>
      <c r="F35" s="191">
        <v>0</v>
      </c>
      <c r="G35" s="267" t="s">
        <v>283</v>
      </c>
      <c r="H35" s="267">
        <v>47229105</v>
      </c>
      <c r="I35" s="267" t="s">
        <v>284</v>
      </c>
      <c r="J35" s="188"/>
      <c r="K35" s="211"/>
      <c r="M35" s="5"/>
      <c r="S35" s="70"/>
      <c r="T35" s="70"/>
      <c r="U35" s="70"/>
      <c r="V35" s="70"/>
    </row>
    <row r="36" spans="1:22" s="161" customFormat="1" x14ac:dyDescent="0.3">
      <c r="A36" s="253" t="s">
        <v>1474</v>
      </c>
      <c r="B36" s="191" t="s">
        <v>194</v>
      </c>
      <c r="C36" s="220" t="s">
        <v>195</v>
      </c>
      <c r="D36" s="209" t="s">
        <v>223</v>
      </c>
      <c r="E36" s="221">
        <v>27150</v>
      </c>
      <c r="F36" s="191">
        <v>0</v>
      </c>
      <c r="G36" s="267" t="s">
        <v>283</v>
      </c>
      <c r="H36" s="267">
        <v>47229104</v>
      </c>
      <c r="I36" s="267" t="s">
        <v>286</v>
      </c>
      <c r="J36" s="188"/>
      <c r="K36" s="211"/>
      <c r="M36" s="5"/>
      <c r="S36" s="70"/>
      <c r="T36" s="70"/>
      <c r="U36" s="70"/>
      <c r="V36" s="70"/>
    </row>
    <row r="37" spans="1:22" s="161" customFormat="1" x14ac:dyDescent="0.3">
      <c r="A37" s="253" t="s">
        <v>1474</v>
      </c>
      <c r="B37" s="191" t="s">
        <v>194</v>
      </c>
      <c r="C37" s="220" t="s">
        <v>195</v>
      </c>
      <c r="D37" s="209" t="s">
        <v>223</v>
      </c>
      <c r="E37" s="318">
        <v>183077</v>
      </c>
      <c r="F37" s="191">
        <v>0</v>
      </c>
      <c r="G37" s="267" t="s">
        <v>283</v>
      </c>
      <c r="H37" s="267">
        <v>47229103</v>
      </c>
      <c r="I37" s="267" t="s">
        <v>285</v>
      </c>
      <c r="J37" s="188"/>
      <c r="K37" s="211"/>
      <c r="M37" s="5"/>
      <c r="S37" s="70"/>
      <c r="T37" s="70"/>
      <c r="U37" s="70"/>
      <c r="V37" s="70"/>
    </row>
    <row r="38" spans="1:22" s="161" customFormat="1" x14ac:dyDescent="0.3">
      <c r="A38" s="253" t="s">
        <v>1474</v>
      </c>
      <c r="B38" s="191" t="s">
        <v>194</v>
      </c>
      <c r="C38" s="220" t="s">
        <v>195</v>
      </c>
      <c r="D38" s="209" t="s">
        <v>223</v>
      </c>
      <c r="E38" s="221">
        <v>15950</v>
      </c>
      <c r="F38" s="191">
        <v>0</v>
      </c>
      <c r="G38" s="267" t="s">
        <v>283</v>
      </c>
      <c r="H38" s="267">
        <v>47229102</v>
      </c>
      <c r="I38" s="267" t="s">
        <v>286</v>
      </c>
      <c r="J38" s="188"/>
      <c r="K38" s="211"/>
      <c r="M38" s="5"/>
      <c r="S38" s="70"/>
      <c r="T38" s="70"/>
      <c r="U38" s="70"/>
      <c r="V38" s="70"/>
    </row>
    <row r="39" spans="1:22" s="161" customFormat="1" x14ac:dyDescent="0.3">
      <c r="A39" s="253" t="s">
        <v>1254</v>
      </c>
      <c r="B39" s="191" t="s">
        <v>194</v>
      </c>
      <c r="C39" s="220" t="s">
        <v>195</v>
      </c>
      <c r="D39" s="209" t="s">
        <v>223</v>
      </c>
      <c r="E39" s="221">
        <v>5500</v>
      </c>
      <c r="F39" s="191">
        <v>0</v>
      </c>
      <c r="G39" s="267" t="s">
        <v>207</v>
      </c>
      <c r="H39" s="267">
        <v>13977</v>
      </c>
      <c r="I39" s="267" t="s">
        <v>282</v>
      </c>
      <c r="J39" s="188"/>
      <c r="K39" s="211"/>
      <c r="M39" s="5"/>
      <c r="S39" s="70"/>
      <c r="T39" s="70"/>
      <c r="U39" s="70"/>
      <c r="V39" s="70"/>
    </row>
    <row r="40" spans="1:22" s="161" customFormat="1" x14ac:dyDescent="0.3">
      <c r="A40" s="253" t="s">
        <v>1256</v>
      </c>
      <c r="B40" s="191" t="s">
        <v>194</v>
      </c>
      <c r="C40" s="220" t="s">
        <v>195</v>
      </c>
      <c r="D40" s="209" t="s">
        <v>223</v>
      </c>
      <c r="E40" s="221">
        <v>19990</v>
      </c>
      <c r="F40" s="191">
        <v>0</v>
      </c>
      <c r="G40" s="267" t="s">
        <v>283</v>
      </c>
      <c r="H40" s="267">
        <v>47048861</v>
      </c>
      <c r="I40" s="267" t="s">
        <v>89</v>
      </c>
      <c r="J40" s="188"/>
      <c r="K40" s="211"/>
      <c r="M40" s="5"/>
      <c r="S40" s="70"/>
      <c r="T40" s="70"/>
      <c r="U40" s="70"/>
      <c r="V40" s="70"/>
    </row>
    <row r="41" spans="1:22" s="161" customFormat="1" x14ac:dyDescent="0.3">
      <c r="A41" s="253" t="s">
        <v>1256</v>
      </c>
      <c r="B41" s="191" t="s">
        <v>194</v>
      </c>
      <c r="C41" s="220" t="s">
        <v>195</v>
      </c>
      <c r="D41" s="209" t="s">
        <v>223</v>
      </c>
      <c r="E41" s="221">
        <v>37050</v>
      </c>
      <c r="F41" s="191">
        <v>0</v>
      </c>
      <c r="G41" s="267" t="s">
        <v>283</v>
      </c>
      <c r="H41" s="267">
        <v>47048860</v>
      </c>
      <c r="I41" s="267" t="s">
        <v>286</v>
      </c>
      <c r="J41" s="188"/>
      <c r="K41" s="211"/>
      <c r="M41" s="5"/>
      <c r="S41" s="70"/>
      <c r="T41" s="70"/>
      <c r="U41" s="70"/>
      <c r="V41" s="70"/>
    </row>
    <row r="42" spans="1:22" s="161" customFormat="1" x14ac:dyDescent="0.3">
      <c r="A42" s="253" t="s">
        <v>1256</v>
      </c>
      <c r="B42" s="191" t="s">
        <v>194</v>
      </c>
      <c r="C42" s="220" t="s">
        <v>195</v>
      </c>
      <c r="D42" s="209" t="s">
        <v>223</v>
      </c>
      <c r="E42" s="318">
        <v>141245</v>
      </c>
      <c r="F42" s="191">
        <v>0</v>
      </c>
      <c r="G42" s="267" t="s">
        <v>283</v>
      </c>
      <c r="H42" s="267">
        <v>47048859</v>
      </c>
      <c r="I42" s="267" t="s">
        <v>285</v>
      </c>
      <c r="J42" s="188"/>
      <c r="K42" s="211"/>
      <c r="M42" s="5"/>
      <c r="S42" s="70"/>
      <c r="T42" s="70"/>
      <c r="U42" s="70"/>
      <c r="V42" s="70"/>
    </row>
    <row r="43" spans="1:22" s="161" customFormat="1" x14ac:dyDescent="0.3">
      <c r="A43" s="253" t="s">
        <v>1256</v>
      </c>
      <c r="B43" s="191" t="s">
        <v>194</v>
      </c>
      <c r="C43" s="220" t="s">
        <v>195</v>
      </c>
      <c r="D43" s="209" t="s">
        <v>223</v>
      </c>
      <c r="E43" s="221">
        <v>21300</v>
      </c>
      <c r="F43" s="191">
        <v>0</v>
      </c>
      <c r="G43" s="267" t="s">
        <v>258</v>
      </c>
      <c r="H43" s="267">
        <v>7519</v>
      </c>
      <c r="I43" s="267" t="s">
        <v>286</v>
      </c>
      <c r="J43" s="188"/>
      <c r="K43" s="211"/>
      <c r="M43" s="5"/>
      <c r="S43" s="70"/>
      <c r="T43" s="70"/>
      <c r="U43" s="70"/>
      <c r="V43" s="70"/>
    </row>
    <row r="44" spans="1:22" s="161" customFormat="1" x14ac:dyDescent="0.3">
      <c r="A44" s="253" t="s">
        <v>1256</v>
      </c>
      <c r="B44" s="191" t="s">
        <v>194</v>
      </c>
      <c r="C44" s="220" t="s">
        <v>195</v>
      </c>
      <c r="D44" s="209" t="s">
        <v>223</v>
      </c>
      <c r="E44" s="221">
        <v>95600</v>
      </c>
      <c r="F44" s="191">
        <v>0</v>
      </c>
      <c r="G44" s="267" t="s">
        <v>258</v>
      </c>
      <c r="H44" s="267">
        <v>7519</v>
      </c>
      <c r="I44" s="267" t="s">
        <v>285</v>
      </c>
      <c r="J44" s="188"/>
      <c r="K44" s="211"/>
      <c r="M44" s="5"/>
      <c r="S44" s="70"/>
      <c r="T44" s="70"/>
      <c r="U44" s="70"/>
      <c r="V44" s="70"/>
    </row>
    <row r="45" spans="1:22" s="161" customFormat="1" x14ac:dyDescent="0.3">
      <c r="A45" s="253" t="s">
        <v>1256</v>
      </c>
      <c r="B45" s="191" t="s">
        <v>194</v>
      </c>
      <c r="C45" s="220" t="s">
        <v>195</v>
      </c>
      <c r="D45" s="209" t="s">
        <v>223</v>
      </c>
      <c r="E45" s="221">
        <v>57830</v>
      </c>
      <c r="F45" s="191">
        <v>0</v>
      </c>
      <c r="G45" s="267" t="s">
        <v>777</v>
      </c>
      <c r="H45" s="267">
        <v>82908429</v>
      </c>
      <c r="I45" s="267" t="s">
        <v>89</v>
      </c>
      <c r="J45" s="188"/>
      <c r="K45" s="211"/>
      <c r="M45" s="5"/>
      <c r="S45" s="70"/>
      <c r="T45" s="70"/>
      <c r="U45" s="70"/>
      <c r="V45" s="70"/>
    </row>
    <row r="46" spans="1:22" s="161" customFormat="1" x14ac:dyDescent="0.3">
      <c r="A46" s="253" t="s">
        <v>1256</v>
      </c>
      <c r="B46" s="191" t="s">
        <v>194</v>
      </c>
      <c r="C46" s="220" t="s">
        <v>195</v>
      </c>
      <c r="D46" s="209" t="s">
        <v>223</v>
      </c>
      <c r="E46" s="221">
        <v>21528</v>
      </c>
      <c r="F46" s="191">
        <v>0</v>
      </c>
      <c r="G46" s="267" t="s">
        <v>288</v>
      </c>
      <c r="H46" s="267">
        <v>6725785</v>
      </c>
      <c r="I46" s="267" t="s">
        <v>221</v>
      </c>
      <c r="J46" s="188"/>
      <c r="K46" s="211"/>
      <c r="M46" s="5"/>
      <c r="S46" s="70"/>
      <c r="T46" s="70"/>
      <c r="U46" s="70"/>
      <c r="V46" s="70"/>
    </row>
    <row r="47" spans="1:22" s="161" customFormat="1" x14ac:dyDescent="0.3">
      <c r="A47" s="253" t="s">
        <v>1256</v>
      </c>
      <c r="B47" s="217" t="s">
        <v>194</v>
      </c>
      <c r="C47" s="217" t="s">
        <v>195</v>
      </c>
      <c r="D47" s="218" t="s">
        <v>223</v>
      </c>
      <c r="E47" s="218">
        <v>4697</v>
      </c>
      <c r="F47" s="217">
        <v>0</v>
      </c>
      <c r="G47" s="267" t="s">
        <v>288</v>
      </c>
      <c r="H47" s="267">
        <v>6725784</v>
      </c>
      <c r="I47" s="267" t="s">
        <v>289</v>
      </c>
      <c r="J47" s="188"/>
      <c r="M47" s="5"/>
      <c r="S47" s="70"/>
      <c r="T47" s="70"/>
      <c r="U47" s="70"/>
      <c r="V47" s="70"/>
    </row>
    <row r="48" spans="1:22" s="161" customFormat="1" x14ac:dyDescent="0.3">
      <c r="A48" s="253" t="s">
        <v>1256</v>
      </c>
      <c r="B48" s="217" t="s">
        <v>194</v>
      </c>
      <c r="C48" s="217" t="s">
        <v>195</v>
      </c>
      <c r="D48" s="218" t="s">
        <v>223</v>
      </c>
      <c r="E48" s="218">
        <v>10001</v>
      </c>
      <c r="F48" s="217">
        <v>0</v>
      </c>
      <c r="G48" s="267" t="s">
        <v>207</v>
      </c>
      <c r="H48" s="267">
        <v>14141</v>
      </c>
      <c r="I48" s="267" t="s">
        <v>282</v>
      </c>
      <c r="J48" s="188"/>
      <c r="M48" s="5"/>
      <c r="S48" s="70"/>
      <c r="T48" s="70"/>
      <c r="U48" s="70"/>
      <c r="V48" s="70"/>
    </row>
    <row r="49" spans="1:22" s="161" customFormat="1" x14ac:dyDescent="0.3">
      <c r="A49" s="253" t="s">
        <v>1257</v>
      </c>
      <c r="B49" s="217" t="s">
        <v>186</v>
      </c>
      <c r="C49" s="217" t="s">
        <v>259</v>
      </c>
      <c r="D49" s="218" t="s">
        <v>223</v>
      </c>
      <c r="E49" s="218">
        <v>0</v>
      </c>
      <c r="F49" s="217">
        <v>1000000</v>
      </c>
      <c r="G49" s="267"/>
      <c r="H49" s="267"/>
      <c r="I49" s="267"/>
      <c r="J49" s="188"/>
      <c r="M49" s="5"/>
      <c r="S49" s="70"/>
      <c r="T49" s="70"/>
      <c r="U49" s="70"/>
      <c r="V49" s="70"/>
    </row>
    <row r="50" spans="1:22" s="161" customFormat="1" x14ac:dyDescent="0.3">
      <c r="A50" s="253" t="s">
        <v>1257</v>
      </c>
      <c r="B50" s="217" t="s">
        <v>194</v>
      </c>
      <c r="C50" s="217" t="s">
        <v>195</v>
      </c>
      <c r="D50" s="218" t="s">
        <v>223</v>
      </c>
      <c r="E50" s="218">
        <v>23042</v>
      </c>
      <c r="F50" s="217">
        <v>0</v>
      </c>
      <c r="G50" s="267" t="s">
        <v>207</v>
      </c>
      <c r="H50" s="267">
        <v>14186</v>
      </c>
      <c r="I50" s="267" t="s">
        <v>282</v>
      </c>
      <c r="J50" s="188"/>
      <c r="M50" s="5"/>
      <c r="S50" s="70"/>
      <c r="T50" s="70"/>
      <c r="U50" s="70"/>
      <c r="V50" s="70"/>
    </row>
    <row r="51" spans="1:22" s="161" customFormat="1" x14ac:dyDescent="0.3">
      <c r="A51" s="253" t="s">
        <v>1258</v>
      </c>
      <c r="B51" s="191" t="s">
        <v>194</v>
      </c>
      <c r="C51" s="220" t="s">
        <v>195</v>
      </c>
      <c r="D51" s="221" t="s">
        <v>223</v>
      </c>
      <c r="E51" s="221">
        <v>400000</v>
      </c>
      <c r="F51" s="191">
        <v>0</v>
      </c>
      <c r="G51" s="267"/>
      <c r="H51" s="267"/>
      <c r="I51" s="267" t="s">
        <v>89</v>
      </c>
      <c r="J51" s="188"/>
      <c r="M51" s="5"/>
      <c r="S51" s="70"/>
      <c r="T51" s="70"/>
      <c r="U51" s="70"/>
      <c r="V51" s="70"/>
    </row>
    <row r="52" spans="1:22" s="161" customFormat="1" x14ac:dyDescent="0.3">
      <c r="A52" s="253"/>
      <c r="B52" s="191"/>
      <c r="C52" s="220"/>
      <c r="D52" s="221"/>
      <c r="E52" s="221"/>
      <c r="F52" s="191"/>
      <c r="G52" s="267"/>
      <c r="H52" s="267"/>
      <c r="I52" s="267"/>
      <c r="J52" s="188"/>
      <c r="M52" s="5"/>
      <c r="S52" s="70"/>
      <c r="T52" s="70"/>
      <c r="U52" s="70"/>
      <c r="V52" s="70"/>
    </row>
    <row r="53" spans="1:22" s="161" customFormat="1" x14ac:dyDescent="0.3">
      <c r="A53" s="253"/>
      <c r="B53" s="191"/>
      <c r="C53" s="220"/>
      <c r="D53" s="79"/>
      <c r="E53" s="221"/>
      <c r="F53" s="191"/>
      <c r="G53" s="267"/>
      <c r="H53" s="267"/>
      <c r="I53" s="267"/>
      <c r="J53" s="188"/>
      <c r="M53" s="5"/>
      <c r="S53" s="70"/>
      <c r="T53" s="70"/>
      <c r="U53" s="70"/>
      <c r="V53" s="70"/>
    </row>
    <row r="54" spans="1:22" s="161" customFormat="1" x14ac:dyDescent="0.3">
      <c r="A54" s="253"/>
      <c r="B54" s="191"/>
      <c r="C54" s="220"/>
      <c r="D54" s="79"/>
      <c r="E54" s="221"/>
      <c r="F54" s="191"/>
      <c r="G54" s="267"/>
      <c r="H54" s="267"/>
      <c r="I54" s="267"/>
      <c r="J54" s="188"/>
      <c r="M54" s="5"/>
      <c r="S54" s="70"/>
      <c r="T54" s="70"/>
      <c r="U54" s="70"/>
      <c r="V54" s="70"/>
    </row>
    <row r="55" spans="1:22" s="161" customFormat="1" x14ac:dyDescent="0.3">
      <c r="A55" s="253"/>
      <c r="B55" s="191"/>
      <c r="C55" s="220"/>
      <c r="D55" s="79"/>
      <c r="E55" s="221"/>
      <c r="F55" s="191"/>
      <c r="G55" s="267"/>
      <c r="H55" s="267"/>
      <c r="I55" s="267"/>
      <c r="J55" s="188"/>
      <c r="M55" s="5"/>
      <c r="S55" s="70"/>
      <c r="T55" s="70"/>
      <c r="U55" s="70"/>
      <c r="V55" s="70"/>
    </row>
    <row r="56" spans="1:22" s="161" customFormat="1" x14ac:dyDescent="0.3">
      <c r="A56" s="253"/>
      <c r="B56" s="191"/>
      <c r="C56" s="220"/>
      <c r="D56" s="79"/>
      <c r="E56" s="221"/>
      <c r="F56" s="191"/>
      <c r="G56" s="267"/>
      <c r="H56" s="267"/>
      <c r="I56" s="267"/>
      <c r="J56" s="188"/>
      <c r="M56" s="5"/>
      <c r="S56" s="70"/>
      <c r="T56" s="70"/>
      <c r="U56" s="70"/>
      <c r="V56" s="70"/>
    </row>
    <row r="57" spans="1:22" s="161" customFormat="1" x14ac:dyDescent="0.3">
      <c r="A57" s="253"/>
      <c r="B57" s="191"/>
      <c r="C57" s="220"/>
      <c r="D57" s="79"/>
      <c r="E57" s="221"/>
      <c r="F57" s="191"/>
      <c r="G57" s="267"/>
      <c r="H57" s="267"/>
      <c r="I57" s="267"/>
      <c r="J57" s="188"/>
      <c r="M57" s="5"/>
      <c r="S57" s="70"/>
      <c r="T57" s="70"/>
      <c r="U57" s="70"/>
      <c r="V57" s="70"/>
    </row>
    <row r="58" spans="1:22" s="161" customFormat="1" x14ac:dyDescent="0.3">
      <c r="A58" s="253"/>
      <c r="B58" s="191"/>
      <c r="C58" s="220"/>
      <c r="D58" s="79"/>
      <c r="E58" s="221"/>
      <c r="F58" s="191"/>
      <c r="G58" s="267"/>
      <c r="H58" s="267"/>
      <c r="I58" s="267"/>
      <c r="J58" s="188"/>
      <c r="M58" s="5"/>
      <c r="S58" s="70"/>
      <c r="T58" s="70"/>
      <c r="U58" s="70"/>
      <c r="V58" s="70"/>
    </row>
    <row r="59" spans="1:22" s="161" customFormat="1" x14ac:dyDescent="0.3">
      <c r="A59" s="253"/>
      <c r="B59" s="191"/>
      <c r="C59" s="220"/>
      <c r="D59" s="209"/>
      <c r="E59" s="221"/>
      <c r="F59" s="191"/>
      <c r="G59" s="267"/>
      <c r="H59" s="267"/>
      <c r="I59" s="267"/>
      <c r="J59" s="188"/>
      <c r="M59" s="5"/>
      <c r="S59" s="70"/>
      <c r="T59" s="70"/>
      <c r="U59" s="70"/>
      <c r="V59" s="70"/>
    </row>
    <row r="60" spans="1:22" s="161" customFormat="1" x14ac:dyDescent="0.3">
      <c r="A60" s="253"/>
      <c r="B60" s="191"/>
      <c r="C60" s="220"/>
      <c r="D60" s="79"/>
      <c r="E60" s="221"/>
      <c r="F60" s="191"/>
      <c r="G60" s="267"/>
      <c r="H60" s="267"/>
      <c r="I60" s="267"/>
      <c r="J60" s="188"/>
      <c r="M60" s="5"/>
      <c r="S60" s="70"/>
      <c r="T60" s="70"/>
      <c r="U60" s="70"/>
      <c r="V60" s="70"/>
    </row>
    <row r="61" spans="1:22" s="161" customFormat="1" x14ac:dyDescent="0.3">
      <c r="A61" s="191"/>
      <c r="B61" s="191"/>
      <c r="C61" s="220"/>
      <c r="D61" s="79"/>
      <c r="E61" s="221"/>
      <c r="F61" s="191"/>
      <c r="G61" s="267"/>
      <c r="H61" s="267"/>
      <c r="I61" s="267"/>
      <c r="J61" s="188"/>
      <c r="M61" s="5"/>
      <c r="S61" s="70"/>
      <c r="T61" s="70"/>
      <c r="U61" s="70"/>
      <c r="V61" s="70"/>
    </row>
    <row r="62" spans="1:22" s="161" customFormat="1" x14ac:dyDescent="0.3">
      <c r="A62" s="191" t="s">
        <v>1234</v>
      </c>
      <c r="B62" s="191" t="s">
        <v>194</v>
      </c>
      <c r="C62" s="220" t="s">
        <v>224</v>
      </c>
      <c r="D62" s="79">
        <v>35000</v>
      </c>
      <c r="E62" s="221"/>
      <c r="F62" s="191"/>
      <c r="G62" s="267"/>
      <c r="H62" s="267"/>
      <c r="I62" s="267"/>
      <c r="J62" s="188"/>
      <c r="M62" s="5"/>
      <c r="S62" s="70"/>
      <c r="T62" s="70"/>
      <c r="U62" s="70"/>
      <c r="V62" s="70"/>
    </row>
    <row r="63" spans="1:22" s="161" customFormat="1" x14ac:dyDescent="0.3">
      <c r="A63" s="191" t="s">
        <v>1234</v>
      </c>
      <c r="B63" s="191" t="s">
        <v>194</v>
      </c>
      <c r="C63" s="220" t="s">
        <v>224</v>
      </c>
      <c r="D63" s="79">
        <v>20000</v>
      </c>
      <c r="E63" s="221"/>
      <c r="F63" s="191"/>
      <c r="G63" s="267"/>
      <c r="H63" s="267"/>
      <c r="I63" s="267"/>
      <c r="J63" s="188"/>
      <c r="M63" s="5"/>
      <c r="S63" s="70"/>
      <c r="T63" s="70"/>
      <c r="U63" s="70"/>
      <c r="V63" s="70"/>
    </row>
    <row r="64" spans="1:22" s="161" customFormat="1" x14ac:dyDescent="0.3">
      <c r="A64" s="191" t="s">
        <v>1234</v>
      </c>
      <c r="B64" s="191" t="s">
        <v>194</v>
      </c>
      <c r="C64" s="220" t="s">
        <v>224</v>
      </c>
      <c r="D64" s="79">
        <v>15000</v>
      </c>
      <c r="E64" s="221"/>
      <c r="F64" s="191"/>
      <c r="G64" s="267"/>
      <c r="H64" s="267"/>
      <c r="I64" s="267"/>
      <c r="J64" s="188"/>
      <c r="M64" s="5"/>
      <c r="S64" s="70"/>
      <c r="T64" s="70"/>
      <c r="U64" s="70"/>
      <c r="V64" s="70"/>
    </row>
    <row r="65" spans="1:22" s="161" customFormat="1" x14ac:dyDescent="0.3">
      <c r="A65" s="191" t="s">
        <v>1235</v>
      </c>
      <c r="B65" s="191" t="s">
        <v>194</v>
      </c>
      <c r="C65" s="220" t="s">
        <v>224</v>
      </c>
      <c r="D65" s="79">
        <v>30000</v>
      </c>
      <c r="E65" s="221"/>
      <c r="F65" s="191"/>
      <c r="G65" s="267"/>
      <c r="H65" s="267"/>
      <c r="I65" s="267"/>
      <c r="J65" s="188"/>
      <c r="M65" s="5"/>
      <c r="S65" s="70"/>
      <c r="T65" s="70"/>
      <c r="U65" s="70"/>
      <c r="V65" s="70"/>
    </row>
    <row r="66" spans="1:22" s="161" customFormat="1" x14ac:dyDescent="0.3">
      <c r="A66" s="191" t="s">
        <v>1413</v>
      </c>
      <c r="B66" s="191" t="s">
        <v>194</v>
      </c>
      <c r="C66" s="220" t="s">
        <v>224</v>
      </c>
      <c r="D66" s="79">
        <v>30000</v>
      </c>
      <c r="E66" s="221"/>
      <c r="F66" s="191"/>
      <c r="G66" s="267"/>
      <c r="H66" s="267"/>
      <c r="I66" s="267"/>
      <c r="J66" s="188"/>
      <c r="M66" s="5"/>
      <c r="S66" s="70"/>
      <c r="T66" s="70"/>
      <c r="U66" s="70"/>
      <c r="V66" s="70"/>
    </row>
    <row r="67" spans="1:22" s="161" customFormat="1" x14ac:dyDescent="0.3">
      <c r="A67" s="191" t="s">
        <v>1241</v>
      </c>
      <c r="B67" s="191" t="s">
        <v>194</v>
      </c>
      <c r="C67" s="220" t="s">
        <v>224</v>
      </c>
      <c r="D67" s="209">
        <v>50000</v>
      </c>
      <c r="E67" s="221"/>
      <c r="F67" s="191"/>
      <c r="G67" s="267"/>
      <c r="H67" s="267"/>
      <c r="I67" s="267"/>
      <c r="J67" s="188"/>
      <c r="M67" s="5"/>
      <c r="S67" s="70"/>
      <c r="T67" s="70"/>
      <c r="U67" s="70"/>
      <c r="V67" s="70"/>
    </row>
    <row r="68" spans="1:22" s="161" customFormat="1" x14ac:dyDescent="0.3">
      <c r="A68" s="191" t="s">
        <v>1244</v>
      </c>
      <c r="B68" s="191" t="s">
        <v>194</v>
      </c>
      <c r="C68" s="220" t="s">
        <v>224</v>
      </c>
      <c r="D68" s="209">
        <v>200000</v>
      </c>
      <c r="E68" s="221"/>
      <c r="F68" s="191"/>
      <c r="G68" s="267"/>
      <c r="H68" s="267"/>
      <c r="I68" s="267"/>
      <c r="J68" s="188"/>
      <c r="M68" s="5"/>
      <c r="S68" s="70"/>
      <c r="T68" s="70"/>
      <c r="U68" s="70"/>
      <c r="V68" s="70"/>
    </row>
    <row r="69" spans="1:22" s="161" customFormat="1" x14ac:dyDescent="0.3">
      <c r="A69" s="191" t="s">
        <v>1252</v>
      </c>
      <c r="B69" s="191" t="s">
        <v>194</v>
      </c>
      <c r="C69" s="220" t="s">
        <v>224</v>
      </c>
      <c r="D69" s="209">
        <v>60000</v>
      </c>
      <c r="E69" s="221"/>
      <c r="F69" s="191"/>
      <c r="G69" s="267"/>
      <c r="H69" s="267"/>
      <c r="I69" s="267"/>
      <c r="J69" s="188"/>
      <c r="M69" s="5"/>
      <c r="S69" s="70"/>
      <c r="T69" s="70"/>
      <c r="U69" s="70"/>
      <c r="V69" s="70"/>
    </row>
    <row r="70" spans="1:22" s="161" customFormat="1" x14ac:dyDescent="0.3">
      <c r="A70" s="191" t="s">
        <v>1252</v>
      </c>
      <c r="B70" s="191" t="s">
        <v>194</v>
      </c>
      <c r="C70" s="220" t="s">
        <v>224</v>
      </c>
      <c r="D70" s="209">
        <v>30000</v>
      </c>
      <c r="E70" s="221"/>
      <c r="F70" s="191"/>
      <c r="G70" s="267"/>
      <c r="H70" s="267"/>
      <c r="I70" s="267"/>
      <c r="J70" s="188"/>
      <c r="M70" s="5"/>
      <c r="S70" s="70"/>
      <c r="T70" s="70"/>
      <c r="U70" s="70"/>
      <c r="V70" s="70"/>
    </row>
    <row r="71" spans="1:22" s="161" customFormat="1" x14ac:dyDescent="0.3">
      <c r="A71" s="191" t="s">
        <v>1252</v>
      </c>
      <c r="B71" s="191" t="s">
        <v>194</v>
      </c>
      <c r="C71" s="220" t="s">
        <v>224</v>
      </c>
      <c r="D71" s="209">
        <v>30000</v>
      </c>
      <c r="E71" s="221"/>
      <c r="F71" s="191"/>
      <c r="G71" s="267"/>
      <c r="H71" s="267"/>
      <c r="I71" s="267"/>
      <c r="J71" s="188"/>
      <c r="M71" s="5"/>
      <c r="S71" s="70"/>
      <c r="T71" s="70"/>
      <c r="U71" s="70"/>
      <c r="V71" s="70"/>
    </row>
    <row r="72" spans="1:22" s="161" customFormat="1" x14ac:dyDescent="0.3">
      <c r="A72" s="191" t="s">
        <v>1258</v>
      </c>
      <c r="B72" s="191" t="s">
        <v>194</v>
      </c>
      <c r="C72" s="220" t="s">
        <v>224</v>
      </c>
      <c r="D72" s="209">
        <v>50000</v>
      </c>
      <c r="E72" s="221"/>
      <c r="F72" s="191"/>
      <c r="G72" s="267"/>
      <c r="H72" s="267"/>
      <c r="I72" s="267"/>
      <c r="J72" s="188"/>
      <c r="M72" s="5"/>
      <c r="S72" s="70"/>
      <c r="T72" s="70"/>
      <c r="U72" s="70"/>
      <c r="V72" s="70"/>
    </row>
    <row r="73" spans="1:22" s="161" customFormat="1" x14ac:dyDescent="0.3">
      <c r="A73" s="191"/>
      <c r="B73" s="191"/>
      <c r="C73" s="220"/>
      <c r="D73" s="209"/>
      <c r="E73" s="221"/>
      <c r="F73" s="191"/>
      <c r="G73" s="267"/>
      <c r="H73" s="267"/>
      <c r="I73" s="267"/>
      <c r="J73" s="188"/>
      <c r="K73" s="5"/>
      <c r="M73" s="5"/>
      <c r="S73" s="70"/>
      <c r="T73" s="70"/>
      <c r="U73" s="70"/>
      <c r="V73" s="70"/>
    </row>
    <row r="74" spans="1:22" s="161" customFormat="1" x14ac:dyDescent="0.3">
      <c r="A74" s="220">
        <v>42826</v>
      </c>
      <c r="B74" s="191"/>
      <c r="C74" s="220"/>
      <c r="D74" s="209"/>
      <c r="E74" s="221">
        <v>24100</v>
      </c>
      <c r="F74" s="191"/>
      <c r="G74" s="267" t="s">
        <v>1476</v>
      </c>
      <c r="H74" s="267">
        <v>13176</v>
      </c>
      <c r="I74" s="267" t="s">
        <v>285</v>
      </c>
      <c r="J74" s="269"/>
      <c r="K74" s="5"/>
      <c r="M74" s="5"/>
      <c r="S74" s="70"/>
      <c r="T74" s="70"/>
      <c r="U74" s="70"/>
      <c r="V74" s="70"/>
    </row>
    <row r="75" spans="1:22" s="161" customFormat="1" x14ac:dyDescent="0.3">
      <c r="A75" s="220">
        <v>42828</v>
      </c>
      <c r="B75" s="191"/>
      <c r="C75" s="220"/>
      <c r="D75" s="209"/>
      <c r="E75" s="221">
        <v>1000</v>
      </c>
      <c r="F75" s="191"/>
      <c r="G75" s="267" t="s">
        <v>258</v>
      </c>
      <c r="H75" s="267">
        <v>137708</v>
      </c>
      <c r="I75" s="267" t="s">
        <v>89</v>
      </c>
      <c r="J75" s="269"/>
      <c r="K75" s="5"/>
      <c r="M75" s="5"/>
      <c r="S75" s="70"/>
      <c r="T75" s="70"/>
      <c r="U75" s="70"/>
      <c r="V75" s="70"/>
    </row>
    <row r="76" spans="1:22" s="161" customFormat="1" x14ac:dyDescent="0.3">
      <c r="A76" s="220">
        <v>42829</v>
      </c>
      <c r="B76" s="191"/>
      <c r="C76" s="220"/>
      <c r="D76" s="209"/>
      <c r="E76" s="221">
        <v>4800</v>
      </c>
      <c r="F76" s="191"/>
      <c r="G76" s="267" t="s">
        <v>1477</v>
      </c>
      <c r="H76" s="267">
        <v>60099</v>
      </c>
      <c r="I76" s="267" t="s">
        <v>286</v>
      </c>
      <c r="J76" s="269"/>
      <c r="K76" s="5"/>
      <c r="M76" s="5"/>
      <c r="S76" s="70"/>
      <c r="T76" s="70"/>
      <c r="U76" s="70"/>
      <c r="V76" s="70"/>
    </row>
    <row r="77" spans="1:22" s="161" customFormat="1" x14ac:dyDescent="0.3">
      <c r="A77" s="220">
        <v>42829</v>
      </c>
      <c r="B77" s="191"/>
      <c r="C77" s="220"/>
      <c r="D77" s="209"/>
      <c r="E77" s="221">
        <v>1050</v>
      </c>
      <c r="F77" s="191"/>
      <c r="G77" s="267" t="s">
        <v>1478</v>
      </c>
      <c r="H77" s="267" t="s">
        <v>1479</v>
      </c>
      <c r="I77" s="267" t="s">
        <v>89</v>
      </c>
      <c r="J77" s="269"/>
      <c r="K77" s="5"/>
      <c r="M77" s="5"/>
      <c r="S77" s="70"/>
      <c r="T77" s="70"/>
      <c r="U77" s="70"/>
      <c r="V77" s="70"/>
    </row>
    <row r="78" spans="1:22" s="161" customFormat="1" x14ac:dyDescent="0.3">
      <c r="A78" s="220">
        <v>42831</v>
      </c>
      <c r="B78" s="191"/>
      <c r="C78" s="220"/>
      <c r="D78" s="209"/>
      <c r="E78" s="221">
        <v>3500</v>
      </c>
      <c r="F78" s="191"/>
      <c r="G78" s="267" t="s">
        <v>780</v>
      </c>
      <c r="H78" s="267">
        <v>13621</v>
      </c>
      <c r="I78" s="267" t="s">
        <v>289</v>
      </c>
      <c r="J78" s="268"/>
      <c r="K78" s="5"/>
      <c r="M78" s="5"/>
      <c r="S78" s="70"/>
      <c r="T78" s="70"/>
      <c r="U78" s="70"/>
      <c r="V78" s="70"/>
    </row>
    <row r="79" spans="1:22" s="161" customFormat="1" x14ac:dyDescent="0.3">
      <c r="A79" s="220">
        <v>42831</v>
      </c>
      <c r="B79" s="191"/>
      <c r="C79" s="220"/>
      <c r="D79" s="221"/>
      <c r="E79" s="221">
        <v>2000</v>
      </c>
      <c r="F79" s="191"/>
      <c r="G79" s="267" t="s">
        <v>780</v>
      </c>
      <c r="H79" s="267">
        <v>13610</v>
      </c>
      <c r="I79" s="267" t="s">
        <v>289</v>
      </c>
      <c r="J79" s="268"/>
      <c r="K79" s="5"/>
      <c r="M79" s="5"/>
      <c r="S79" s="70"/>
      <c r="T79" s="70"/>
      <c r="U79" s="70"/>
      <c r="V79" s="70"/>
    </row>
    <row r="80" spans="1:22" s="161" customFormat="1" x14ac:dyDescent="0.3">
      <c r="A80" s="220">
        <v>42833</v>
      </c>
      <c r="B80" s="191"/>
      <c r="C80" s="220"/>
      <c r="D80" s="221"/>
      <c r="E80" s="221">
        <v>1000</v>
      </c>
      <c r="F80" s="191"/>
      <c r="G80" s="267" t="s">
        <v>1480</v>
      </c>
      <c r="H80" s="267">
        <v>134006</v>
      </c>
      <c r="I80" s="267" t="s">
        <v>89</v>
      </c>
      <c r="J80" s="268"/>
      <c r="K80" s="5"/>
      <c r="M80" s="5"/>
      <c r="S80" s="70"/>
      <c r="T80" s="70"/>
      <c r="U80" s="70"/>
      <c r="V80" s="70"/>
    </row>
    <row r="81" spans="1:22" s="161" customFormat="1" x14ac:dyDescent="0.3">
      <c r="A81" s="220">
        <v>42836</v>
      </c>
      <c r="B81" s="191"/>
      <c r="C81" s="220"/>
      <c r="D81" s="221"/>
      <c r="E81" s="221">
        <v>4900</v>
      </c>
      <c r="F81" s="191"/>
      <c r="G81" s="267" t="s">
        <v>385</v>
      </c>
      <c r="H81" s="267">
        <v>54092</v>
      </c>
      <c r="I81" s="267" t="s">
        <v>286</v>
      </c>
      <c r="J81" s="268"/>
      <c r="K81" s="5"/>
      <c r="M81" s="5"/>
      <c r="S81" s="70"/>
      <c r="T81" s="70"/>
      <c r="U81" s="70"/>
      <c r="V81" s="70"/>
    </row>
    <row r="82" spans="1:22" s="161" customFormat="1" x14ac:dyDescent="0.3">
      <c r="A82" s="220">
        <v>42836</v>
      </c>
      <c r="B82" s="191"/>
      <c r="C82" s="220"/>
      <c r="D82" s="221"/>
      <c r="E82" s="221">
        <v>2800</v>
      </c>
      <c r="F82" s="191"/>
      <c r="G82" s="267" t="s">
        <v>384</v>
      </c>
      <c r="H82" s="267">
        <v>33348</v>
      </c>
      <c r="I82" s="267" t="s">
        <v>89</v>
      </c>
      <c r="J82" s="268"/>
      <c r="K82" s="5"/>
      <c r="M82" s="5"/>
      <c r="S82" s="70"/>
      <c r="T82" s="70"/>
      <c r="U82" s="70"/>
      <c r="V82" s="70"/>
    </row>
    <row r="83" spans="1:22" s="161" customFormat="1" x14ac:dyDescent="0.3">
      <c r="A83" s="220">
        <v>42837</v>
      </c>
      <c r="B83" s="191"/>
      <c r="C83" s="220"/>
      <c r="D83" s="221"/>
      <c r="E83" s="221">
        <v>3000</v>
      </c>
      <c r="F83" s="191"/>
      <c r="G83" s="267" t="s">
        <v>1480</v>
      </c>
      <c r="H83" s="267"/>
      <c r="I83" s="267" t="s">
        <v>89</v>
      </c>
      <c r="J83" s="268"/>
      <c r="K83" s="5"/>
      <c r="M83" s="5"/>
      <c r="S83" s="70"/>
      <c r="T83" s="70"/>
      <c r="U83" s="70"/>
      <c r="V83" s="70"/>
    </row>
    <row r="84" spans="1:22" s="161" customFormat="1" x14ac:dyDescent="0.3">
      <c r="A84" s="220">
        <v>42837</v>
      </c>
      <c r="B84" s="191"/>
      <c r="C84" s="220"/>
      <c r="D84" s="221"/>
      <c r="E84" s="221">
        <v>600</v>
      </c>
      <c r="F84" s="191"/>
      <c r="G84" s="267" t="s">
        <v>1478</v>
      </c>
      <c r="H84" s="267">
        <v>563379</v>
      </c>
      <c r="I84" s="267" t="s">
        <v>89</v>
      </c>
      <c r="J84" s="268"/>
      <c r="K84" s="5"/>
      <c r="M84" s="5"/>
      <c r="S84" s="70"/>
      <c r="T84" s="70"/>
      <c r="U84" s="70"/>
      <c r="V84" s="70"/>
    </row>
    <row r="85" spans="1:22" s="161" customFormat="1" x14ac:dyDescent="0.3">
      <c r="A85" s="220">
        <v>42841</v>
      </c>
      <c r="B85" s="191"/>
      <c r="C85" s="220"/>
      <c r="D85" s="221"/>
      <c r="E85" s="221">
        <v>5043</v>
      </c>
      <c r="F85" s="191"/>
      <c r="G85" s="267" t="s">
        <v>779</v>
      </c>
      <c r="H85" s="267">
        <v>29893</v>
      </c>
      <c r="I85" s="267" t="s">
        <v>285</v>
      </c>
      <c r="J85" s="268"/>
      <c r="K85" s="5"/>
      <c r="M85" s="5"/>
      <c r="S85" s="70"/>
      <c r="T85" s="70"/>
      <c r="U85" s="70"/>
      <c r="V85" s="70"/>
    </row>
    <row r="86" spans="1:22" s="161" customFormat="1" x14ac:dyDescent="0.3">
      <c r="A86" s="220">
        <v>42843</v>
      </c>
      <c r="B86" s="191"/>
      <c r="C86" s="220"/>
      <c r="D86" s="221"/>
      <c r="E86" s="221">
        <v>1200</v>
      </c>
      <c r="F86" s="191"/>
      <c r="G86" s="267" t="s">
        <v>1478</v>
      </c>
      <c r="H86" s="267" t="s">
        <v>1479</v>
      </c>
      <c r="I86" s="267" t="s">
        <v>89</v>
      </c>
      <c r="J86" s="268"/>
      <c r="K86" s="5"/>
      <c r="M86" s="5"/>
      <c r="S86" s="70"/>
      <c r="T86" s="70"/>
      <c r="U86" s="70"/>
      <c r="V86" s="70"/>
    </row>
    <row r="87" spans="1:22" s="161" customFormat="1" x14ac:dyDescent="0.3">
      <c r="A87" s="220">
        <v>42847</v>
      </c>
      <c r="B87" s="191"/>
      <c r="C87" s="220"/>
      <c r="D87" s="221"/>
      <c r="E87" s="221">
        <v>12000</v>
      </c>
      <c r="F87" s="191"/>
      <c r="G87" s="267" t="s">
        <v>384</v>
      </c>
      <c r="H87" s="267">
        <v>81949</v>
      </c>
      <c r="I87" s="267" t="s">
        <v>89</v>
      </c>
      <c r="J87" s="268"/>
      <c r="K87" s="5"/>
      <c r="M87" s="5"/>
      <c r="S87" s="70"/>
      <c r="T87" s="70"/>
      <c r="U87" s="70"/>
      <c r="V87" s="70"/>
    </row>
    <row r="88" spans="1:22" s="161" customFormat="1" x14ac:dyDescent="0.3">
      <c r="A88" s="220">
        <v>42850</v>
      </c>
      <c r="B88" s="191"/>
      <c r="C88" s="220"/>
      <c r="D88" s="221"/>
      <c r="E88" s="221">
        <v>4461</v>
      </c>
      <c r="F88" s="191"/>
      <c r="G88" s="267" t="s">
        <v>779</v>
      </c>
      <c r="H88" s="267">
        <v>29943</v>
      </c>
      <c r="I88" s="267" t="s">
        <v>284</v>
      </c>
      <c r="J88" s="268"/>
      <c r="K88" s="5"/>
      <c r="M88" s="5"/>
      <c r="S88" s="70"/>
      <c r="T88" s="70"/>
      <c r="U88" s="70"/>
      <c r="V88" s="70"/>
    </row>
    <row r="89" spans="1:22" s="161" customFormat="1" x14ac:dyDescent="0.3">
      <c r="A89" s="220">
        <v>42850</v>
      </c>
      <c r="B89" s="191"/>
      <c r="C89" s="220"/>
      <c r="D89" s="221"/>
      <c r="E89" s="221">
        <v>50000</v>
      </c>
      <c r="F89" s="191"/>
      <c r="G89" s="267" t="s">
        <v>1481</v>
      </c>
      <c r="H89" s="267">
        <v>82998942</v>
      </c>
      <c r="I89" s="267" t="s">
        <v>89</v>
      </c>
      <c r="J89" s="268"/>
      <c r="K89" s="5"/>
      <c r="M89" s="5"/>
      <c r="S89" s="70"/>
      <c r="T89" s="70"/>
      <c r="U89" s="70"/>
      <c r="V89" s="70"/>
    </row>
    <row r="90" spans="1:22" s="161" customFormat="1" x14ac:dyDescent="0.3">
      <c r="A90" s="220">
        <v>42850</v>
      </c>
      <c r="B90" s="191"/>
      <c r="C90" s="220"/>
      <c r="D90" s="221"/>
      <c r="E90" s="221">
        <v>1700</v>
      </c>
      <c r="F90" s="191"/>
      <c r="G90" s="267" t="s">
        <v>1478</v>
      </c>
      <c r="H90" s="267">
        <v>349125</v>
      </c>
      <c r="I90" s="267" t="s">
        <v>89</v>
      </c>
      <c r="J90" s="268"/>
      <c r="K90" s="5"/>
      <c r="M90" s="5"/>
      <c r="S90" s="70"/>
      <c r="T90" s="70"/>
      <c r="U90" s="70"/>
      <c r="V90" s="70"/>
    </row>
    <row r="91" spans="1:22" s="161" customFormat="1" x14ac:dyDescent="0.3">
      <c r="A91" s="220">
        <v>42852</v>
      </c>
      <c r="B91" s="191"/>
      <c r="C91" s="220"/>
      <c r="D91" s="221"/>
      <c r="E91" s="221">
        <v>3600</v>
      </c>
      <c r="F91" s="191"/>
      <c r="G91" s="267" t="s">
        <v>1482</v>
      </c>
      <c r="H91" s="267">
        <v>54619</v>
      </c>
      <c r="I91" s="267" t="s">
        <v>286</v>
      </c>
      <c r="J91" s="268"/>
      <c r="K91" s="5"/>
      <c r="M91" s="5"/>
      <c r="S91" s="70"/>
      <c r="T91" s="70"/>
      <c r="U91" s="70"/>
      <c r="V91" s="70"/>
    </row>
    <row r="92" spans="1:22" s="161" customFormat="1" x14ac:dyDescent="0.3">
      <c r="A92" s="220">
        <v>42855</v>
      </c>
      <c r="B92" s="191"/>
      <c r="C92" s="220"/>
      <c r="D92" s="221"/>
      <c r="E92" s="221">
        <v>89864</v>
      </c>
      <c r="F92" s="191"/>
      <c r="G92" s="267" t="s">
        <v>1483</v>
      </c>
      <c r="H92" s="267">
        <v>190</v>
      </c>
      <c r="I92" s="267" t="s">
        <v>285</v>
      </c>
      <c r="J92" s="268"/>
      <c r="K92" s="5"/>
      <c r="S92" s="70"/>
      <c r="T92" s="70"/>
      <c r="U92" s="70"/>
      <c r="V92" s="70"/>
    </row>
    <row r="93" spans="1:22" s="161" customFormat="1" x14ac:dyDescent="0.3">
      <c r="A93" s="220" t="s">
        <v>1475</v>
      </c>
      <c r="B93" s="191"/>
      <c r="C93" s="220"/>
      <c r="D93" s="221"/>
      <c r="E93" s="221">
        <v>4000</v>
      </c>
      <c r="F93" s="191"/>
      <c r="G93" s="267" t="s">
        <v>1484</v>
      </c>
      <c r="H93" s="267"/>
      <c r="I93" s="267" t="s">
        <v>89</v>
      </c>
      <c r="J93" s="268"/>
      <c r="K93" s="5"/>
      <c r="S93" s="70"/>
      <c r="T93" s="70"/>
      <c r="U93" s="70"/>
      <c r="V93" s="70"/>
    </row>
    <row r="94" spans="1:22" s="161" customFormat="1" x14ac:dyDescent="0.3">
      <c r="A94" s="220" t="s">
        <v>1475</v>
      </c>
      <c r="B94" s="191"/>
      <c r="C94" s="220"/>
      <c r="D94" s="221"/>
      <c r="E94" s="221">
        <v>6000</v>
      </c>
      <c r="F94" s="191"/>
      <c r="G94" s="267" t="s">
        <v>1485</v>
      </c>
      <c r="H94" s="267"/>
      <c r="I94" s="267" t="s">
        <v>89</v>
      </c>
      <c r="J94" s="268"/>
      <c r="S94" s="70"/>
      <c r="T94" s="70"/>
      <c r="U94" s="70"/>
      <c r="V94" s="70"/>
    </row>
    <row r="95" spans="1:22" x14ac:dyDescent="0.3">
      <c r="A95" s="220"/>
      <c r="B95" s="191"/>
      <c r="C95" s="220"/>
      <c r="D95" s="221"/>
      <c r="E95" s="316">
        <v>60000</v>
      </c>
      <c r="F95" s="191"/>
      <c r="G95" s="267" t="s">
        <v>1486</v>
      </c>
      <c r="H95" s="267" t="s">
        <v>1487</v>
      </c>
      <c r="I95" s="267" t="s">
        <v>89</v>
      </c>
      <c r="J95" s="268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3">
      <c r="A96" s="220"/>
      <c r="B96" s="191"/>
      <c r="C96" s="220"/>
      <c r="D96" s="221"/>
      <c r="E96" s="316">
        <v>30000</v>
      </c>
      <c r="F96" s="191"/>
      <c r="G96" s="267" t="s">
        <v>1486</v>
      </c>
      <c r="H96" s="267" t="s">
        <v>1487</v>
      </c>
      <c r="I96" s="267" t="s">
        <v>89</v>
      </c>
      <c r="J96" s="268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3">
      <c r="A97" s="220"/>
      <c r="B97" s="191"/>
      <c r="C97" s="220"/>
      <c r="D97" s="221"/>
      <c r="E97" s="221"/>
      <c r="F97" s="191"/>
      <c r="G97" s="267"/>
      <c r="H97" s="267"/>
      <c r="I97" s="267"/>
      <c r="J97" s="268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3">
      <c r="A98" s="220"/>
      <c r="B98" s="191"/>
      <c r="C98" s="220"/>
      <c r="D98" s="221"/>
      <c r="E98" s="221"/>
      <c r="F98" s="191"/>
      <c r="G98" s="267"/>
      <c r="H98" s="267"/>
      <c r="I98" s="267"/>
      <c r="J98" s="268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3">
      <c r="A99" s="220"/>
      <c r="B99" s="191"/>
      <c r="C99" s="220"/>
      <c r="D99" s="221"/>
      <c r="E99" s="221"/>
      <c r="F99" s="191"/>
      <c r="G99" s="267"/>
      <c r="H99" s="267"/>
      <c r="I99" s="267"/>
      <c r="J99" s="268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3">
      <c r="A100" s="220"/>
      <c r="B100" s="191"/>
      <c r="C100" s="220"/>
      <c r="D100" s="221"/>
      <c r="E100" s="221"/>
      <c r="F100" s="191"/>
      <c r="G100" s="267"/>
      <c r="H100" s="267"/>
      <c r="I100" s="267"/>
      <c r="J100" s="268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3">
      <c r="A101" s="220"/>
      <c r="B101" s="191"/>
      <c r="C101" s="220"/>
      <c r="D101" s="221"/>
      <c r="E101" s="221"/>
      <c r="F101" s="191"/>
      <c r="G101" s="267"/>
      <c r="H101" s="267"/>
      <c r="I101" s="267"/>
      <c r="J101" s="268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3">
      <c r="A102" s="220"/>
      <c r="B102" s="191"/>
      <c r="C102" s="220"/>
      <c r="D102" s="221"/>
      <c r="E102" s="221"/>
      <c r="F102" s="191"/>
      <c r="G102" s="267"/>
      <c r="H102" s="267"/>
      <c r="I102" s="267"/>
      <c r="J102" s="268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3">
      <c r="A103" s="220"/>
      <c r="B103" s="191"/>
      <c r="C103" s="220"/>
      <c r="D103" s="221"/>
      <c r="E103" s="221"/>
      <c r="F103" s="191"/>
      <c r="G103" s="267"/>
      <c r="H103" s="267"/>
      <c r="I103" s="267"/>
      <c r="J103" s="268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3">
      <c r="A104" s="220"/>
      <c r="B104" s="191"/>
      <c r="C104" s="220"/>
      <c r="D104" s="221"/>
      <c r="E104" s="221"/>
      <c r="F104" s="191"/>
      <c r="G104" s="267"/>
      <c r="H104" s="267"/>
      <c r="I104" s="267"/>
      <c r="J104" s="268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3">
      <c r="A105" s="220"/>
      <c r="B105" s="191"/>
      <c r="C105" s="220"/>
      <c r="D105" s="221"/>
      <c r="E105" s="221"/>
      <c r="F105" s="191"/>
      <c r="G105" s="267"/>
      <c r="H105" s="267"/>
      <c r="I105" s="267"/>
      <c r="J105" s="268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3">
      <c r="A106" s="220"/>
      <c r="B106" s="191"/>
      <c r="C106" s="220"/>
      <c r="D106" s="221"/>
      <c r="E106" s="221"/>
      <c r="F106" s="191"/>
      <c r="G106" s="267"/>
      <c r="H106" s="267"/>
      <c r="I106" s="267"/>
      <c r="J106" s="268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3">
      <c r="A107" s="220"/>
      <c r="B107" s="191"/>
      <c r="C107" s="220"/>
      <c r="D107" s="221"/>
      <c r="E107" s="221"/>
      <c r="F107" s="191"/>
      <c r="G107" s="267"/>
      <c r="H107" s="267"/>
      <c r="I107" s="267"/>
      <c r="J107" s="268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3">
      <c r="A108" s="220"/>
      <c r="B108" s="191"/>
      <c r="C108" s="220"/>
      <c r="D108" s="221"/>
      <c r="E108" s="221"/>
      <c r="F108" s="191"/>
      <c r="G108" s="267"/>
      <c r="H108" s="267"/>
      <c r="I108" s="267"/>
      <c r="J108" s="268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3">
      <c r="A109" s="191"/>
      <c r="B109" s="191"/>
      <c r="C109" s="220"/>
      <c r="D109" s="221"/>
      <c r="E109" s="221"/>
      <c r="F109" s="191"/>
      <c r="G109" s="267"/>
      <c r="H109" s="267"/>
      <c r="I109" s="267"/>
      <c r="J109" s="219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3">
      <c r="A110" s="191"/>
      <c r="B110" s="191"/>
      <c r="C110" s="220"/>
      <c r="D110" s="221"/>
      <c r="E110" s="221"/>
      <c r="F110" s="191"/>
      <c r="G110" s="267"/>
      <c r="H110" s="267"/>
      <c r="I110" s="267"/>
      <c r="J110" s="219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3">
      <c r="A111" s="191"/>
      <c r="B111" s="191"/>
      <c r="C111" s="220"/>
      <c r="D111" s="221"/>
      <c r="E111" s="221"/>
      <c r="F111" s="191"/>
      <c r="G111" s="267"/>
      <c r="H111" s="267"/>
      <c r="I111" s="267"/>
      <c r="J111" s="219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3">
      <c r="A112" s="191"/>
      <c r="B112" s="191"/>
      <c r="C112" s="220"/>
      <c r="D112" s="221"/>
      <c r="E112" s="221"/>
      <c r="F112" s="191"/>
      <c r="G112" s="267"/>
      <c r="H112" s="267"/>
      <c r="I112" s="267"/>
      <c r="J112" s="219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3">
      <c r="A113" s="191"/>
      <c r="B113" s="191"/>
      <c r="C113" s="220"/>
      <c r="D113" s="221"/>
      <c r="E113" s="221"/>
      <c r="F113" s="191"/>
      <c r="G113" s="267"/>
      <c r="H113" s="267"/>
      <c r="I113" s="267"/>
      <c r="J113" s="219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3">
      <c r="A114" s="62"/>
      <c r="B114" s="62"/>
      <c r="C114" s="117"/>
      <c r="D114" s="58"/>
      <c r="E114" s="58"/>
      <c r="F114" s="62"/>
      <c r="G114" s="267"/>
      <c r="H114" s="267"/>
      <c r="I114" s="267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3">
      <c r="A115" s="62"/>
      <c r="B115" s="62"/>
      <c r="C115" s="117"/>
      <c r="D115" s="58"/>
      <c r="E115" s="58"/>
      <c r="F115" s="62"/>
      <c r="G115" s="267"/>
      <c r="H115" s="267"/>
      <c r="I115" s="267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3">
      <c r="A116" s="62"/>
      <c r="B116" s="62"/>
      <c r="C116" s="117"/>
      <c r="D116" s="58"/>
      <c r="E116" s="58"/>
      <c r="F116" s="62"/>
      <c r="G116" s="267"/>
      <c r="H116" s="267"/>
      <c r="I116" s="267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3">
      <c r="A117" s="62"/>
      <c r="B117" s="62"/>
      <c r="C117" s="117"/>
      <c r="D117" s="58"/>
      <c r="E117" s="58"/>
      <c r="F117" s="62"/>
      <c r="G117" s="267"/>
      <c r="H117" s="267"/>
      <c r="I117" s="267"/>
      <c r="J117" s="66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3">
      <c r="A118" s="62"/>
      <c r="B118" s="62"/>
      <c r="C118" s="117"/>
      <c r="D118" s="58"/>
      <c r="E118" s="58"/>
      <c r="F118" s="62"/>
      <c r="G118" s="267"/>
      <c r="H118" s="267"/>
      <c r="I118" s="267"/>
      <c r="J118" s="66"/>
      <c r="K118" s="21"/>
      <c r="L118" s="21"/>
      <c r="M118" s="21"/>
      <c r="N118" s="21"/>
      <c r="O118" s="21"/>
      <c r="P118" s="21"/>
      <c r="Q118" s="21"/>
      <c r="R118" s="21"/>
      <c r="S118" s="70"/>
      <c r="T118" s="70"/>
      <c r="U118" s="70"/>
      <c r="V118" s="70"/>
    </row>
    <row r="119" spans="1:24" x14ac:dyDescent="0.3">
      <c r="A119" s="62"/>
      <c r="B119" s="62"/>
      <c r="C119" s="117"/>
      <c r="D119" s="58"/>
      <c r="E119" s="58"/>
      <c r="F119" s="62"/>
      <c r="G119" s="267"/>
      <c r="H119" s="267"/>
      <c r="I119" s="267"/>
      <c r="J119" s="66"/>
      <c r="K119" s="21"/>
      <c r="L119" s="21"/>
      <c r="M119" s="21"/>
      <c r="N119" s="21"/>
      <c r="O119" s="21"/>
      <c r="P119" s="21"/>
      <c r="Q119" s="21"/>
      <c r="R119" s="21"/>
      <c r="S119" s="70"/>
      <c r="T119" s="70"/>
      <c r="U119" s="70"/>
      <c r="V119" s="70"/>
    </row>
    <row r="120" spans="1:24" x14ac:dyDescent="0.3">
      <c r="A120" s="62"/>
      <c r="B120" s="62"/>
      <c r="C120" s="117"/>
      <c r="D120" s="58"/>
      <c r="E120" s="58"/>
      <c r="F120" s="62"/>
      <c r="G120" s="24"/>
      <c r="H120" s="62"/>
      <c r="I120" s="62"/>
      <c r="J120" s="66"/>
      <c r="K120" s="21"/>
      <c r="L120" s="21"/>
      <c r="M120" s="21"/>
      <c r="N120" s="21"/>
      <c r="O120" s="21"/>
      <c r="P120" s="21"/>
      <c r="Q120" s="21"/>
      <c r="R120" s="21"/>
      <c r="S120" s="70"/>
      <c r="T120" s="70"/>
      <c r="U120" s="70"/>
      <c r="V120" s="70"/>
    </row>
    <row r="121" spans="1:24" x14ac:dyDescent="0.3">
      <c r="A121" s="62"/>
      <c r="B121" s="62"/>
      <c r="C121" s="117"/>
      <c r="D121" s="58"/>
      <c r="E121" s="58"/>
      <c r="F121" s="62"/>
      <c r="G121" s="24"/>
      <c r="H121" s="62"/>
      <c r="I121" s="62"/>
      <c r="J121" s="66"/>
      <c r="K121" s="21"/>
      <c r="L121" s="21"/>
      <c r="M121" s="21"/>
      <c r="N121" s="21"/>
      <c r="O121" s="21"/>
      <c r="P121" s="21"/>
      <c r="Q121" s="21"/>
      <c r="R121" s="21"/>
      <c r="S121" s="70"/>
      <c r="T121" s="70"/>
      <c r="U121" s="70"/>
      <c r="V121" s="70"/>
    </row>
    <row r="122" spans="1:24" x14ac:dyDescent="0.3">
      <c r="A122" s="62"/>
      <c r="B122" s="62"/>
      <c r="C122" s="117"/>
      <c r="D122" s="58"/>
      <c r="E122" s="58"/>
      <c r="F122" s="62"/>
      <c r="G122" s="24"/>
      <c r="H122" s="62"/>
      <c r="I122" s="62"/>
      <c r="J122" s="66"/>
      <c r="K122" s="21"/>
      <c r="L122" s="21"/>
      <c r="M122" s="21"/>
      <c r="N122" s="21"/>
      <c r="O122" s="21"/>
      <c r="P122" s="21"/>
      <c r="Q122" s="21"/>
      <c r="R122" s="21"/>
      <c r="S122" s="70"/>
      <c r="T122" s="70"/>
      <c r="U122" s="70"/>
      <c r="V122" s="70"/>
    </row>
    <row r="123" spans="1:24" x14ac:dyDescent="0.3">
      <c r="A123" s="62"/>
      <c r="B123" s="62"/>
      <c r="C123" s="117"/>
      <c r="D123" s="58"/>
      <c r="E123" s="58"/>
      <c r="F123" s="62"/>
      <c r="G123" s="24"/>
      <c r="H123" s="62"/>
      <c r="I123" s="62"/>
      <c r="J123" s="66"/>
      <c r="K123" s="21"/>
      <c r="L123" s="21"/>
      <c r="M123" s="21"/>
      <c r="N123" s="21"/>
      <c r="O123" s="21"/>
      <c r="P123" s="21"/>
      <c r="Q123" s="21"/>
      <c r="R123" s="21"/>
      <c r="S123" s="70"/>
      <c r="T123" s="70"/>
      <c r="U123" s="70"/>
      <c r="V123" s="70"/>
    </row>
    <row r="124" spans="1:24" x14ac:dyDescent="0.3">
      <c r="A124" s="62"/>
      <c r="B124" s="62"/>
      <c r="C124" s="117"/>
      <c r="D124" s="58"/>
      <c r="E124" s="58"/>
      <c r="F124" s="62"/>
      <c r="G124" s="24"/>
      <c r="H124" s="62"/>
      <c r="I124" s="62"/>
      <c r="J124" s="66"/>
      <c r="K124" s="21"/>
      <c r="L124" s="21"/>
      <c r="M124" s="21"/>
      <c r="N124" s="21"/>
      <c r="O124" s="21"/>
      <c r="P124" s="21"/>
      <c r="Q124" s="21"/>
      <c r="R124" s="21"/>
      <c r="S124" s="70"/>
      <c r="T124" s="70"/>
      <c r="U124" s="70"/>
      <c r="V124" s="70"/>
    </row>
    <row r="125" spans="1:24" x14ac:dyDescent="0.3">
      <c r="A125" s="27"/>
      <c r="B125" s="27"/>
      <c r="C125" s="27"/>
      <c r="D125" s="122"/>
      <c r="E125" s="122"/>
      <c r="F125" s="27"/>
      <c r="G125" s="123"/>
      <c r="H125" s="27"/>
      <c r="I125" s="27"/>
      <c r="J125" s="70"/>
      <c r="K125" s="21"/>
      <c r="L125" s="21"/>
      <c r="M125" s="21"/>
      <c r="N125" s="21"/>
      <c r="O125" s="21"/>
      <c r="P125" s="21"/>
      <c r="Q125" s="21"/>
      <c r="R125" s="21"/>
      <c r="S125" s="70"/>
      <c r="T125" s="70"/>
      <c r="U125" s="70"/>
      <c r="V125" s="70"/>
    </row>
    <row r="126" spans="1:24" x14ac:dyDescent="0.3">
      <c r="R126" s="70"/>
      <c r="S126" s="70"/>
      <c r="T126" s="70"/>
      <c r="U126" s="70"/>
      <c r="V126" s="70"/>
    </row>
    <row r="127" spans="1:24" x14ac:dyDescent="0.3">
      <c r="H127" s="23">
        <f>SUBTOTAL(9,D2:D124)</f>
        <v>550000</v>
      </c>
      <c r="I127" s="23">
        <f>SUBTOTAL(9,E2:E124)</f>
        <v>2755072</v>
      </c>
      <c r="J127" s="23">
        <f>SUBTOTAL(9,F2:F124)</f>
        <v>3500000</v>
      </c>
      <c r="R127" s="70"/>
      <c r="S127" s="70"/>
      <c r="T127" s="70"/>
      <c r="U127" s="70"/>
      <c r="V127" s="70"/>
    </row>
    <row r="128" spans="1:24" x14ac:dyDescent="0.3">
      <c r="Q128" s="23"/>
      <c r="R128" s="23"/>
      <c r="S128" s="23"/>
      <c r="T128" s="23"/>
      <c r="U128" s="23"/>
      <c r="V128" s="23"/>
      <c r="W128" s="23"/>
      <c r="X128" s="23"/>
    </row>
    <row r="129" spans="2:24" x14ac:dyDescent="0.3">
      <c r="N129" s="21"/>
      <c r="O129" s="21"/>
      <c r="P129" s="21"/>
      <c r="Q129" s="21"/>
      <c r="R129" s="21"/>
      <c r="S129" s="21"/>
      <c r="T129" s="23"/>
      <c r="U129" s="23"/>
      <c r="V129" s="23"/>
      <c r="W129" s="23"/>
      <c r="X129" s="23"/>
    </row>
    <row r="130" spans="2:24" x14ac:dyDescent="0.3">
      <c r="C130" s="25" t="s">
        <v>260</v>
      </c>
      <c r="D130" s="25">
        <v>150000</v>
      </c>
      <c r="N130" s="21"/>
      <c r="O130" s="21"/>
      <c r="P130" s="21"/>
      <c r="Q130" s="21"/>
      <c r="R130" s="21"/>
      <c r="S130" s="21"/>
      <c r="T130" s="21"/>
      <c r="U130" s="21"/>
      <c r="V130" s="23"/>
      <c r="W130" s="23"/>
      <c r="X130" s="23"/>
    </row>
    <row r="131" spans="2:24" x14ac:dyDescent="0.3">
      <c r="N131" s="21"/>
      <c r="O131" s="21"/>
      <c r="P131" s="21"/>
      <c r="Q131" s="21"/>
      <c r="R131" s="21"/>
      <c r="S131" s="21"/>
      <c r="T131" s="21"/>
      <c r="U131" s="21"/>
      <c r="V131" s="23"/>
      <c r="W131" s="23"/>
      <c r="X131" s="23"/>
    </row>
    <row r="132" spans="2:24" x14ac:dyDescent="0.3">
      <c r="B132" s="33" t="s">
        <v>4</v>
      </c>
      <c r="C132" s="33" t="s">
        <v>107</v>
      </c>
      <c r="D132" s="34" t="s">
        <v>182</v>
      </c>
      <c r="E132" s="33" t="s">
        <v>183</v>
      </c>
      <c r="F132" s="33" t="s">
        <v>184</v>
      </c>
      <c r="G132" s="34" t="s">
        <v>140</v>
      </c>
      <c r="H132" s="34"/>
      <c r="N132" s="21"/>
      <c r="O132" s="21"/>
      <c r="P132" s="21"/>
      <c r="Q132" s="21"/>
      <c r="R132" s="21"/>
      <c r="S132" s="21"/>
      <c r="T132" s="21"/>
      <c r="U132" s="21"/>
      <c r="V132" s="23"/>
      <c r="W132" s="23"/>
      <c r="X132" s="23"/>
    </row>
    <row r="133" spans="2:24" x14ac:dyDescent="0.3">
      <c r="B133" s="58" t="s">
        <v>266</v>
      </c>
      <c r="C133" s="58">
        <f>'BCI '!H143</f>
        <v>27325</v>
      </c>
      <c r="D133" s="62">
        <f>Security!F67</f>
        <v>29639</v>
      </c>
      <c r="E133" s="58"/>
      <c r="F133" s="58">
        <f>C133+D133</f>
        <v>56964</v>
      </c>
      <c r="G133" s="62"/>
      <c r="H133" s="62"/>
      <c r="J133" s="24"/>
      <c r="K133" s="61" t="s">
        <v>168</v>
      </c>
      <c r="N133" s="21"/>
      <c r="O133" s="21"/>
      <c r="P133" s="21"/>
      <c r="Q133" s="21"/>
      <c r="R133" s="21"/>
      <c r="S133" s="21"/>
      <c r="T133" s="21"/>
      <c r="U133" s="21"/>
      <c r="V133" s="23"/>
      <c r="W133" s="23"/>
      <c r="X133" s="23"/>
    </row>
    <row r="134" spans="2:24" x14ac:dyDescent="0.3">
      <c r="B134" s="58" t="s">
        <v>51</v>
      </c>
      <c r="C134" s="58">
        <f>'BCI '!H144</f>
        <v>3226086</v>
      </c>
      <c r="D134" s="62">
        <f>Security!F68</f>
        <v>0</v>
      </c>
      <c r="E134" s="58"/>
      <c r="F134" s="58">
        <f t="shared" ref="F134:F149" si="2">C134+D134</f>
        <v>3226086</v>
      </c>
      <c r="G134" s="62"/>
      <c r="H134" s="62"/>
      <c r="J134" s="24">
        <v>-106037</v>
      </c>
      <c r="K134" s="184" t="s">
        <v>122</v>
      </c>
      <c r="N134" s="21"/>
      <c r="O134" s="21"/>
      <c r="P134" s="21"/>
      <c r="Q134" s="21"/>
      <c r="R134" s="21"/>
      <c r="S134" s="21"/>
      <c r="T134" s="21"/>
      <c r="U134" s="21"/>
      <c r="V134" s="23"/>
      <c r="W134" s="23"/>
      <c r="X134" s="23"/>
    </row>
    <row r="135" spans="2:24" x14ac:dyDescent="0.3">
      <c r="B135" s="58" t="s">
        <v>157</v>
      </c>
      <c r="C135" s="58">
        <f>'BCI '!H145</f>
        <v>0</v>
      </c>
      <c r="D135" s="62">
        <f>Security!F69</f>
        <v>0</v>
      </c>
      <c r="E135" s="58"/>
      <c r="F135" s="58">
        <f t="shared" si="2"/>
        <v>0</v>
      </c>
      <c r="G135" s="62"/>
      <c r="H135" s="62"/>
      <c r="J135" s="24">
        <f>SUM(F2:F124)</f>
        <v>3500000</v>
      </c>
      <c r="K135" s="61" t="s">
        <v>124</v>
      </c>
      <c r="L135" s="21"/>
      <c r="N135" s="21"/>
      <c r="O135" s="21"/>
      <c r="P135" s="21"/>
      <c r="Q135" s="21"/>
      <c r="R135" s="21"/>
      <c r="S135" s="21"/>
      <c r="T135" s="21"/>
      <c r="U135" s="21"/>
      <c r="V135" s="23"/>
    </row>
    <row r="136" spans="2:24" x14ac:dyDescent="0.3">
      <c r="B136" s="58" t="s">
        <v>265</v>
      </c>
      <c r="C136" s="58">
        <f>'BCI '!H146</f>
        <v>198864</v>
      </c>
      <c r="D136" s="62">
        <f>Security!F70</f>
        <v>0</v>
      </c>
      <c r="E136" s="58"/>
      <c r="F136" s="58">
        <f t="shared" si="2"/>
        <v>198864</v>
      </c>
      <c r="G136" s="62"/>
      <c r="H136" s="62"/>
      <c r="J136" s="24">
        <f>J135+J134-J148</f>
        <v>638891</v>
      </c>
      <c r="K136" s="61" t="s">
        <v>123</v>
      </c>
      <c r="L136" s="21"/>
      <c r="N136" s="21"/>
      <c r="O136" s="21"/>
      <c r="P136" s="21"/>
      <c r="Q136" s="21"/>
      <c r="R136" s="21"/>
      <c r="S136" s="21"/>
      <c r="T136" s="21"/>
      <c r="U136" s="21"/>
      <c r="V136" s="23"/>
    </row>
    <row r="137" spans="2:24" x14ac:dyDescent="0.3">
      <c r="B137" s="58" t="s">
        <v>9</v>
      </c>
      <c r="C137" s="58">
        <f>'BCI '!H147</f>
        <v>54264</v>
      </c>
      <c r="D137" s="62">
        <f>Security!F71</f>
        <v>0</v>
      </c>
      <c r="E137" s="58"/>
      <c r="F137" s="58">
        <f t="shared" si="2"/>
        <v>54264</v>
      </c>
      <c r="G137" s="62">
        <f t="shared" ref="G137:G142" si="3">F137*0.19</f>
        <v>10310.16</v>
      </c>
      <c r="H137" s="62"/>
      <c r="J137" s="24"/>
      <c r="K137" s="61"/>
      <c r="L137" s="21"/>
      <c r="N137" s="21"/>
      <c r="O137" s="21"/>
      <c r="P137" s="21"/>
      <c r="Q137" s="21"/>
      <c r="R137" s="21"/>
      <c r="S137" s="21"/>
      <c r="T137" s="21"/>
      <c r="U137" s="21"/>
      <c r="V137" s="23"/>
    </row>
    <row r="138" spans="2:24" x14ac:dyDescent="0.3">
      <c r="B138" s="58" t="s">
        <v>267</v>
      </c>
      <c r="C138" s="58">
        <f>'BCI '!H148</f>
        <v>3500000</v>
      </c>
      <c r="D138" s="62">
        <f>Security!F72</f>
        <v>0</v>
      </c>
      <c r="E138" s="58"/>
      <c r="F138" s="58">
        <f t="shared" si="2"/>
        <v>3500000</v>
      </c>
      <c r="G138" s="62">
        <f t="shared" si="3"/>
        <v>665000</v>
      </c>
      <c r="H138" s="62"/>
      <c r="J138" s="68" t="s">
        <v>83</v>
      </c>
      <c r="K138" s="67" t="s">
        <v>82</v>
      </c>
      <c r="L138" s="21"/>
      <c r="N138" s="21"/>
      <c r="O138" s="21"/>
      <c r="P138" s="21"/>
      <c r="Q138" s="21"/>
      <c r="R138" s="21"/>
      <c r="S138" s="21"/>
      <c r="T138" s="21"/>
      <c r="U138" s="21"/>
      <c r="V138" s="23"/>
    </row>
    <row r="139" spans="2:24" x14ac:dyDescent="0.3">
      <c r="B139" s="58" t="s">
        <v>269</v>
      </c>
      <c r="C139" s="58">
        <f>'BCI '!H149</f>
        <v>392153</v>
      </c>
      <c r="D139" s="62">
        <f>Security!F73</f>
        <v>0</v>
      </c>
      <c r="E139" s="58"/>
      <c r="F139" s="58">
        <f t="shared" si="2"/>
        <v>392153</v>
      </c>
      <c r="G139" s="62"/>
      <c r="H139" s="62"/>
      <c r="J139" s="298">
        <f t="shared" ref="J139:J147" si="4">SUMIF($I$2:$I$124,K139,$E$2:$E$124)</f>
        <v>347450</v>
      </c>
      <c r="K139" s="66" t="s">
        <v>286</v>
      </c>
      <c r="L139" s="211">
        <f>-J139</f>
        <v>-347450</v>
      </c>
      <c r="N139" s="21"/>
      <c r="O139" s="21"/>
      <c r="P139" s="21"/>
      <c r="Q139" s="21"/>
      <c r="R139" s="21"/>
      <c r="S139" s="21"/>
      <c r="T139" s="21"/>
      <c r="U139" s="21"/>
      <c r="V139" s="23"/>
    </row>
    <row r="140" spans="2:24" x14ac:dyDescent="0.3">
      <c r="B140" s="58" t="s">
        <v>268</v>
      </c>
      <c r="C140" s="58">
        <f>'BCI '!H150</f>
        <v>896831</v>
      </c>
      <c r="D140" s="62">
        <f>Security!F74</f>
        <v>0</v>
      </c>
      <c r="E140" s="58"/>
      <c r="F140" s="58">
        <f t="shared" si="2"/>
        <v>896831</v>
      </c>
      <c r="G140" s="62">
        <f t="shared" si="3"/>
        <v>170397.89</v>
      </c>
      <c r="H140" s="62"/>
      <c r="J140" s="298">
        <f t="shared" si="4"/>
        <v>91761</v>
      </c>
      <c r="K140" s="66" t="s">
        <v>284</v>
      </c>
      <c r="L140" s="211">
        <f t="shared" ref="L140:L147" si="5">-J140</f>
        <v>-91761</v>
      </c>
      <c r="N140" s="21"/>
      <c r="O140" s="21"/>
      <c r="P140" s="21"/>
      <c r="Q140" s="21"/>
      <c r="R140" s="21"/>
      <c r="S140" s="21"/>
      <c r="T140" s="21"/>
      <c r="U140" s="21"/>
      <c r="V140" s="23"/>
    </row>
    <row r="141" spans="2:24" x14ac:dyDescent="0.3">
      <c r="B141" s="58" t="s">
        <v>43</v>
      </c>
      <c r="C141" s="58">
        <f>'BCI '!H151</f>
        <v>0</v>
      </c>
      <c r="D141" s="62">
        <f>Security!F75</f>
        <v>10884728</v>
      </c>
      <c r="E141" s="58"/>
      <c r="F141" s="58">
        <f t="shared" si="2"/>
        <v>10884728</v>
      </c>
      <c r="G141" s="62"/>
      <c r="H141" s="62"/>
      <c r="J141" s="62">
        <f t="shared" si="4"/>
        <v>0</v>
      </c>
      <c r="K141" s="66" t="s">
        <v>310</v>
      </c>
      <c r="L141" s="211">
        <f t="shared" si="5"/>
        <v>0</v>
      </c>
      <c r="N141" s="21"/>
      <c r="O141" s="21"/>
      <c r="P141" s="21"/>
      <c r="Q141" s="21"/>
      <c r="R141" s="21"/>
      <c r="S141" s="21"/>
      <c r="T141" s="21"/>
      <c r="U141" s="21"/>
      <c r="V141" s="23"/>
    </row>
    <row r="142" spans="2:24" x14ac:dyDescent="0.3">
      <c r="B142" s="58" t="s">
        <v>12</v>
      </c>
      <c r="C142" s="58">
        <f>'BCI '!H152</f>
        <v>100000</v>
      </c>
      <c r="D142" s="62">
        <f>Security!F76</f>
        <v>0</v>
      </c>
      <c r="E142" s="58"/>
      <c r="F142" s="58">
        <f t="shared" si="2"/>
        <v>100000</v>
      </c>
      <c r="G142" s="62">
        <f t="shared" si="3"/>
        <v>19000</v>
      </c>
      <c r="H142" s="62"/>
      <c r="J142" s="298">
        <f t="shared" si="4"/>
        <v>82543</v>
      </c>
      <c r="K142" s="66" t="s">
        <v>282</v>
      </c>
      <c r="L142" s="211">
        <f t="shared" si="5"/>
        <v>-82543</v>
      </c>
      <c r="N142" s="21"/>
      <c r="O142" s="21"/>
      <c r="P142" s="21"/>
      <c r="Q142" s="21"/>
      <c r="R142" s="21"/>
      <c r="S142" s="21"/>
      <c r="T142" s="21"/>
      <c r="U142" s="21"/>
      <c r="V142" s="23"/>
    </row>
    <row r="143" spans="2:24" x14ac:dyDescent="0.3">
      <c r="B143" s="58" t="s">
        <v>22</v>
      </c>
      <c r="C143" s="58">
        <f>'BCI '!H153</f>
        <v>4120242</v>
      </c>
      <c r="D143" s="62">
        <f>Security!F77</f>
        <v>0</v>
      </c>
      <c r="E143" s="58"/>
      <c r="F143" s="58">
        <f t="shared" si="2"/>
        <v>4120242</v>
      </c>
      <c r="G143" s="62"/>
      <c r="H143" s="62"/>
      <c r="J143" s="298">
        <f t="shared" si="4"/>
        <v>1252112</v>
      </c>
      <c r="K143" s="66" t="s">
        <v>285</v>
      </c>
      <c r="L143" s="211">
        <f t="shared" si="5"/>
        <v>-1252112</v>
      </c>
      <c r="N143" s="21"/>
      <c r="O143" s="21"/>
      <c r="P143" s="21"/>
      <c r="Q143" s="21"/>
      <c r="R143" s="21"/>
      <c r="S143" s="21"/>
      <c r="T143" s="21"/>
      <c r="U143" s="21"/>
      <c r="V143" s="23"/>
      <c r="W143" s="23"/>
      <c r="X143" s="23"/>
    </row>
    <row r="144" spans="2:24" x14ac:dyDescent="0.3">
      <c r="B144" s="58" t="s">
        <v>270</v>
      </c>
      <c r="C144" s="58">
        <f>'BCI '!H154</f>
        <v>2411000</v>
      </c>
      <c r="D144" s="62">
        <f>Security!F78</f>
        <v>0</v>
      </c>
      <c r="E144" s="58"/>
      <c r="F144" s="58">
        <f t="shared" si="2"/>
        <v>2411000</v>
      </c>
      <c r="G144" s="62">
        <f>F144*0.19</f>
        <v>458090</v>
      </c>
      <c r="H144" s="62"/>
      <c r="J144" s="298">
        <f t="shared" si="4"/>
        <v>882871</v>
      </c>
      <c r="K144" s="66" t="s">
        <v>89</v>
      </c>
      <c r="L144" s="211">
        <f t="shared" si="5"/>
        <v>-882871</v>
      </c>
      <c r="M144" s="100"/>
      <c r="N144" s="21"/>
      <c r="O144" s="21"/>
      <c r="P144" s="21"/>
      <c r="Q144" s="21"/>
      <c r="R144" s="21"/>
      <c r="S144" s="21"/>
      <c r="T144" s="21"/>
      <c r="U144" s="21"/>
      <c r="V144" s="23"/>
      <c r="W144" s="23"/>
      <c r="X144" s="23"/>
    </row>
    <row r="145" spans="1:24" x14ac:dyDescent="0.3">
      <c r="B145" s="58" t="s">
        <v>50</v>
      </c>
      <c r="C145" s="58">
        <f>'BCI '!H155</f>
        <v>9250267</v>
      </c>
      <c r="D145" s="62">
        <f>Security!F79</f>
        <v>2349832</v>
      </c>
      <c r="E145" s="58"/>
      <c r="F145" s="58">
        <f t="shared" si="2"/>
        <v>11600099</v>
      </c>
      <c r="G145" s="62"/>
      <c r="H145" s="62"/>
      <c r="J145" s="298">
        <f t="shared" si="4"/>
        <v>33487</v>
      </c>
      <c r="K145" s="66" t="s">
        <v>289</v>
      </c>
      <c r="L145" s="211">
        <f t="shared" si="5"/>
        <v>-33487</v>
      </c>
      <c r="Q145" s="21"/>
      <c r="R145" s="21"/>
      <c r="S145" s="21"/>
      <c r="T145" s="21"/>
      <c r="U145" s="23"/>
      <c r="V145" s="23"/>
      <c r="W145" s="23"/>
      <c r="X145" s="23"/>
    </row>
    <row r="146" spans="1:24" x14ac:dyDescent="0.3">
      <c r="B146" s="58" t="s">
        <v>200</v>
      </c>
      <c r="C146" s="58">
        <f>'BCI '!H156</f>
        <v>2017900</v>
      </c>
      <c r="D146" s="62">
        <f>Security!F80</f>
        <v>9000000</v>
      </c>
      <c r="E146" s="58"/>
      <c r="F146" s="58">
        <f t="shared" si="2"/>
        <v>11017900</v>
      </c>
      <c r="G146" s="62"/>
      <c r="H146" s="62"/>
      <c r="J146" s="298">
        <f t="shared" si="4"/>
        <v>0</v>
      </c>
      <c r="K146" s="66" t="s">
        <v>121</v>
      </c>
      <c r="L146" s="211">
        <f t="shared" si="5"/>
        <v>0</v>
      </c>
      <c r="O146" s="23"/>
      <c r="Q146" s="21"/>
      <c r="R146" s="21"/>
      <c r="S146" s="21"/>
      <c r="T146" s="21"/>
      <c r="U146" s="23"/>
      <c r="V146" s="23"/>
      <c r="W146" s="23"/>
      <c r="X146" s="23"/>
    </row>
    <row r="147" spans="1:24" x14ac:dyDescent="0.3">
      <c r="B147" s="58" t="s">
        <v>201</v>
      </c>
      <c r="C147" s="58">
        <f>'BCI '!H157</f>
        <v>0</v>
      </c>
      <c r="D147" s="62">
        <f>Security!F81</f>
        <v>-50594908</v>
      </c>
      <c r="E147" s="58"/>
      <c r="F147" s="58">
        <f t="shared" si="2"/>
        <v>-50594908</v>
      </c>
      <c r="G147" s="62"/>
      <c r="H147" s="62"/>
      <c r="J147" s="298">
        <f t="shared" si="4"/>
        <v>64848</v>
      </c>
      <c r="K147" s="66" t="s">
        <v>221</v>
      </c>
      <c r="L147" s="211">
        <f t="shared" si="5"/>
        <v>-64848</v>
      </c>
      <c r="N147" s="21"/>
      <c r="O147" s="23"/>
      <c r="Q147" s="21"/>
      <c r="R147" s="21"/>
      <c r="S147" s="21"/>
      <c r="T147" s="21"/>
      <c r="U147" s="23"/>
      <c r="V147" s="23"/>
      <c r="W147" s="23"/>
      <c r="X147" s="23"/>
    </row>
    <row r="148" spans="1:24" x14ac:dyDescent="0.3">
      <c r="B148" s="58" t="s">
        <v>271</v>
      </c>
      <c r="C148" s="58">
        <f>'BCI '!H158</f>
        <v>0</v>
      </c>
      <c r="D148" s="62">
        <f>Security!F82</f>
        <v>0</v>
      </c>
      <c r="E148" s="58"/>
      <c r="F148" s="58">
        <f t="shared" si="2"/>
        <v>0</v>
      </c>
      <c r="G148" s="62"/>
      <c r="H148" s="62"/>
      <c r="J148" s="86">
        <f>SUM(J139:J147)</f>
        <v>2755072</v>
      </c>
      <c r="K148" s="85"/>
      <c r="L148" s="21"/>
      <c r="N148" s="21"/>
      <c r="O148" s="23"/>
      <c r="Q148" s="21"/>
      <c r="R148" s="21"/>
      <c r="S148" s="21"/>
      <c r="T148" s="21"/>
      <c r="U148" s="23"/>
      <c r="V148" s="23"/>
      <c r="W148" s="23"/>
      <c r="X148" s="23"/>
    </row>
    <row r="149" spans="1:24" x14ac:dyDescent="0.3">
      <c r="B149" s="58" t="s">
        <v>272</v>
      </c>
      <c r="C149" s="58">
        <f>'BCI '!H159</f>
        <v>-10054</v>
      </c>
      <c r="D149" s="62">
        <f>Security!F83</f>
        <v>0</v>
      </c>
      <c r="E149" s="58"/>
      <c r="F149" s="58">
        <f t="shared" si="2"/>
        <v>-10054</v>
      </c>
      <c r="G149" s="62"/>
      <c r="H149" s="62"/>
      <c r="J149" s="21"/>
      <c r="K149" s="21"/>
      <c r="L149" s="21"/>
      <c r="N149" s="21"/>
      <c r="O149" s="23"/>
      <c r="Q149" s="21"/>
      <c r="R149" s="21"/>
      <c r="S149" s="21"/>
      <c r="T149" s="21"/>
      <c r="U149" s="23"/>
      <c r="V149" s="23"/>
      <c r="W149" s="23"/>
      <c r="X149" s="23"/>
    </row>
    <row r="150" spans="1:24" x14ac:dyDescent="0.3">
      <c r="B150" s="171" t="s">
        <v>26</v>
      </c>
      <c r="C150" s="171">
        <f>SUM(C133:C149)</f>
        <v>26184878</v>
      </c>
      <c r="D150" s="172">
        <f>SUM(D133:D149)</f>
        <v>-28330709</v>
      </c>
      <c r="E150" s="171"/>
      <c r="F150" s="171">
        <f>SUM(F133:F149)</f>
        <v>-2145831</v>
      </c>
      <c r="G150" s="172">
        <f>SUM(G133:G149)</f>
        <v>1322798.05</v>
      </c>
      <c r="H150" s="172"/>
      <c r="J150" s="21"/>
      <c r="K150" s="21"/>
      <c r="L150" s="21"/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3">
      <c r="B151" s="58"/>
      <c r="C151" s="58"/>
      <c r="D151" s="62"/>
      <c r="E151" s="58"/>
      <c r="F151" s="58"/>
      <c r="K151" s="21"/>
      <c r="L151" s="21"/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ht="18" x14ac:dyDescent="0.35">
      <c r="B152" s="58"/>
      <c r="C152" s="58"/>
      <c r="D152" s="62"/>
      <c r="E152" s="58"/>
      <c r="F152" s="176"/>
      <c r="G152" s="176"/>
      <c r="H152" s="177"/>
      <c r="K152" s="21"/>
      <c r="L152" s="21"/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ht="18" x14ac:dyDescent="0.35">
      <c r="A153" s="23"/>
      <c r="B153" s="58"/>
      <c r="C153" s="58"/>
      <c r="D153" s="62"/>
      <c r="E153" s="62"/>
      <c r="F153" s="176"/>
      <c r="G153" s="176"/>
      <c r="H153" s="177"/>
      <c r="K153" s="21"/>
      <c r="L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ht="18" x14ac:dyDescent="0.35">
      <c r="A154" s="23"/>
      <c r="B154" s="171" t="s">
        <v>26</v>
      </c>
      <c r="C154" s="171"/>
      <c r="D154" s="172"/>
      <c r="E154" s="33"/>
      <c r="F154" s="33"/>
      <c r="G154" s="33"/>
      <c r="H154" s="178">
        <f>SUM(H152:H153)</f>
        <v>0</v>
      </c>
      <c r="K154" s="21"/>
      <c r="L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3">
      <c r="A155" s="23"/>
      <c r="D155" s="23"/>
      <c r="K155" s="21"/>
      <c r="L155" s="21"/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3">
      <c r="D156" s="23"/>
      <c r="K156" s="21"/>
      <c r="L156" s="21"/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3">
      <c r="N157" s="21"/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3">
      <c r="N158" s="21"/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3">
      <c r="N159" s="21"/>
      <c r="O159" s="23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3">
      <c r="N160" s="21"/>
      <c r="O160" s="23"/>
      <c r="Q160" s="23"/>
      <c r="R160" s="23"/>
      <c r="S160" s="23"/>
      <c r="T160" s="23"/>
      <c r="U160" s="23"/>
      <c r="V160" s="23"/>
      <c r="W160" s="23"/>
      <c r="X160" s="23"/>
    </row>
    <row r="161" spans="14:24" x14ac:dyDescent="0.3">
      <c r="N161" s="21"/>
      <c r="O161" s="23"/>
      <c r="Q161" s="23"/>
      <c r="R161" s="23"/>
      <c r="S161" s="23"/>
      <c r="T161" s="23"/>
      <c r="U161" s="23"/>
      <c r="V161" s="23"/>
      <c r="W161" s="23"/>
      <c r="X161" s="23"/>
    </row>
    <row r="162" spans="14:24" x14ac:dyDescent="0.3">
      <c r="N162" s="21"/>
      <c r="O162" s="23"/>
      <c r="Q162" s="23"/>
      <c r="R162" s="23"/>
      <c r="S162" s="23"/>
      <c r="T162" s="23"/>
      <c r="U162" s="23"/>
      <c r="V162" s="23"/>
      <c r="W162" s="23"/>
      <c r="X162" s="23"/>
    </row>
    <row r="163" spans="14:24" x14ac:dyDescent="0.3">
      <c r="N163" s="21"/>
      <c r="O163" s="23"/>
      <c r="Q163" s="23"/>
      <c r="R163" s="23"/>
      <c r="S163" s="23"/>
      <c r="T163" s="23"/>
      <c r="U163" s="23"/>
      <c r="V163" s="23"/>
      <c r="W163" s="23"/>
      <c r="X163" s="23"/>
    </row>
    <row r="164" spans="14:24" x14ac:dyDescent="0.3">
      <c r="N164" s="21"/>
      <c r="O164" s="23"/>
      <c r="Q164" s="23"/>
      <c r="R164" s="23"/>
      <c r="S164" s="23"/>
      <c r="T164" s="23"/>
      <c r="U164" s="23"/>
      <c r="V164" s="23"/>
      <c r="W164" s="23"/>
      <c r="X164" s="23"/>
    </row>
    <row r="165" spans="14:24" x14ac:dyDescent="0.3">
      <c r="O165" s="23"/>
      <c r="Q165" s="23"/>
      <c r="R165" s="23"/>
      <c r="S165" s="23"/>
      <c r="T165" s="23"/>
      <c r="U165" s="23"/>
      <c r="V165" s="23"/>
      <c r="W165" s="23"/>
      <c r="X165" s="23"/>
    </row>
    <row r="166" spans="14:24" x14ac:dyDescent="0.3">
      <c r="O166" s="23"/>
      <c r="Q166" s="23"/>
      <c r="R166" s="23"/>
      <c r="S166" s="23"/>
      <c r="T166" s="23"/>
      <c r="U166" s="23"/>
      <c r="V166" s="23"/>
      <c r="W166" s="23"/>
      <c r="X166" s="23"/>
    </row>
    <row r="167" spans="14:24" x14ac:dyDescent="0.3">
      <c r="Q167" s="23"/>
      <c r="R167" s="23"/>
      <c r="S167" s="23"/>
      <c r="T167" s="23"/>
      <c r="U167" s="23"/>
      <c r="V167" s="23"/>
      <c r="W167" s="23"/>
      <c r="X167" s="23"/>
    </row>
    <row r="168" spans="14:24" x14ac:dyDescent="0.3">
      <c r="Q168" s="23"/>
      <c r="R168" s="23"/>
      <c r="S168" s="23"/>
      <c r="T168" s="23"/>
      <c r="U168" s="23"/>
      <c r="V168" s="23"/>
      <c r="W168" s="23"/>
      <c r="X168" s="23"/>
    </row>
    <row r="169" spans="14:24" x14ac:dyDescent="0.3">
      <c r="Q169" s="23"/>
      <c r="R169" s="23"/>
      <c r="S169" s="23"/>
      <c r="T169" s="23"/>
      <c r="U169" s="23"/>
      <c r="V169" s="23"/>
      <c r="W169" s="23"/>
      <c r="X169" s="23"/>
    </row>
    <row r="170" spans="14:24" x14ac:dyDescent="0.3">
      <c r="Q170" s="23"/>
      <c r="R170" s="23"/>
      <c r="S170" s="23"/>
      <c r="T170" s="23"/>
      <c r="U170" s="23"/>
      <c r="V170" s="23"/>
      <c r="W170" s="23"/>
      <c r="X170" s="23"/>
    </row>
    <row r="171" spans="14:24" x14ac:dyDescent="0.3">
      <c r="Q171" s="23"/>
      <c r="R171" s="23"/>
      <c r="S171" s="23"/>
      <c r="T171" s="23"/>
      <c r="U171" s="23"/>
      <c r="V171" s="23"/>
      <c r="W171" s="23"/>
      <c r="X171" s="23"/>
    </row>
    <row r="172" spans="14:24" x14ac:dyDescent="0.3">
      <c r="Q172" s="23"/>
      <c r="R172" s="23"/>
      <c r="S172" s="23"/>
      <c r="T172" s="23"/>
      <c r="U172" s="23"/>
      <c r="V172" s="23"/>
      <c r="W172" s="23"/>
      <c r="X172" s="23"/>
    </row>
    <row r="173" spans="14:24" x14ac:dyDescent="0.3">
      <c r="Q173" s="23"/>
      <c r="R173" s="23"/>
      <c r="S173" s="23"/>
      <c r="T173" s="23"/>
      <c r="U173" s="23"/>
      <c r="V173" s="23"/>
      <c r="W173" s="23"/>
      <c r="X173" s="23"/>
    </row>
    <row r="174" spans="14:24" x14ac:dyDescent="0.3">
      <c r="Q174" s="23"/>
      <c r="R174" s="23"/>
      <c r="S174" s="23"/>
      <c r="T174" s="23"/>
      <c r="U174" s="23"/>
      <c r="V174" s="23"/>
      <c r="W174" s="23"/>
      <c r="X174" s="23"/>
    </row>
    <row r="175" spans="14:24" x14ac:dyDescent="0.3">
      <c r="Q175" s="23"/>
      <c r="R175" s="23"/>
      <c r="S175" s="23"/>
      <c r="T175" s="23"/>
      <c r="U175" s="23"/>
      <c r="V175" s="23"/>
      <c r="W175" s="23"/>
      <c r="X175" s="23"/>
    </row>
    <row r="176" spans="14:24" x14ac:dyDescent="0.3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3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3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3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3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3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3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3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3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3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3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3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3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3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3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3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3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3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3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3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3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3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3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3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3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3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3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3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3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3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3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3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3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3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3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3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3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3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3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3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3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3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3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3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3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3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3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3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3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3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3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3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3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3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3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3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3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3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3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3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3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3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3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3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3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3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3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3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3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3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3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3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3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3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3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3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3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3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3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3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3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3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3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3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3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3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3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3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3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3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3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3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3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3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3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3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3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3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3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3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3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3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3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3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3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3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3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3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3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3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3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3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3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3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3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3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3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3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3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3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3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3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3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3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3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3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3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3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3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3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3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3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3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3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3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3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3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3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3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3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3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3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3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3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3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3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3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3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3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3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3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3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3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3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3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3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3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3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3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3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3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3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3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3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3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3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3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3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3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3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3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3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3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3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3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3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3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3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3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3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3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3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3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3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3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3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3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3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3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3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3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3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3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3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3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3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3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3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3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3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3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3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3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3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3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3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3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3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3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3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3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3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3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3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3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3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3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3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3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3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3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3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3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3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3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3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3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3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3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3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3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3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3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3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3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3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3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3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3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3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3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3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3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3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3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3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3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3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3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3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3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3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3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3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3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3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3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3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3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3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3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3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3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3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3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3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3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3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3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3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3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3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3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3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3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3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3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3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3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3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3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3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3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3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3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3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3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3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3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3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3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3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3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3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3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3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3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3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3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3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3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3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3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3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3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3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3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3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3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3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3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3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3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3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3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3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3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3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3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3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3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3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3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3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3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3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3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3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3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3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3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3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3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3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3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3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3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3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3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3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3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3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3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3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3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3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3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3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3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3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3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3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3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3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3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3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3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3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3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3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3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3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3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3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3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3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3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3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3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3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3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3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3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3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3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3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3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3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3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3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3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3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3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3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3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3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3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3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3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3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3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3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3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3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3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3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3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3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3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3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3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3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3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3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3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3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3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3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3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3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3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3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3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3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3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3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3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3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3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3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3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3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3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3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3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3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3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3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3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3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3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3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3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3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3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3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3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3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3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3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3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3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3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3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3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3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3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3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3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3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3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3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3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3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3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3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3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3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3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3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3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3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3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3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3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3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3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3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3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3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3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3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3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3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3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3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3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3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3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3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3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3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3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3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3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3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3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3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3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3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3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3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3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3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3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3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3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3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3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3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3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3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3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3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3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3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3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3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3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3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3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3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3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3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3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3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3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3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3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3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3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3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3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3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3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3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3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3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3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3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3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3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3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3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3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3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3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3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3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3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3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3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3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3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3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3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3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3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3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3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3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3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3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3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3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3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3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3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3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3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3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3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3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3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3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3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3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3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3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3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3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3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3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3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3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3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3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3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3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3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3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3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3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3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3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3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3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3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3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3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3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3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3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3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3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3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3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3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3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3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3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3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3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3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3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3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3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3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3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3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3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3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3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3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3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3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3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3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3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3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3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3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3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3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3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3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3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3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3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3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3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3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3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3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3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3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3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3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3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3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3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3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3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3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3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3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3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3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3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3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3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3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3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3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3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3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3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3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3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3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3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3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3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3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3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3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3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3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3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3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3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3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3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3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3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3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3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3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3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3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3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3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3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3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3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3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3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3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3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3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3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3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3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3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3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3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3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3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3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3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3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3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3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3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3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3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3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3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3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3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3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3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3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3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3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3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3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3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3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3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3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3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3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3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3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3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3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3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3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3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3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3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3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3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3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3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3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3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3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3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3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3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3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3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3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3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3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3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3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3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3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3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3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3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3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3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3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3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3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3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3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3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3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3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3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3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3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3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3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3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3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3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3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3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3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3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3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3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3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3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3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3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3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3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3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3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3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3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3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3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3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3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3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3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3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3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3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3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3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3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3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3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3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3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3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3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3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3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3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3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3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3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3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3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3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3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3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3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3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3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3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3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3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3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3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3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3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3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3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3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3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3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3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3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3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3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3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3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3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3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3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3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3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3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3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3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3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3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3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3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3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3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3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3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3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3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3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3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3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3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3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3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3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3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3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3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3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3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3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3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3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3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3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3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3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3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3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3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3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3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3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3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3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3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3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3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3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3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3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3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3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3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3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3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3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3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3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3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3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3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3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3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3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3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3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3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3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3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3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3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3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3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3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3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3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3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3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3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3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3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3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3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3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3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3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3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3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3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3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3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3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3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3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3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3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3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3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3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3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3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3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3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3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3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3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3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3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3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3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3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3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3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3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3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3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3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3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3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3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3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3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3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3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3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3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3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3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3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3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3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3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3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3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3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3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3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3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3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3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3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3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3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3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3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3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3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3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3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3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3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3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3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3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3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3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3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3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3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3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3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3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3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3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3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3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3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3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3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3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3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3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3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3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3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3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3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3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3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3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3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3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3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3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3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3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3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3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3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3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3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3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3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3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3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3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3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3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3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3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3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3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3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3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3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3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3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3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3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3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3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3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3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3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3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3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3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3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3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3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3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3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3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3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3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3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3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3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3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3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3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3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3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3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3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3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3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3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3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3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3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3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3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3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3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3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3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3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3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3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3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3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3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3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3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3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3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3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3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3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3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3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3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3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3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3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3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3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3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3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3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3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3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3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3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3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3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3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3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3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3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3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3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3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3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3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3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3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3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3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3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3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3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3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3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3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3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3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3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3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3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3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3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3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3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3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3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3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3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3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3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3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3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3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3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3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3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3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3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3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3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3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3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3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3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3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3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3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3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3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3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3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3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3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3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3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3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3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3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3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3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3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3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3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3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3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3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3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3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3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3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3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3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3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3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3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3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3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3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3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3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3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3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3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3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3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3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3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3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3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3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3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3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3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3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3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3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3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3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3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3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3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3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3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3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3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3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3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3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3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3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3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3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3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3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3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3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3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3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3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3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3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3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3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3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3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3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3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3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3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3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3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3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3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3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3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3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3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3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3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3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3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3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3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3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3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3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3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3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3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3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3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3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3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3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3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3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3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3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3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3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3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3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3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3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3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3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3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3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3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3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3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3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3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3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3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3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3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3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3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3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3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3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3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3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3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3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3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3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3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3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3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3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3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3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3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3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3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3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3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3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3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3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3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3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3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3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3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3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3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3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3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3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3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3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3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3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3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3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3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3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3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3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3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3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3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3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3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3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3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3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3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3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3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3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3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3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3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3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3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3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3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3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3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3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3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3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3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3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3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3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3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3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3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3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3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3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3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3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3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3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3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3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3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3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3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3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3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3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3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3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3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3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3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3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3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3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3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3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3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3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3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3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3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3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3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3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3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3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3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3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3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3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3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3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3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3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3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3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3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3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3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3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3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3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3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3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3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3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3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3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3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3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3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3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3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3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3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3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3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3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3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3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3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3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3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3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3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3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3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3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3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3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3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3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3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3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3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3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3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3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3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3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3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3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3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3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3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3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3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3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3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3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3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3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3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3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3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3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3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3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3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3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3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3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3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3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3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3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3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3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3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3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3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3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3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3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3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3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3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3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3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3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3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3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3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3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3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3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3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3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3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3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3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3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3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3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3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3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3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3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3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3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3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3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3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3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3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3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3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3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3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3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3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3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3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3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3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3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3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3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3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3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3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3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3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3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3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3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3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3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3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3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3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3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3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3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3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3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3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3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3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3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3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3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3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3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3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3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3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3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3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3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3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3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3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3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3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3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3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3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3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3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3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3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3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3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3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3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3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3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3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3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3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3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3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3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3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3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3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3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3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3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3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3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3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3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3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3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3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3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3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3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3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3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3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3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3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3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3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3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3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3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3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3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3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3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3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3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3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3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3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3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3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3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3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3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3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3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3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3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3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3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3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3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3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3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3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3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3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3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3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3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3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3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3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3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3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3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3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3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3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3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3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3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3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3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3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3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3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3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3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3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3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3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3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3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3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3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3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3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3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3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3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3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3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3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3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3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3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3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3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3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3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3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3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3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3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3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3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3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3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3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3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3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3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3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3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3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3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3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3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3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3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3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3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3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3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3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3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3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3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3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3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3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3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3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3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3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3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3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3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3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3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3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3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3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3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3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3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3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3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3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3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3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3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3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3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3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3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3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3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3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3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3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3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3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3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3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3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3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3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3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3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3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3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3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3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3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3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3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3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3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3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3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3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3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3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3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3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3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3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3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3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3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3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3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3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3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3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3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3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3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3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3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3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3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3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3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3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3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3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3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3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3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3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3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3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3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3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3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3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3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3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3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3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3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3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3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3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3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3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3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3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3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3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3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3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3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3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3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3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3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3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3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3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3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3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3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3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3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3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3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3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3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3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3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3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3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3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3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3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3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3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3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3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3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3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3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3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3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3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3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3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3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3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3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3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3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3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3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3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3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3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3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3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3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3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3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3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3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3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3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3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3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3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3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3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3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3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3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3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3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3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3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3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3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3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3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3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3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3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3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3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3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3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3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3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3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3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3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3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3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3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3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3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3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3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3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3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3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3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3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3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3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3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3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3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3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3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3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3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3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3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3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3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3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3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3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3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3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3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3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3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3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3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3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3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3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3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3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3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3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3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3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3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3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3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3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3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3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3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3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3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3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3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3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3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3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3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3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3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3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3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3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3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3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3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3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3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3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3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3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3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3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3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3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3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3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3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3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3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3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3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3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3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3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3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3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3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3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3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3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3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3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3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3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3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3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3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3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3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3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3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3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3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3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3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3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3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3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3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3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3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3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3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3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3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3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3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3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3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3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3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3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3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3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3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3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3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3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3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3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3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3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3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3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3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3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3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3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3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3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3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3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3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3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3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3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3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3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3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3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3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3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3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3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3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3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3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3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3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3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3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3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3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3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3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3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3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3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3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3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3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3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3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3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3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3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3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3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3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3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3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3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3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3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3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3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3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3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3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3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3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3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3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3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3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3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3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3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3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3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3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3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3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3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3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3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3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3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3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3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3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3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3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3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3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3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3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3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3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3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3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3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3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3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3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3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3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3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3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3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3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3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3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3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3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3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3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3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3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3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3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3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3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3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3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3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3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3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3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3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3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3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3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3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3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3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3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3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3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3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3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3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3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3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3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3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3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3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3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3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3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3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3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3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3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3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3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3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3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3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3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3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3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3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3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3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3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3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3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3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3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3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3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3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3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3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3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3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3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3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3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3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3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3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3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3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3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3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3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3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3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3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3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3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3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3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3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3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3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3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3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3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3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3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3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3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3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3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3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3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3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3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3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3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3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3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3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3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3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3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3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3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3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3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3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3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3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3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3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3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3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3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3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3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3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3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3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3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3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3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3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3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3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3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3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3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3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3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3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3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3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3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3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3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3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3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3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3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3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3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3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3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3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3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3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3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3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3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3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3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3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3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3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3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3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3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3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3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3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3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3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3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3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3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3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3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3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3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3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3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3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3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3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3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3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3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3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3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3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3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3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3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3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3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3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3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3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3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3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3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3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3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3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3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3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3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3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3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3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3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3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3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3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3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3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3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3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3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3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3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3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3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3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3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3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3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3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3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3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3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3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3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3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3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3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3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3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3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3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3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3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3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3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3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3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3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3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3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3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3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3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3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3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3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3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3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3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3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3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3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3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3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3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3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3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3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3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3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3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3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3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3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3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3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3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3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3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3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3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3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3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3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3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3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3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3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3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3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3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3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3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3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3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3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3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3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3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3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3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3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3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3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3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3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3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3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3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3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3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3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3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3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3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3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3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3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3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3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3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3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3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3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3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3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3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3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3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3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3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3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3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3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3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3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3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3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3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3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3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3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3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3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3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3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3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3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3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3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3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3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3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3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3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3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3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3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3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3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3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3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3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3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3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3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3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3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3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3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3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3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3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3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3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3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3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3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3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3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3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3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3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3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3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3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3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3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3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3">
      <c r="Q2705" s="23"/>
      <c r="R2705" s="23"/>
      <c r="S2705" s="23"/>
      <c r="T2705" s="23"/>
      <c r="U2705" s="23"/>
      <c r="V2705" s="23"/>
      <c r="W2705" s="23"/>
      <c r="X2705" s="23"/>
    </row>
    <row r="2706" spans="17:24" x14ac:dyDescent="0.3">
      <c r="Q2706" s="23"/>
      <c r="R2706" s="23"/>
      <c r="S2706" s="23"/>
      <c r="T2706" s="23"/>
      <c r="U2706" s="23"/>
      <c r="V2706" s="23"/>
      <c r="W2706" s="23"/>
      <c r="X2706" s="23"/>
    </row>
    <row r="2707" spans="17:24" x14ac:dyDescent="0.3">
      <c r="Q2707" s="23"/>
      <c r="R2707" s="23"/>
      <c r="S2707" s="23"/>
      <c r="T2707" s="23"/>
      <c r="U2707" s="23"/>
      <c r="V2707" s="23"/>
      <c r="W2707" s="23"/>
      <c r="X2707" s="23"/>
    </row>
    <row r="2708" spans="17:24" x14ac:dyDescent="0.3">
      <c r="Q2708" s="23"/>
      <c r="R2708" s="23"/>
      <c r="S2708" s="23"/>
      <c r="T2708" s="23"/>
      <c r="U2708" s="23"/>
      <c r="V2708" s="23"/>
      <c r="W2708" s="23"/>
      <c r="X2708" s="23"/>
    </row>
    <row r="2709" spans="17:24" x14ac:dyDescent="0.3">
      <c r="Q2709" s="23"/>
      <c r="R2709" s="23"/>
      <c r="S2709" s="23"/>
      <c r="T2709" s="23"/>
      <c r="U2709" s="23"/>
      <c r="V2709" s="23"/>
      <c r="W2709" s="23"/>
      <c r="X2709" s="23"/>
    </row>
    <row r="2710" spans="17:24" x14ac:dyDescent="0.3">
      <c r="Q2710" s="23"/>
      <c r="R2710" s="23"/>
      <c r="S2710" s="23"/>
      <c r="T2710" s="23"/>
      <c r="U2710" s="23"/>
      <c r="V2710" s="23"/>
      <c r="W2710" s="23"/>
      <c r="X2710" s="23"/>
    </row>
    <row r="2711" spans="17:24" x14ac:dyDescent="0.3">
      <c r="Q2711" s="23"/>
      <c r="R2711" s="23"/>
      <c r="S2711" s="23"/>
      <c r="T2711" s="23"/>
      <c r="U2711" s="23"/>
      <c r="V2711" s="23"/>
      <c r="W2711" s="23"/>
      <c r="X2711" s="23"/>
    </row>
    <row r="2712" spans="17:24" x14ac:dyDescent="0.3">
      <c r="Q2712" s="23"/>
      <c r="R2712" s="23"/>
      <c r="S2712" s="23"/>
      <c r="T2712" s="23"/>
      <c r="U2712" s="23"/>
      <c r="V2712" s="23"/>
      <c r="W2712" s="23"/>
      <c r="X2712" s="23"/>
    </row>
    <row r="2713" spans="17:24" x14ac:dyDescent="0.3">
      <c r="Q2713" s="23"/>
      <c r="R2713" s="23"/>
      <c r="S2713" s="23"/>
      <c r="T2713" s="23"/>
      <c r="U2713" s="23"/>
      <c r="V2713" s="23"/>
      <c r="W2713" s="23"/>
      <c r="X2713" s="23"/>
    </row>
  </sheetData>
  <autoFilter ref="A1:J125"/>
  <sortState ref="A2:J54">
    <sortCondition ref="A2:A54"/>
  </sortState>
  <dataValidations count="2">
    <dataValidation type="list" allowBlank="1" showInputMessage="1" showErrorMessage="1" sqref="I61 K23:K25 I93:I108">
      <formula1>Clasificación</formula1>
    </dataValidation>
    <dataValidation type="list" allowBlank="1" showInputMessage="1" showErrorMessage="1" sqref="I2:I60 I74:I92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EERR</vt:lpstr>
      <vt:lpstr>Abril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2018-02-12T14:57:42Z</dcterms:modified>
</cp:coreProperties>
</file>