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210" yWindow="-15" windowWidth="4605" windowHeight="9660" activeTab="1"/>
  </bookViews>
  <sheets>
    <sheet name="EERR" sheetId="11" r:id="rId1"/>
    <sheet name="Agosto" sheetId="16" r:id="rId2"/>
    <sheet name="Booking" sheetId="4" state="hidden" r:id="rId3"/>
    <sheet name="Buuteeq" sheetId="5" state="hidden" r:id="rId4"/>
    <sheet name="Expedia" sheetId="18" state="hidden" r:id="rId5"/>
    <sheet name="Transbank" sheetId="23" r:id="rId6"/>
    <sheet name="BCI " sheetId="15" r:id="rId7"/>
    <sheet name="Security" sheetId="8" r:id="rId8"/>
    <sheet name="BCI FondRendir" sheetId="14" r:id="rId9"/>
    <sheet name="1" sheetId="36" state="hidden" r:id="rId10"/>
    <sheet name="IVA Sergio" sheetId="37" state="hidden" r:id="rId11"/>
  </sheets>
  <externalReferences>
    <externalReference r:id="rId12"/>
  </externalReferences>
  <definedNames>
    <definedName name="_xlnm._FilterDatabase" localSheetId="1" hidden="1">Agosto!$A$2:$T$92</definedName>
    <definedName name="_xlnm._FilterDatabase" localSheetId="6" hidden="1">'BCI '!$B$2:$K$153</definedName>
    <definedName name="_xlnm._FilterDatabase" localSheetId="8" hidden="1">'BCI FondRendir'!$A$1:$J$124</definedName>
    <definedName name="_xlnm._FilterDatabase" localSheetId="2" hidden="1">Booking!$D$1:$M$44</definedName>
    <definedName name="_xlnm._FilterDatabase" localSheetId="3" hidden="1">Buuteeq!$A$1:$B$1</definedName>
    <definedName name="_xlnm._FilterDatabase" localSheetId="7" hidden="1">Security!$A$1:$G$61</definedName>
    <definedName name="_xlnm._FilterDatabase" localSheetId="5" hidden="1">Transbank!$A$1:$N$433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Booking!$K$1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J138" i="14" l="1"/>
  <c r="H174" i="15" l="1"/>
  <c r="K55" i="15"/>
  <c r="L108" i="15"/>
  <c r="L109" i="15"/>
  <c r="L110" i="15"/>
  <c r="L111" i="15"/>
  <c r="L112" i="15"/>
  <c r="L113" i="15"/>
  <c r="L107" i="15"/>
  <c r="J71" i="15"/>
  <c r="K71" i="15"/>
  <c r="J72" i="15"/>
  <c r="K72" i="15"/>
  <c r="J73" i="15"/>
  <c r="K73" i="15"/>
  <c r="J74" i="15"/>
  <c r="K74" i="15"/>
  <c r="J75" i="15"/>
  <c r="K75" i="15"/>
  <c r="J76" i="15"/>
  <c r="K76" i="15"/>
  <c r="J77" i="15"/>
  <c r="K77" i="15"/>
  <c r="J78" i="15"/>
  <c r="K78" i="15"/>
  <c r="J79" i="15"/>
  <c r="K79" i="15"/>
  <c r="J80" i="15"/>
  <c r="K80" i="15"/>
  <c r="K70" i="15"/>
  <c r="J70" i="15"/>
  <c r="J36" i="15"/>
  <c r="K36" i="15"/>
  <c r="J37" i="15"/>
  <c r="K37" i="15"/>
  <c r="J38" i="15"/>
  <c r="K38" i="15"/>
  <c r="J39" i="15"/>
  <c r="K39" i="15"/>
  <c r="J40" i="15"/>
  <c r="K40" i="15"/>
  <c r="K41" i="15"/>
  <c r="K42" i="15"/>
  <c r="K43" i="15"/>
  <c r="J44" i="15"/>
  <c r="K44" i="15"/>
  <c r="J45" i="15"/>
  <c r="K45" i="15"/>
  <c r="J46" i="15"/>
  <c r="K46" i="15"/>
  <c r="J47" i="15"/>
  <c r="K47" i="15"/>
  <c r="J48" i="15"/>
  <c r="J49" i="15"/>
  <c r="K49" i="15"/>
  <c r="J50" i="15"/>
  <c r="K50" i="15"/>
  <c r="J51" i="15"/>
  <c r="K51" i="15"/>
  <c r="J52" i="15"/>
  <c r="K52" i="15"/>
  <c r="J53" i="15"/>
  <c r="K53" i="15"/>
  <c r="J54" i="15"/>
  <c r="K54" i="15"/>
  <c r="J55" i="15"/>
  <c r="J56" i="15"/>
  <c r="K56" i="15"/>
  <c r="J57" i="15"/>
  <c r="K57" i="15"/>
  <c r="J58" i="15"/>
  <c r="K58" i="15"/>
  <c r="J59" i="15"/>
  <c r="K59" i="15"/>
  <c r="J60" i="15"/>
  <c r="K60" i="15"/>
  <c r="J61" i="15"/>
  <c r="K61" i="15"/>
  <c r="J62" i="15"/>
  <c r="K62" i="15"/>
  <c r="J63" i="15"/>
  <c r="K63" i="15"/>
  <c r="J64" i="15"/>
  <c r="K64" i="15"/>
  <c r="J65" i="15"/>
  <c r="K65" i="15"/>
  <c r="J66" i="15"/>
  <c r="K66" i="15"/>
  <c r="J67" i="15"/>
  <c r="K67" i="15"/>
  <c r="J68" i="15"/>
  <c r="K68" i="15"/>
  <c r="J69" i="15"/>
  <c r="K69" i="15"/>
  <c r="K24" i="15"/>
  <c r="K25" i="15"/>
  <c r="K26" i="15"/>
  <c r="K27" i="15"/>
  <c r="K28" i="15"/>
  <c r="K29" i="15"/>
  <c r="K30" i="15"/>
  <c r="K31" i="15"/>
  <c r="K32" i="15"/>
  <c r="J33" i="15"/>
  <c r="K33" i="15"/>
  <c r="J34" i="15"/>
  <c r="K34" i="15"/>
  <c r="J35" i="15"/>
  <c r="K35" i="15"/>
  <c r="F151" i="15"/>
  <c r="F15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U70" i="16" l="1"/>
  <c r="U71" i="16"/>
  <c r="U72" i="16"/>
  <c r="U73" i="16"/>
  <c r="U74" i="16"/>
  <c r="U75" i="16"/>
  <c r="U76" i="16"/>
  <c r="U77" i="16"/>
  <c r="U78" i="16"/>
  <c r="U79" i="16"/>
  <c r="U80" i="16"/>
  <c r="U81" i="16"/>
  <c r="U82" i="16"/>
  <c r="V40" i="16" l="1"/>
  <c r="V47" i="16"/>
  <c r="V48" i="16"/>
  <c r="V49" i="16"/>
  <c r="V50" i="16"/>
  <c r="V51" i="16"/>
  <c r="V52" i="16"/>
  <c r="V53" i="16"/>
  <c r="V54" i="16"/>
  <c r="V55" i="16"/>
  <c r="V56" i="16"/>
  <c r="Q101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2" i="4"/>
  <c r="Q74" i="16"/>
  <c r="R74" i="16"/>
  <c r="T74" i="16" s="1"/>
  <c r="Q75" i="16"/>
  <c r="R75" i="16"/>
  <c r="T75" i="16" s="1"/>
  <c r="Q76" i="16"/>
  <c r="R76" i="16"/>
  <c r="S76" i="16"/>
  <c r="Q77" i="16"/>
  <c r="R77" i="16"/>
  <c r="Q78" i="16"/>
  <c r="R78" i="16"/>
  <c r="T78" i="16" s="1"/>
  <c r="V74" i="16"/>
  <c r="V76" i="16"/>
  <c r="H87" i="16"/>
  <c r="I87" i="16"/>
  <c r="J87" i="16"/>
  <c r="K87" i="16"/>
  <c r="L87" i="16"/>
  <c r="M87" i="16"/>
  <c r="N87" i="16"/>
  <c r="S75" i="16" l="1"/>
  <c r="S78" i="16"/>
  <c r="T77" i="16"/>
  <c r="S77" i="16"/>
  <c r="S74" i="16"/>
  <c r="T76" i="16"/>
  <c r="X76" i="16" s="1"/>
  <c r="X74" i="16"/>
  <c r="W76" i="16"/>
  <c r="W74" i="16"/>
  <c r="F48" i="11" l="1"/>
  <c r="N136" i="23" l="1"/>
  <c r="L136" i="23"/>
  <c r="M136" i="23" s="1"/>
  <c r="V3" i="16"/>
  <c r="W3" i="16" s="1"/>
  <c r="U4" i="16"/>
  <c r="L3" i="23"/>
  <c r="M3" i="23" s="1"/>
  <c r="L4" i="23"/>
  <c r="M4" i="23" s="1"/>
  <c r="N4" i="23"/>
  <c r="L5" i="23"/>
  <c r="M5" i="23" s="1"/>
  <c r="L6" i="23"/>
  <c r="M6" i="23" s="1"/>
  <c r="N6" i="23"/>
  <c r="L7" i="23"/>
  <c r="M7" i="23" s="1"/>
  <c r="L8" i="23"/>
  <c r="M8" i="23" s="1"/>
  <c r="L9" i="23"/>
  <c r="M9" i="23" s="1"/>
  <c r="L10" i="23"/>
  <c r="L11" i="23"/>
  <c r="L12" i="23"/>
  <c r="M12" i="23" s="1"/>
  <c r="L13" i="23"/>
  <c r="M13" i="23" s="1"/>
  <c r="L14" i="23"/>
  <c r="M14" i="23" s="1"/>
  <c r="L15" i="23"/>
  <c r="M15" i="23" s="1"/>
  <c r="L16" i="23"/>
  <c r="M16" i="23" s="1"/>
  <c r="L17" i="23"/>
  <c r="L18" i="23"/>
  <c r="L19" i="23"/>
  <c r="M19" i="23" s="1"/>
  <c r="L20" i="23"/>
  <c r="N20" i="23"/>
  <c r="L21" i="23"/>
  <c r="M21" i="23" s="1"/>
  <c r="N21" i="23"/>
  <c r="L22" i="23"/>
  <c r="L23" i="23"/>
  <c r="L24" i="23"/>
  <c r="M24" i="23" s="1"/>
  <c r="L25" i="23"/>
  <c r="M25" i="23" s="1"/>
  <c r="L26" i="23"/>
  <c r="M26" i="23" s="1"/>
  <c r="N26" i="23"/>
  <c r="L27" i="23"/>
  <c r="M27" i="23" s="1"/>
  <c r="N27" i="23"/>
  <c r="L28" i="23"/>
  <c r="M28" i="23" s="1"/>
  <c r="N28" i="23"/>
  <c r="L29" i="23"/>
  <c r="M29" i="23" s="1"/>
  <c r="N29" i="23"/>
  <c r="L30" i="23"/>
  <c r="M30" i="23" s="1"/>
  <c r="N30" i="23"/>
  <c r="L31" i="23"/>
  <c r="M31" i="23" s="1"/>
  <c r="N31" i="23"/>
  <c r="L32" i="23"/>
  <c r="M32" i="23" s="1"/>
  <c r="N32" i="23"/>
  <c r="L33" i="23"/>
  <c r="V4" i="16" s="1"/>
  <c r="W4" i="16" s="1"/>
  <c r="N33" i="23"/>
  <c r="L34" i="23"/>
  <c r="M34" i="23" s="1"/>
  <c r="L35" i="23"/>
  <c r="M35" i="23" s="1"/>
  <c r="L36" i="23"/>
  <c r="M36" i="23" s="1"/>
  <c r="L37" i="23"/>
  <c r="M37" i="23" s="1"/>
  <c r="L38" i="23"/>
  <c r="M38" i="23" s="1"/>
  <c r="L39" i="23"/>
  <c r="M39" i="23" s="1"/>
  <c r="L40" i="23"/>
  <c r="M40" i="23" s="1"/>
  <c r="L41" i="23"/>
  <c r="M41" i="23" s="1"/>
  <c r="L42" i="23"/>
  <c r="M42" i="23" s="1"/>
  <c r="L43" i="23"/>
  <c r="M43" i="23" s="1"/>
  <c r="L44" i="23"/>
  <c r="M44" i="23" s="1"/>
  <c r="L45" i="23"/>
  <c r="M45" i="23" s="1"/>
  <c r="L46" i="23"/>
  <c r="M46" i="23" s="1"/>
  <c r="L47" i="23"/>
  <c r="M47" i="23" s="1"/>
  <c r="L48" i="23"/>
  <c r="M48" i="23" s="1"/>
  <c r="L49" i="23"/>
  <c r="M49" i="23" s="1"/>
  <c r="N49" i="23"/>
  <c r="L50" i="23"/>
  <c r="M50" i="23" s="1"/>
  <c r="N50" i="23"/>
  <c r="L51" i="23"/>
  <c r="M51" i="23" s="1"/>
  <c r="L52" i="23"/>
  <c r="M52" i="23" s="1"/>
  <c r="N52" i="23"/>
  <c r="L53" i="23"/>
  <c r="M53" i="23" s="1"/>
  <c r="N53" i="23"/>
  <c r="L54" i="23"/>
  <c r="M54" i="23" s="1"/>
  <c r="N54" i="23"/>
  <c r="L55" i="23"/>
  <c r="M55" i="23" s="1"/>
  <c r="N55" i="23"/>
  <c r="L56" i="23"/>
  <c r="M56" i="23" s="1"/>
  <c r="L57" i="23"/>
  <c r="M57" i="23" s="1"/>
  <c r="L58" i="23"/>
  <c r="M58" i="23" s="1"/>
  <c r="L59" i="23"/>
  <c r="M59" i="23" s="1"/>
  <c r="L60" i="23"/>
  <c r="M60" i="23" s="1"/>
  <c r="N60" i="23"/>
  <c r="L61" i="23"/>
  <c r="M61" i="23" s="1"/>
  <c r="N61" i="23"/>
  <c r="L62" i="23"/>
  <c r="M62" i="23" s="1"/>
  <c r="L63" i="23"/>
  <c r="M63" i="23" s="1"/>
  <c r="L64" i="23"/>
  <c r="M64" i="23" s="1"/>
  <c r="L65" i="23"/>
  <c r="M65" i="23" s="1"/>
  <c r="N65" i="23"/>
  <c r="L66" i="23"/>
  <c r="M66" i="23" s="1"/>
  <c r="N66" i="23"/>
  <c r="L67" i="23"/>
  <c r="M67" i="23" s="1"/>
  <c r="L68" i="23"/>
  <c r="M68" i="23" s="1"/>
  <c r="N68" i="23"/>
  <c r="L69" i="23"/>
  <c r="L70" i="23"/>
  <c r="M70" i="23" s="1"/>
  <c r="L71" i="23"/>
  <c r="M71" i="23" s="1"/>
  <c r="L72" i="23"/>
  <c r="M72" i="23" s="1"/>
  <c r="L73" i="23"/>
  <c r="M73" i="23" s="1"/>
  <c r="L74" i="23"/>
  <c r="M74" i="23" s="1"/>
  <c r="L75" i="23"/>
  <c r="M75" i="23" s="1"/>
  <c r="L76" i="23"/>
  <c r="M76" i="23" s="1"/>
  <c r="L77" i="23"/>
  <c r="M77" i="23" s="1"/>
  <c r="L78" i="23"/>
  <c r="M78" i="23" s="1"/>
  <c r="L79" i="23"/>
  <c r="M79" i="23" s="1"/>
  <c r="L80" i="23"/>
  <c r="M80" i="23" s="1"/>
  <c r="N80" i="23"/>
  <c r="L81" i="23"/>
  <c r="M81" i="23" s="1"/>
  <c r="N81" i="23"/>
  <c r="L82" i="23"/>
  <c r="M82" i="23" s="1"/>
  <c r="N82" i="23"/>
  <c r="L83" i="23"/>
  <c r="M83" i="23" s="1"/>
  <c r="N83" i="23"/>
  <c r="L84" i="23"/>
  <c r="M84" i="23" s="1"/>
  <c r="N84" i="23"/>
  <c r="L85" i="23"/>
  <c r="M85" i="23" s="1"/>
  <c r="N85" i="23"/>
  <c r="L86" i="23"/>
  <c r="M86" i="23" s="1"/>
  <c r="N86" i="23"/>
  <c r="L87" i="23"/>
  <c r="L88" i="23"/>
  <c r="M88" i="23" s="1"/>
  <c r="L89" i="23"/>
  <c r="M89" i="23" s="1"/>
  <c r="L90" i="23"/>
  <c r="M90" i="23" s="1"/>
  <c r="L91" i="23"/>
  <c r="M91" i="23" s="1"/>
  <c r="L92" i="23"/>
  <c r="M92" i="23" s="1"/>
  <c r="L93" i="23"/>
  <c r="M93" i="23" s="1"/>
  <c r="L94" i="23"/>
  <c r="M94" i="23" s="1"/>
  <c r="L95" i="23"/>
  <c r="M95" i="23" s="1"/>
  <c r="L96" i="23"/>
  <c r="M96" i="23" s="1"/>
  <c r="L97" i="23"/>
  <c r="M97" i="23" s="1"/>
  <c r="L98" i="23"/>
  <c r="L99" i="23"/>
  <c r="M99" i="23" s="1"/>
  <c r="L100" i="23"/>
  <c r="M100" i="23" s="1"/>
  <c r="L101" i="23"/>
  <c r="M101" i="23" s="1"/>
  <c r="L102" i="23"/>
  <c r="M102" i="23" s="1"/>
  <c r="N102" i="23"/>
  <c r="L103" i="23"/>
  <c r="M103" i="23" s="1"/>
  <c r="L104" i="23"/>
  <c r="M104" i="23" s="1"/>
  <c r="L105" i="23"/>
  <c r="M105" i="23" s="1"/>
  <c r="L106" i="23"/>
  <c r="M106" i="23" s="1"/>
  <c r="L107" i="23"/>
  <c r="M107" i="23" s="1"/>
  <c r="L108" i="23"/>
  <c r="M108" i="23" s="1"/>
  <c r="L109" i="23"/>
  <c r="M109" i="23" s="1"/>
  <c r="L110" i="23"/>
  <c r="M110" i="23" s="1"/>
  <c r="N110" i="23"/>
  <c r="L111" i="23"/>
  <c r="M111" i="23" s="1"/>
  <c r="N111" i="23"/>
  <c r="L112" i="23"/>
  <c r="M112" i="23" s="1"/>
  <c r="N112" i="23"/>
  <c r="L113" i="23"/>
  <c r="M113" i="23" s="1"/>
  <c r="N113" i="23"/>
  <c r="L114" i="23"/>
  <c r="M114" i="23" s="1"/>
  <c r="L115" i="23"/>
  <c r="M115" i="23" s="1"/>
  <c r="L116" i="23"/>
  <c r="M116" i="23" s="1"/>
  <c r="N116" i="23"/>
  <c r="L117" i="23"/>
  <c r="M117" i="23" s="1"/>
  <c r="L118" i="23"/>
  <c r="M118" i="23" s="1"/>
  <c r="N118" i="23"/>
  <c r="L119" i="23"/>
  <c r="M119" i="23" s="1"/>
  <c r="N119" i="23"/>
  <c r="L120" i="23"/>
  <c r="M120" i="23" s="1"/>
  <c r="N120" i="23"/>
  <c r="L121" i="23"/>
  <c r="M121" i="23" s="1"/>
  <c r="L122" i="23"/>
  <c r="M122" i="23" s="1"/>
  <c r="L123" i="23"/>
  <c r="M123" i="23" s="1"/>
  <c r="N123" i="23"/>
  <c r="L124" i="23"/>
  <c r="M124" i="23" s="1"/>
  <c r="N124" i="23"/>
  <c r="L125" i="23"/>
  <c r="M125" i="23" s="1"/>
  <c r="L126" i="23"/>
  <c r="M126" i="23" s="1"/>
  <c r="L127" i="23"/>
  <c r="M127" i="23" s="1"/>
  <c r="L128" i="23"/>
  <c r="M128" i="23" s="1"/>
  <c r="L129" i="23"/>
  <c r="M129" i="23" s="1"/>
  <c r="L130" i="23"/>
  <c r="M130" i="23" s="1"/>
  <c r="L131" i="23"/>
  <c r="M131" i="23" s="1"/>
  <c r="L132" i="23"/>
  <c r="M132" i="23" s="1"/>
  <c r="L133" i="23"/>
  <c r="M133" i="23" s="1"/>
  <c r="N133" i="23"/>
  <c r="L134" i="23"/>
  <c r="M134" i="23" s="1"/>
  <c r="L135" i="23"/>
  <c r="M135" i="23" s="1"/>
  <c r="N135" i="23"/>
  <c r="L137" i="23"/>
  <c r="M137" i="23" s="1"/>
  <c r="N137" i="23"/>
  <c r="L138" i="23"/>
  <c r="M138" i="23" s="1"/>
  <c r="N138" i="23"/>
  <c r="L139" i="23"/>
  <c r="M139" i="23" s="1"/>
  <c r="L140" i="23"/>
  <c r="M140" i="23" s="1"/>
  <c r="N140" i="23"/>
  <c r="L141" i="23"/>
  <c r="M141" i="23" s="1"/>
  <c r="N141" i="23"/>
  <c r="L142" i="23"/>
  <c r="M142" i="23" s="1"/>
  <c r="L143" i="23"/>
  <c r="M143" i="23" s="1"/>
  <c r="N143" i="23"/>
  <c r="L144" i="23"/>
  <c r="M144" i="23" s="1"/>
  <c r="N144" i="23"/>
  <c r="L145" i="23"/>
  <c r="M145" i="23" s="1"/>
  <c r="N145" i="23"/>
  <c r="L146" i="23"/>
  <c r="M146" i="23" s="1"/>
  <c r="N146" i="23"/>
  <c r="L147" i="23"/>
  <c r="M147" i="23" s="1"/>
  <c r="N147" i="23"/>
  <c r="L148" i="23"/>
  <c r="M148" i="23" s="1"/>
  <c r="N148" i="23"/>
  <c r="L149" i="23"/>
  <c r="M149" i="23" s="1"/>
  <c r="N149" i="23"/>
  <c r="L150" i="23"/>
  <c r="M150" i="23" s="1"/>
  <c r="N150" i="23"/>
  <c r="L151" i="23"/>
  <c r="M151" i="23" s="1"/>
  <c r="N151" i="23"/>
  <c r="L152" i="23"/>
  <c r="M152" i="23" s="1"/>
  <c r="N152" i="23"/>
  <c r="L153" i="23"/>
  <c r="M153" i="23" s="1"/>
  <c r="N153" i="23"/>
  <c r="L154" i="23"/>
  <c r="M154" i="23" s="1"/>
  <c r="N154" i="23"/>
  <c r="L155" i="23"/>
  <c r="M155" i="23" s="1"/>
  <c r="N155" i="23"/>
  <c r="L156" i="23"/>
  <c r="M156" i="23" s="1"/>
  <c r="N156" i="23"/>
  <c r="L157" i="23"/>
  <c r="M157" i="23" s="1"/>
  <c r="N157" i="23"/>
  <c r="L158" i="23"/>
  <c r="M158" i="23" s="1"/>
  <c r="N158" i="23"/>
  <c r="L159" i="23"/>
  <c r="M159" i="23" s="1"/>
  <c r="N159" i="23"/>
  <c r="L160" i="23"/>
  <c r="M160" i="23" s="1"/>
  <c r="N160" i="23"/>
  <c r="L161" i="23"/>
  <c r="M161" i="23" s="1"/>
  <c r="N161" i="23"/>
  <c r="L162" i="23"/>
  <c r="M162" i="23" s="1"/>
  <c r="N162" i="23"/>
  <c r="L163" i="23"/>
  <c r="M163" i="23" s="1"/>
  <c r="N163" i="23"/>
  <c r="L164" i="23"/>
  <c r="M164" i="23" s="1"/>
  <c r="N164" i="23"/>
  <c r="L165" i="23"/>
  <c r="M165" i="23" s="1"/>
  <c r="N165" i="23"/>
  <c r="L166" i="23"/>
  <c r="M166" i="23" s="1"/>
  <c r="N166" i="23"/>
  <c r="L167" i="23"/>
  <c r="M167" i="23" s="1"/>
  <c r="N167" i="23"/>
  <c r="L168" i="23"/>
  <c r="M168" i="23" s="1"/>
  <c r="N168" i="23"/>
  <c r="L169" i="23"/>
  <c r="M169" i="23" s="1"/>
  <c r="N169" i="23"/>
  <c r="L170" i="23"/>
  <c r="M170" i="23" s="1"/>
  <c r="N170" i="23"/>
  <c r="L171" i="23"/>
  <c r="M171" i="23" s="1"/>
  <c r="N171" i="23"/>
  <c r="L172" i="23"/>
  <c r="M172" i="23" s="1"/>
  <c r="N172" i="23"/>
  <c r="L173" i="23"/>
  <c r="M173" i="23" s="1"/>
  <c r="N173" i="23"/>
  <c r="L174" i="23"/>
  <c r="M174" i="23" s="1"/>
  <c r="N174" i="23"/>
  <c r="L175" i="23"/>
  <c r="M175" i="23" s="1"/>
  <c r="N175" i="23"/>
  <c r="L176" i="23"/>
  <c r="M176" i="23" s="1"/>
  <c r="N176" i="23"/>
  <c r="L177" i="23"/>
  <c r="M177" i="23" s="1"/>
  <c r="N177" i="23"/>
  <c r="L178" i="23"/>
  <c r="M178" i="23" s="1"/>
  <c r="N178" i="23"/>
  <c r="L179" i="23"/>
  <c r="M179" i="23" s="1"/>
  <c r="N179" i="23"/>
  <c r="L180" i="23"/>
  <c r="M180" i="23" s="1"/>
  <c r="N180" i="23"/>
  <c r="L181" i="23"/>
  <c r="M181" i="23" s="1"/>
  <c r="N181" i="23"/>
  <c r="L182" i="23"/>
  <c r="M182" i="23" s="1"/>
  <c r="N182" i="23"/>
  <c r="L183" i="23"/>
  <c r="M183" i="23" s="1"/>
  <c r="N183" i="23"/>
  <c r="L184" i="23"/>
  <c r="M184" i="23"/>
  <c r="N184" i="23"/>
  <c r="L185" i="23"/>
  <c r="M185" i="23" s="1"/>
  <c r="N185" i="23"/>
  <c r="L186" i="23"/>
  <c r="M186" i="23" s="1"/>
  <c r="N186" i="23"/>
  <c r="L187" i="23"/>
  <c r="M187" i="23" s="1"/>
  <c r="N187" i="23"/>
  <c r="L188" i="23"/>
  <c r="M188" i="23" s="1"/>
  <c r="N188" i="23"/>
  <c r="L189" i="23"/>
  <c r="M189" i="23" s="1"/>
  <c r="N189" i="23"/>
  <c r="L190" i="23"/>
  <c r="M190" i="23" s="1"/>
  <c r="N190" i="23"/>
  <c r="L191" i="23"/>
  <c r="M191" i="23" s="1"/>
  <c r="N191" i="23"/>
  <c r="L192" i="23"/>
  <c r="M192" i="23" s="1"/>
  <c r="N192" i="23"/>
  <c r="L193" i="23"/>
  <c r="M193" i="23" s="1"/>
  <c r="N193" i="23"/>
  <c r="L194" i="23"/>
  <c r="M194" i="23" s="1"/>
  <c r="N194" i="23"/>
  <c r="L195" i="23"/>
  <c r="M195" i="23" s="1"/>
  <c r="N195" i="23"/>
  <c r="L196" i="23"/>
  <c r="M196" i="23" s="1"/>
  <c r="N196" i="23"/>
  <c r="L197" i="23"/>
  <c r="M197" i="23" s="1"/>
  <c r="N197" i="23"/>
  <c r="L198" i="23"/>
  <c r="M198" i="23" s="1"/>
  <c r="N198" i="23"/>
  <c r="L199" i="23"/>
  <c r="M199" i="23" s="1"/>
  <c r="N199" i="23"/>
  <c r="L200" i="23"/>
  <c r="M200" i="23" s="1"/>
  <c r="N200" i="23"/>
  <c r="L201" i="23"/>
  <c r="M201" i="23" s="1"/>
  <c r="N201" i="23"/>
  <c r="L202" i="23"/>
  <c r="M202" i="23" s="1"/>
  <c r="N202" i="23"/>
  <c r="L203" i="23"/>
  <c r="M203" i="23" s="1"/>
  <c r="N203" i="23"/>
  <c r="L204" i="23"/>
  <c r="M204" i="23" s="1"/>
  <c r="N204" i="23"/>
  <c r="L205" i="23"/>
  <c r="M205" i="23" s="1"/>
  <c r="N205" i="23"/>
  <c r="L206" i="23"/>
  <c r="M206" i="23" s="1"/>
  <c r="N206" i="23"/>
  <c r="L207" i="23"/>
  <c r="M207" i="23" s="1"/>
  <c r="N207" i="23"/>
  <c r="L208" i="23"/>
  <c r="M208" i="23" s="1"/>
  <c r="N208" i="23"/>
  <c r="L209" i="23"/>
  <c r="M209" i="23" s="1"/>
  <c r="N209" i="23"/>
  <c r="L210" i="23"/>
  <c r="M210" i="23" s="1"/>
  <c r="N210" i="23"/>
  <c r="L211" i="23"/>
  <c r="M211" i="23" s="1"/>
  <c r="N211" i="23"/>
  <c r="L212" i="23"/>
  <c r="M212" i="23" s="1"/>
  <c r="N212" i="23"/>
  <c r="L213" i="23"/>
  <c r="M213" i="23" s="1"/>
  <c r="N213" i="23"/>
  <c r="L214" i="23"/>
  <c r="M214" i="23" s="1"/>
  <c r="N214" i="23"/>
  <c r="L215" i="23"/>
  <c r="M215" i="23" s="1"/>
  <c r="N215" i="23"/>
  <c r="L216" i="23"/>
  <c r="M216" i="23" s="1"/>
  <c r="N216" i="23"/>
  <c r="L217" i="23"/>
  <c r="M217" i="23" s="1"/>
  <c r="N217" i="23"/>
  <c r="L218" i="23"/>
  <c r="M218" i="23" s="1"/>
  <c r="N218" i="23"/>
  <c r="L219" i="23"/>
  <c r="M219" i="23" s="1"/>
  <c r="N219" i="23"/>
  <c r="L220" i="23"/>
  <c r="M220" i="23" s="1"/>
  <c r="N220" i="23"/>
  <c r="M11" i="23" l="1"/>
  <c r="V45" i="16"/>
  <c r="M18" i="23"/>
  <c r="V42" i="16"/>
  <c r="M10" i="23"/>
  <c r="V43" i="16"/>
  <c r="M23" i="23"/>
  <c r="V46" i="16"/>
  <c r="M17" i="23"/>
  <c r="V9" i="16"/>
  <c r="M22" i="23"/>
  <c r="V41" i="16"/>
  <c r="M98" i="23"/>
  <c r="V44" i="16"/>
  <c r="M69" i="23"/>
  <c r="V75" i="16"/>
  <c r="M20" i="23"/>
  <c r="V78" i="16"/>
  <c r="M87" i="23"/>
  <c r="V77" i="16"/>
  <c r="M33" i="23"/>
  <c r="F146" i="15"/>
  <c r="F147" i="15"/>
  <c r="F148" i="15"/>
  <c r="F149" i="15"/>
  <c r="F150" i="15"/>
  <c r="K4" i="15"/>
  <c r="K5" i="15"/>
  <c r="K6" i="15"/>
  <c r="K7" i="15"/>
  <c r="K8" i="15"/>
  <c r="K9" i="15"/>
  <c r="K10" i="15"/>
  <c r="K11" i="15"/>
  <c r="K12" i="15"/>
  <c r="K13" i="15"/>
  <c r="K14" i="15"/>
  <c r="K16" i="15"/>
  <c r="K17" i="15"/>
  <c r="K18" i="15"/>
  <c r="K19" i="15"/>
  <c r="K22" i="15"/>
  <c r="K23" i="15"/>
  <c r="K3" i="15"/>
  <c r="W75" i="16" l="1"/>
  <c r="X75" i="16"/>
  <c r="W77" i="16"/>
  <c r="X77" i="16"/>
  <c r="W78" i="16"/>
  <c r="X78" i="16"/>
  <c r="V70" i="16"/>
  <c r="N221" i="23" l="1"/>
  <c r="N222" i="23"/>
  <c r="N223" i="23"/>
  <c r="N224" i="23"/>
  <c r="N225" i="23"/>
  <c r="N226" i="23"/>
  <c r="N227" i="23"/>
  <c r="R3" i="16"/>
  <c r="Q72" i="16"/>
  <c r="R72" i="16"/>
  <c r="Q73" i="16"/>
  <c r="R73" i="16"/>
  <c r="Q79" i="16"/>
  <c r="R79" i="16"/>
  <c r="Q80" i="16"/>
  <c r="R80" i="16"/>
  <c r="Q81" i="16"/>
  <c r="R81" i="16"/>
  <c r="Q82" i="16"/>
  <c r="R82" i="16"/>
  <c r="Q83" i="16"/>
  <c r="R83" i="16"/>
  <c r="Q84" i="16"/>
  <c r="R84" i="16"/>
  <c r="Q85" i="16"/>
  <c r="R85" i="16"/>
  <c r="Q60" i="16"/>
  <c r="R60" i="16"/>
  <c r="Y60" i="16"/>
  <c r="AA60" i="16"/>
  <c r="Z60" i="16" s="1"/>
  <c r="Q61" i="16"/>
  <c r="R61" i="16"/>
  <c r="Y61" i="16"/>
  <c r="AA61" i="16"/>
  <c r="Z61" i="16" s="1"/>
  <c r="Q62" i="16"/>
  <c r="R62" i="16"/>
  <c r="Y62" i="16"/>
  <c r="AA62" i="16"/>
  <c r="Z62" i="16" s="1"/>
  <c r="Q63" i="16"/>
  <c r="R63" i="16"/>
  <c r="Y63" i="16"/>
  <c r="AA63" i="16"/>
  <c r="Z63" i="16" s="1"/>
  <c r="Q64" i="16"/>
  <c r="R64" i="16"/>
  <c r="Y64" i="16"/>
  <c r="AA64" i="16"/>
  <c r="Z64" i="16" s="1"/>
  <c r="Q65" i="16"/>
  <c r="R65" i="16"/>
  <c r="V65" i="16"/>
  <c r="W65" i="16" s="1"/>
  <c r="Y65" i="16"/>
  <c r="AA65" i="16"/>
  <c r="Z65" i="16" s="1"/>
  <c r="Q12" i="16"/>
  <c r="R12" i="16"/>
  <c r="Y12" i="16"/>
  <c r="AA12" i="16"/>
  <c r="Z12" i="16" s="1"/>
  <c r="Q13" i="16"/>
  <c r="R13" i="16"/>
  <c r="V13" i="16"/>
  <c r="W13" i="16" s="1"/>
  <c r="Y13" i="16"/>
  <c r="AA13" i="16"/>
  <c r="Z13" i="16" s="1"/>
  <c r="Q14" i="16"/>
  <c r="R14" i="16"/>
  <c r="Y14" i="16"/>
  <c r="AA14" i="16"/>
  <c r="Z14" i="16" s="1"/>
  <c r="Q15" i="16"/>
  <c r="R15" i="16"/>
  <c r="V15" i="16"/>
  <c r="W15" i="16" s="1"/>
  <c r="Y15" i="16"/>
  <c r="AA15" i="16"/>
  <c r="Z15" i="16" s="1"/>
  <c r="Q16" i="16"/>
  <c r="R16" i="16"/>
  <c r="Y16" i="16"/>
  <c r="AA16" i="16"/>
  <c r="Z16" i="16" s="1"/>
  <c r="Q17" i="16"/>
  <c r="R17" i="16"/>
  <c r="Y17" i="16"/>
  <c r="AA17" i="16"/>
  <c r="Z17" i="16" s="1"/>
  <c r="Q18" i="16"/>
  <c r="R18" i="16"/>
  <c r="Y18" i="16"/>
  <c r="AA18" i="16"/>
  <c r="Z18" i="16" s="1"/>
  <c r="Q19" i="16"/>
  <c r="R19" i="16"/>
  <c r="Y19" i="16"/>
  <c r="AA19" i="16"/>
  <c r="Z19" i="16" s="1"/>
  <c r="Q20" i="16"/>
  <c r="R20" i="16"/>
  <c r="Y20" i="16"/>
  <c r="AA20" i="16"/>
  <c r="Z20" i="16" s="1"/>
  <c r="Q21" i="16"/>
  <c r="R21" i="16"/>
  <c r="V21" i="16"/>
  <c r="W21" i="16" s="1"/>
  <c r="Y21" i="16"/>
  <c r="AA21" i="16"/>
  <c r="Z21" i="16" s="1"/>
  <c r="Q22" i="16"/>
  <c r="R22" i="16"/>
  <c r="Y22" i="16"/>
  <c r="AA22" i="16"/>
  <c r="Z22" i="16" s="1"/>
  <c r="Q23" i="16"/>
  <c r="R23" i="16"/>
  <c r="Y23" i="16"/>
  <c r="AA23" i="16"/>
  <c r="Z23" i="16" s="1"/>
  <c r="Q24" i="16"/>
  <c r="R24" i="16"/>
  <c r="Y24" i="16"/>
  <c r="AA24" i="16"/>
  <c r="Z24" i="16" s="1"/>
  <c r="Q25" i="16"/>
  <c r="R25" i="16"/>
  <c r="Y25" i="16"/>
  <c r="AA25" i="16"/>
  <c r="Z25" i="16" s="1"/>
  <c r="Q26" i="16"/>
  <c r="R26" i="16"/>
  <c r="Y26" i="16"/>
  <c r="AA26" i="16"/>
  <c r="Z26" i="16" s="1"/>
  <c r="Q27" i="16"/>
  <c r="R27" i="16"/>
  <c r="Y27" i="16"/>
  <c r="AA27" i="16"/>
  <c r="Z27" i="16" s="1"/>
  <c r="Q28" i="16"/>
  <c r="R28" i="16"/>
  <c r="Y28" i="16"/>
  <c r="AA28" i="16"/>
  <c r="Z28" i="16" s="1"/>
  <c r="Q29" i="16"/>
  <c r="R29" i="16"/>
  <c r="Y29" i="16"/>
  <c r="AA29" i="16"/>
  <c r="Z29" i="16" s="1"/>
  <c r="Q30" i="16"/>
  <c r="R30" i="16"/>
  <c r="Y30" i="16"/>
  <c r="AA30" i="16"/>
  <c r="Z30" i="16" s="1"/>
  <c r="Q31" i="16"/>
  <c r="R31" i="16"/>
  <c r="Y31" i="16"/>
  <c r="AA31" i="16"/>
  <c r="Z31" i="16" s="1"/>
  <c r="Q32" i="16"/>
  <c r="R32" i="16"/>
  <c r="Y32" i="16"/>
  <c r="AA32" i="16"/>
  <c r="Z32" i="16" s="1"/>
  <c r="Q33" i="16"/>
  <c r="R33" i="16"/>
  <c r="Y33" i="16"/>
  <c r="AA33" i="16"/>
  <c r="Z33" i="16" s="1"/>
  <c r="Q34" i="16"/>
  <c r="R34" i="16"/>
  <c r="Y34" i="16"/>
  <c r="AA34" i="16"/>
  <c r="Z34" i="16" s="1"/>
  <c r="Q35" i="16"/>
  <c r="R35" i="16"/>
  <c r="Y35" i="16"/>
  <c r="AA35" i="16"/>
  <c r="Z35" i="16" s="1"/>
  <c r="Q36" i="16"/>
  <c r="R36" i="16"/>
  <c r="Y36" i="16"/>
  <c r="AA36" i="16"/>
  <c r="Z36" i="16" s="1"/>
  <c r="Q37" i="16"/>
  <c r="R37" i="16"/>
  <c r="Y37" i="16"/>
  <c r="AA37" i="16"/>
  <c r="Z37" i="16" s="1"/>
  <c r="Q38" i="16"/>
  <c r="R38" i="16"/>
  <c r="Y38" i="16"/>
  <c r="AA38" i="16"/>
  <c r="Z38" i="16" s="1"/>
  <c r="Q39" i="16"/>
  <c r="R39" i="16"/>
  <c r="Y39" i="16"/>
  <c r="AA39" i="16"/>
  <c r="Z39" i="16" s="1"/>
  <c r="Q40" i="16"/>
  <c r="R40" i="16"/>
  <c r="Y40" i="16"/>
  <c r="AA40" i="16"/>
  <c r="Z40" i="16" s="1"/>
  <c r="Q41" i="16"/>
  <c r="R41" i="16"/>
  <c r="Y41" i="16"/>
  <c r="AA41" i="16"/>
  <c r="Z41" i="16" s="1"/>
  <c r="Q42" i="16"/>
  <c r="R42" i="16"/>
  <c r="Y42" i="16"/>
  <c r="AA42" i="16"/>
  <c r="Z42" i="16" s="1"/>
  <c r="Q43" i="16"/>
  <c r="R43" i="16"/>
  <c r="Y43" i="16"/>
  <c r="AA43" i="16"/>
  <c r="Z43" i="16" s="1"/>
  <c r="Q44" i="16"/>
  <c r="R44" i="16"/>
  <c r="Y44" i="16"/>
  <c r="AA44" i="16"/>
  <c r="Z44" i="16" s="1"/>
  <c r="Q45" i="16"/>
  <c r="R45" i="16"/>
  <c r="W45" i="16"/>
  <c r="Y45" i="16"/>
  <c r="AA45" i="16"/>
  <c r="Z45" i="16" s="1"/>
  <c r="Q46" i="16"/>
  <c r="R46" i="16"/>
  <c r="U46" i="16"/>
  <c r="Y46" i="16"/>
  <c r="AA46" i="16"/>
  <c r="Z46" i="16" s="1"/>
  <c r="Q47" i="16"/>
  <c r="R47" i="16"/>
  <c r="Y47" i="16"/>
  <c r="AA47" i="16"/>
  <c r="Z47" i="16" s="1"/>
  <c r="Q48" i="16"/>
  <c r="R48" i="16"/>
  <c r="U48" i="16"/>
  <c r="Y48" i="16"/>
  <c r="AA48" i="16"/>
  <c r="Z48" i="16" s="1"/>
  <c r="Q49" i="16"/>
  <c r="R49" i="16"/>
  <c r="Y49" i="16"/>
  <c r="AA49" i="16"/>
  <c r="Z49" i="16" s="1"/>
  <c r="Q50" i="16"/>
  <c r="R50" i="16"/>
  <c r="U50" i="16"/>
  <c r="Y50" i="16"/>
  <c r="AA50" i="16"/>
  <c r="Z50" i="16" s="1"/>
  <c r="Q51" i="16"/>
  <c r="R51" i="16"/>
  <c r="Y51" i="16"/>
  <c r="AA51" i="16"/>
  <c r="Z51" i="16" s="1"/>
  <c r="Q52" i="16"/>
  <c r="R52" i="16"/>
  <c r="U52" i="16"/>
  <c r="W52" i="16"/>
  <c r="Y52" i="16"/>
  <c r="AA52" i="16"/>
  <c r="Z52" i="16" s="1"/>
  <c r="N45" i="4"/>
  <c r="O45" i="4"/>
  <c r="Q45" i="4"/>
  <c r="U47" i="16" s="1"/>
  <c r="S45" i="4"/>
  <c r="T45" i="4"/>
  <c r="U45" i="4"/>
  <c r="N46" i="4"/>
  <c r="O46" i="4" s="1"/>
  <c r="S46" i="4"/>
  <c r="T46" i="4"/>
  <c r="U46" i="4"/>
  <c r="N47" i="4"/>
  <c r="O47" i="4" s="1"/>
  <c r="S47" i="4"/>
  <c r="T47" i="4"/>
  <c r="U47" i="4"/>
  <c r="N48" i="4"/>
  <c r="Q48" i="4" s="1"/>
  <c r="O48" i="4"/>
  <c r="S48" i="4"/>
  <c r="T48" i="4"/>
  <c r="U48" i="4"/>
  <c r="N49" i="4"/>
  <c r="O49" i="4"/>
  <c r="Q49" i="4"/>
  <c r="U49" i="16" s="1"/>
  <c r="S49" i="4"/>
  <c r="T49" i="4"/>
  <c r="U49" i="4"/>
  <c r="N50" i="4"/>
  <c r="Q50" i="4" s="1"/>
  <c r="O50" i="4"/>
  <c r="S50" i="4"/>
  <c r="T50" i="4"/>
  <c r="U50" i="4"/>
  <c r="R49" i="4" l="1"/>
  <c r="Q46" i="4"/>
  <c r="R46" i="4" s="1"/>
  <c r="Q47" i="4"/>
  <c r="R47" i="4" s="1"/>
  <c r="S48" i="16"/>
  <c r="AB47" i="16"/>
  <c r="S45" i="16"/>
  <c r="AB44" i="16"/>
  <c r="S12" i="16"/>
  <c r="S60" i="16"/>
  <c r="S27" i="16"/>
  <c r="S64" i="16"/>
  <c r="T61" i="16"/>
  <c r="S29" i="16"/>
  <c r="S18" i="16"/>
  <c r="S65" i="16"/>
  <c r="S51" i="16"/>
  <c r="AB35" i="16"/>
  <c r="T64" i="16"/>
  <c r="S61" i="16"/>
  <c r="S52" i="16"/>
  <c r="AB14" i="16"/>
  <c r="T82" i="16"/>
  <c r="T73" i="16"/>
  <c r="AB39" i="16"/>
  <c r="AB48" i="16"/>
  <c r="AB32" i="16"/>
  <c r="S43" i="16"/>
  <c r="S33" i="16"/>
  <c r="S49" i="16"/>
  <c r="S36" i="16"/>
  <c r="S82" i="16"/>
  <c r="T84" i="16"/>
  <c r="S80" i="16"/>
  <c r="S84" i="16"/>
  <c r="AB40" i="16"/>
  <c r="AB27" i="16"/>
  <c r="AB18" i="16"/>
  <c r="S41" i="16"/>
  <c r="S39" i="16"/>
  <c r="AB36" i="16"/>
  <c r="S19" i="16"/>
  <c r="S83" i="16"/>
  <c r="S31" i="16"/>
  <c r="S28" i="16"/>
  <c r="S37" i="16"/>
  <c r="S73" i="16"/>
  <c r="AB42" i="16"/>
  <c r="S62" i="16"/>
  <c r="AB22" i="16"/>
  <c r="AB52" i="16"/>
  <c r="AB43" i="16"/>
  <c r="S35" i="16"/>
  <c r="S32" i="16"/>
  <c r="S23" i="16"/>
  <c r="AB19" i="16"/>
  <c r="T80" i="16"/>
  <c r="S72" i="16"/>
  <c r="S47" i="16"/>
  <c r="AB23" i="16"/>
  <c r="AB63" i="16"/>
  <c r="T60" i="16"/>
  <c r="AB60" i="16"/>
  <c r="S79" i="16"/>
  <c r="S25" i="16"/>
  <c r="AB24" i="16"/>
  <c r="S15" i="16"/>
  <c r="AB64" i="16"/>
  <c r="S85" i="16"/>
  <c r="AB51" i="16"/>
  <c r="AB31" i="16"/>
  <c r="AB28" i="16"/>
  <c r="S81" i="16"/>
  <c r="S44" i="16"/>
  <c r="S40" i="16"/>
  <c r="S24" i="16"/>
  <c r="AB15" i="16"/>
  <c r="S20" i="16"/>
  <c r="S16" i="16"/>
  <c r="AB37" i="16"/>
  <c r="AB33" i="16"/>
  <c r="AB29" i="16"/>
  <c r="AB25" i="16"/>
  <c r="AB20" i="16"/>
  <c r="AB16" i="16"/>
  <c r="T12" i="16"/>
  <c r="N38" i="23" s="1"/>
  <c r="AB65" i="16"/>
  <c r="AB61" i="16"/>
  <c r="AB49" i="16"/>
  <c r="S50" i="16"/>
  <c r="S46" i="16"/>
  <c r="AB45" i="16"/>
  <c r="AB41" i="16"/>
  <c r="S38" i="16"/>
  <c r="S34" i="16"/>
  <c r="S30" i="16"/>
  <c r="S26" i="16"/>
  <c r="S21" i="16"/>
  <c r="S17" i="16"/>
  <c r="AB12" i="16"/>
  <c r="T62" i="16"/>
  <c r="N96" i="23" s="1"/>
  <c r="T85" i="16"/>
  <c r="T83" i="16"/>
  <c r="T81" i="16"/>
  <c r="T79" i="16"/>
  <c r="T72" i="16"/>
  <c r="V48" i="4"/>
  <c r="AB50" i="16"/>
  <c r="AB46" i="16"/>
  <c r="S42" i="16"/>
  <c r="AB38" i="16"/>
  <c r="AB34" i="16"/>
  <c r="AB30" i="16"/>
  <c r="AB26" i="16"/>
  <c r="S22" i="16"/>
  <c r="AB21" i="16"/>
  <c r="AB17" i="16"/>
  <c r="S13" i="16"/>
  <c r="S63" i="16"/>
  <c r="AB62" i="16"/>
  <c r="S14" i="16"/>
  <c r="AB13" i="16"/>
  <c r="T63" i="16"/>
  <c r="T65" i="16"/>
  <c r="X65" i="16" s="1"/>
  <c r="T51" i="16"/>
  <c r="T49" i="16"/>
  <c r="T47" i="16"/>
  <c r="T45" i="16"/>
  <c r="T43" i="16"/>
  <c r="N10" i="23" s="1"/>
  <c r="T41" i="16"/>
  <c r="N22" i="23" s="1"/>
  <c r="T38" i="16"/>
  <c r="N88" i="23" s="1"/>
  <c r="T36" i="16"/>
  <c r="N14" i="23" s="1"/>
  <c r="T34" i="16"/>
  <c r="N25" i="23" s="1"/>
  <c r="T32" i="16"/>
  <c r="T30" i="16"/>
  <c r="T28" i="16"/>
  <c r="N126" i="23" s="1"/>
  <c r="T26" i="16"/>
  <c r="N129" i="23" s="1"/>
  <c r="T24" i="16"/>
  <c r="N130" i="23" s="1"/>
  <c r="T22" i="16"/>
  <c r="N121" i="23" s="1"/>
  <c r="T20" i="16"/>
  <c r="T18" i="16"/>
  <c r="T16" i="16"/>
  <c r="T15" i="16"/>
  <c r="N43" i="23" s="1"/>
  <c r="T13" i="16"/>
  <c r="N90" i="23" s="1"/>
  <c r="T52" i="16"/>
  <c r="T50" i="16"/>
  <c r="T48" i="16"/>
  <c r="T46" i="16"/>
  <c r="T44" i="16"/>
  <c r="N98" i="23" s="1"/>
  <c r="T42" i="16"/>
  <c r="N18" i="23" s="1"/>
  <c r="T40" i="16"/>
  <c r="N127" i="23" s="1"/>
  <c r="T39" i="16"/>
  <c r="T37" i="16"/>
  <c r="T35" i="16"/>
  <c r="N7" i="23" s="1"/>
  <c r="T33" i="16"/>
  <c r="N101" i="23" s="1"/>
  <c r="T31" i="16"/>
  <c r="N103" i="23" s="1"/>
  <c r="T29" i="16"/>
  <c r="T27" i="16"/>
  <c r="T25" i="16"/>
  <c r="N128" i="23" s="1"/>
  <c r="T23" i="16"/>
  <c r="N139" i="23" s="1"/>
  <c r="T21" i="16"/>
  <c r="T19" i="16"/>
  <c r="N3" i="23" s="1"/>
  <c r="T17" i="16"/>
  <c r="T14" i="16"/>
  <c r="N45" i="23" s="1"/>
  <c r="V46" i="4"/>
  <c r="V50" i="4"/>
  <c r="V47" i="4"/>
  <c r="V49" i="4"/>
  <c r="V45" i="4"/>
  <c r="R45" i="4"/>
  <c r="R50" i="4"/>
  <c r="R48" i="4"/>
  <c r="J134" i="14"/>
  <c r="N63" i="23" l="1"/>
  <c r="N8" i="23"/>
  <c r="N46" i="23"/>
  <c r="N13" i="23"/>
  <c r="N89" i="23"/>
  <c r="N37" i="23"/>
  <c r="N117" i="23"/>
  <c r="N93" i="23"/>
  <c r="N35" i="23"/>
  <c r="N122" i="23"/>
  <c r="N56" i="23"/>
  <c r="N94" i="23"/>
  <c r="X45" i="16"/>
  <c r="N11" i="23"/>
  <c r="N99" i="23"/>
  <c r="N132" i="23"/>
  <c r="N24" i="23"/>
  <c r="N106" i="23"/>
  <c r="N57" i="23"/>
  <c r="N9" i="23"/>
  <c r="N97" i="23"/>
  <c r="N134" i="23"/>
  <c r="N23" i="23"/>
  <c r="N107" i="23"/>
  <c r="N58" i="23"/>
  <c r="N87" i="23"/>
  <c r="N36" i="23"/>
  <c r="N48" i="23"/>
  <c r="N95" i="23"/>
  <c r="N115" i="23"/>
  <c r="N47" i="23"/>
  <c r="N12" i="23"/>
  <c r="N100" i="23"/>
  <c r="N92" i="23"/>
  <c r="N34" i="23"/>
  <c r="N131" i="23"/>
  <c r="N59" i="23"/>
  <c r="N104" i="23"/>
  <c r="N72" i="23"/>
  <c r="N73" i="23"/>
  <c r="N42" i="23"/>
  <c r="N70" i="23"/>
  <c r="N74" i="23"/>
  <c r="N71" i="23"/>
  <c r="N75" i="23"/>
  <c r="N108" i="23"/>
  <c r="N114" i="23"/>
  <c r="N105" i="23"/>
  <c r="X15" i="16"/>
  <c r="X21" i="16"/>
  <c r="X52" i="16"/>
  <c r="X13" i="16"/>
  <c r="U86" i="16" l="1"/>
  <c r="V86" i="16"/>
  <c r="W86" i="16" s="1"/>
  <c r="W70" i="16"/>
  <c r="U66" i="16"/>
  <c r="V66" i="16"/>
  <c r="W66" i="16" s="1"/>
  <c r="U67" i="16"/>
  <c r="V67" i="16"/>
  <c r="W67" i="16" s="1"/>
  <c r="U68" i="16"/>
  <c r="V68" i="16"/>
  <c r="W68" i="16" s="1"/>
  <c r="V10" i="16"/>
  <c r="W10" i="16" s="1"/>
  <c r="U53" i="16"/>
  <c r="W53" i="16"/>
  <c r="U54" i="16"/>
  <c r="W54" i="16"/>
  <c r="U55" i="16"/>
  <c r="W55" i="16"/>
  <c r="U56" i="16"/>
  <c r="W56" i="16"/>
  <c r="T103" i="16"/>
  <c r="F5" i="37" l="1"/>
  <c r="F6" i="37" s="1"/>
  <c r="F7" i="37" s="1"/>
  <c r="AV14" i="14"/>
  <c r="V59" i="16" l="1"/>
  <c r="W59" i="16" s="1"/>
  <c r="V31" i="16"/>
  <c r="V28" i="16"/>
  <c r="V34" i="16"/>
  <c r="V80" i="16"/>
  <c r="L224" i="23"/>
  <c r="L225" i="23"/>
  <c r="L226" i="23"/>
  <c r="L227" i="23"/>
  <c r="V64" i="16" l="1"/>
  <c r="X64" i="16" s="1"/>
  <c r="V24" i="16"/>
  <c r="W24" i="16" s="1"/>
  <c r="V62" i="16"/>
  <c r="W62" i="16" s="1"/>
  <c r="X44" i="16"/>
  <c r="V18" i="16"/>
  <c r="W18" i="16" s="1"/>
  <c r="W9" i="16"/>
  <c r="V23" i="16"/>
  <c r="X23" i="16" s="1"/>
  <c r="V17" i="16"/>
  <c r="X17" i="16" s="1"/>
  <c r="V27" i="16"/>
  <c r="W27" i="16" s="1"/>
  <c r="V61" i="16"/>
  <c r="W61" i="16" s="1"/>
  <c r="V29" i="16"/>
  <c r="X29" i="16" s="1"/>
  <c r="V19" i="16"/>
  <c r="W19" i="16" s="1"/>
  <c r="W46" i="16"/>
  <c r="V35" i="16"/>
  <c r="X35" i="16" s="1"/>
  <c r="V84" i="16"/>
  <c r="W84" i="16" s="1"/>
  <c r="W34" i="16"/>
  <c r="X34" i="16"/>
  <c r="W28" i="16"/>
  <c r="X28" i="16"/>
  <c r="V79" i="16"/>
  <c r="V60" i="16"/>
  <c r="V22" i="16"/>
  <c r="V32" i="16"/>
  <c r="V11" i="16"/>
  <c r="W11" i="16" s="1"/>
  <c r="V73" i="16"/>
  <c r="V38" i="16"/>
  <c r="V8" i="16"/>
  <c r="W8" i="16" s="1"/>
  <c r="V16" i="16"/>
  <c r="V26" i="16"/>
  <c r="V83" i="16"/>
  <c r="V37" i="16"/>
  <c r="V82" i="16"/>
  <c r="W31" i="16"/>
  <c r="X31" i="16"/>
  <c r="V36" i="16"/>
  <c r="V14" i="16"/>
  <c r="V30" i="16"/>
  <c r="V25" i="16"/>
  <c r="V12" i="16"/>
  <c r="V72" i="16"/>
  <c r="V7" i="16"/>
  <c r="W7" i="16" s="1"/>
  <c r="V5" i="16"/>
  <c r="W5" i="16" s="1"/>
  <c r="V33" i="16"/>
  <c r="V71" i="16"/>
  <c r="W71" i="16" s="1"/>
  <c r="W42" i="16"/>
  <c r="X42" i="16"/>
  <c r="W51" i="16"/>
  <c r="X51" i="16"/>
  <c r="W80" i="16"/>
  <c r="X80" i="16"/>
  <c r="V6" i="16"/>
  <c r="W6" i="16" s="1"/>
  <c r="V81" i="16"/>
  <c r="V39" i="16"/>
  <c r="V20" i="16"/>
  <c r="V85" i="16"/>
  <c r="Q71" i="16"/>
  <c r="R71" i="16"/>
  <c r="Y58" i="16"/>
  <c r="AA58" i="16"/>
  <c r="Y59" i="16"/>
  <c r="AA59" i="16"/>
  <c r="Y66" i="16"/>
  <c r="AA66" i="16"/>
  <c r="Y67" i="16"/>
  <c r="AA67" i="16"/>
  <c r="Y68" i="16"/>
  <c r="AA68" i="16"/>
  <c r="Q59" i="16"/>
  <c r="R59" i="16"/>
  <c r="W29" i="16" l="1"/>
  <c r="X62" i="16"/>
  <c r="X24" i="16"/>
  <c r="W17" i="16"/>
  <c r="X61" i="16"/>
  <c r="W64" i="16"/>
  <c r="W44" i="16"/>
  <c r="X18" i="16"/>
  <c r="X27" i="16"/>
  <c r="W23" i="16"/>
  <c r="X19" i="16"/>
  <c r="X84" i="16"/>
  <c r="X46" i="16"/>
  <c r="W35" i="16"/>
  <c r="W33" i="16"/>
  <c r="X33" i="16"/>
  <c r="W73" i="16"/>
  <c r="X73" i="16"/>
  <c r="W50" i="16"/>
  <c r="X50" i="16"/>
  <c r="W30" i="16"/>
  <c r="X30" i="16"/>
  <c r="W79" i="16"/>
  <c r="X79" i="16"/>
  <c r="W49" i="16"/>
  <c r="X49" i="16"/>
  <c r="W12" i="16"/>
  <c r="X12" i="16"/>
  <c r="W82" i="16"/>
  <c r="X82" i="16"/>
  <c r="W63" i="16"/>
  <c r="X63" i="16"/>
  <c r="W39" i="16"/>
  <c r="X39" i="16"/>
  <c r="W14" i="16"/>
  <c r="X14" i="16"/>
  <c r="W26" i="16"/>
  <c r="X26" i="16"/>
  <c r="W85" i="16"/>
  <c r="X85" i="16"/>
  <c r="W81" i="16"/>
  <c r="X81" i="16"/>
  <c r="W36" i="16"/>
  <c r="X36" i="16"/>
  <c r="W32" i="16"/>
  <c r="X32" i="16"/>
  <c r="W41" i="16"/>
  <c r="X41" i="16"/>
  <c r="W20" i="16"/>
  <c r="X20" i="16"/>
  <c r="W16" i="16"/>
  <c r="X16" i="16"/>
  <c r="W38" i="16"/>
  <c r="X38" i="16"/>
  <c r="W37" i="16"/>
  <c r="X37" i="16"/>
  <c r="W43" i="16"/>
  <c r="X43" i="16"/>
  <c r="W22" i="16"/>
  <c r="X22" i="16"/>
  <c r="W25" i="16"/>
  <c r="X25" i="16"/>
  <c r="W83" i="16"/>
  <c r="X83" i="16"/>
  <c r="W47" i="16"/>
  <c r="X47" i="16"/>
  <c r="W40" i="16"/>
  <c r="X40" i="16"/>
  <c r="W72" i="16"/>
  <c r="X72" i="16"/>
  <c r="W60" i="16"/>
  <c r="X60" i="16"/>
  <c r="W48" i="16"/>
  <c r="X48" i="16"/>
  <c r="T71" i="16"/>
  <c r="S71" i="16"/>
  <c r="T59" i="16"/>
  <c r="N77" i="23" s="1"/>
  <c r="AB66" i="16"/>
  <c r="AB59" i="16"/>
  <c r="Z68" i="16"/>
  <c r="Z66" i="16"/>
  <c r="Z59" i="16"/>
  <c r="S59" i="16"/>
  <c r="Z67" i="16"/>
  <c r="Z58" i="16"/>
  <c r="N142" i="23" l="1"/>
  <c r="N44" i="23"/>
  <c r="L2" i="5"/>
  <c r="L3" i="5"/>
  <c r="U58" i="16" s="1"/>
  <c r="L4" i="5"/>
  <c r="U59" i="16" s="1"/>
  <c r="L5" i="5"/>
  <c r="U60" i="16" s="1"/>
  <c r="L6" i="5"/>
  <c r="U61" i="16" s="1"/>
  <c r="L7" i="5"/>
  <c r="L8" i="5"/>
  <c r="L9" i="5"/>
  <c r="U63" i="16" s="1"/>
  <c r="L10" i="5"/>
  <c r="U64" i="16" s="1"/>
  <c r="L11" i="5"/>
  <c r="U65" i="16" s="1"/>
  <c r="L12" i="5"/>
  <c r="U62" i="16" l="1"/>
  <c r="D52" i="11"/>
  <c r="G49" i="11"/>
  <c r="G50" i="11"/>
  <c r="G51" i="11"/>
  <c r="G52" i="11"/>
  <c r="X88" i="16" l="1"/>
  <c r="X90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N13" i="4"/>
  <c r="N3" i="4"/>
  <c r="N4" i="4"/>
  <c r="N5" i="4"/>
  <c r="N6" i="4"/>
  <c r="N7" i="4"/>
  <c r="N8" i="4"/>
  <c r="N9" i="4"/>
  <c r="N10" i="4"/>
  <c r="N11" i="4"/>
  <c r="N12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2" i="4"/>
  <c r="Q360" i="23"/>
  <c r="Q361" i="23"/>
  <c r="Q362" i="23"/>
  <c r="Q363" i="23"/>
  <c r="Q364" i="23"/>
  <c r="Q365" i="23"/>
  <c r="H57" i="16" l="1"/>
  <c r="I57" i="16"/>
  <c r="J57" i="16"/>
  <c r="K57" i="16"/>
  <c r="L57" i="16"/>
  <c r="M57" i="16"/>
  <c r="Q3" i="16" l="1"/>
  <c r="AB68" i="16" l="1"/>
  <c r="H69" i="16" l="1"/>
  <c r="H171" i="15" l="1"/>
  <c r="Y4" i="16"/>
  <c r="AA4" i="16"/>
  <c r="Z4" i="16" s="1"/>
  <c r="Y5" i="16"/>
  <c r="AA5" i="16"/>
  <c r="Z5" i="16" s="1"/>
  <c r="Y6" i="16"/>
  <c r="AA6" i="16"/>
  <c r="Y7" i="16"/>
  <c r="AA7" i="16"/>
  <c r="Y8" i="16"/>
  <c r="AA8" i="16"/>
  <c r="Y9" i="16"/>
  <c r="AA9" i="16"/>
  <c r="Y10" i="16"/>
  <c r="AA10" i="16"/>
  <c r="Z10" i="16" s="1"/>
  <c r="Y11" i="16"/>
  <c r="AA11" i="16"/>
  <c r="Z11" i="16" s="1"/>
  <c r="Y53" i="16"/>
  <c r="AA53" i="16"/>
  <c r="Z53" i="16" s="1"/>
  <c r="Y54" i="16"/>
  <c r="AA54" i="16"/>
  <c r="Z54" i="16" s="1"/>
  <c r="Y55" i="16"/>
  <c r="AA55" i="16"/>
  <c r="Z55" i="16" s="1"/>
  <c r="Y56" i="16"/>
  <c r="AA56" i="16"/>
  <c r="Z56" i="16" s="1"/>
  <c r="L429" i="23"/>
  <c r="M429" i="23" s="1"/>
  <c r="N429" i="23"/>
  <c r="L430" i="23"/>
  <c r="M430" i="23" s="1"/>
  <c r="N430" i="23"/>
  <c r="L431" i="23"/>
  <c r="M431" i="23" s="1"/>
  <c r="N431" i="23"/>
  <c r="L432" i="23"/>
  <c r="M432" i="23" s="1"/>
  <c r="N432" i="23"/>
  <c r="I433" i="23"/>
  <c r="J433" i="23"/>
  <c r="N433" i="23"/>
  <c r="L437" i="23"/>
  <c r="Q58" i="16"/>
  <c r="AB58" i="16" s="1"/>
  <c r="R58" i="16"/>
  <c r="AB67" i="16"/>
  <c r="S58" i="16" l="1"/>
  <c r="T58" i="16"/>
  <c r="Z8" i="16"/>
  <c r="Z7" i="16"/>
  <c r="Z6" i="16"/>
  <c r="Z9" i="16"/>
  <c r="L433" i="23"/>
  <c r="M433" i="23" s="1"/>
  <c r="N2" i="23" l="1"/>
  <c r="N91" i="23"/>
  <c r="D53" i="11"/>
  <c r="D54" i="11" s="1"/>
  <c r="F84" i="8" l="1"/>
  <c r="M224" i="23" l="1"/>
  <c r="M225" i="23"/>
  <c r="M226" i="23"/>
  <c r="M227" i="23"/>
  <c r="Y86" i="16" l="1"/>
  <c r="AA86" i="16"/>
  <c r="Z86" i="16" s="1"/>
  <c r="Q4" i="16"/>
  <c r="AB4" i="16" s="1"/>
  <c r="R4" i="16"/>
  <c r="Q5" i="16"/>
  <c r="AB5" i="16" s="1"/>
  <c r="R5" i="16"/>
  <c r="Q6" i="16"/>
  <c r="AB6" i="16" s="1"/>
  <c r="R6" i="16"/>
  <c r="Q7" i="16"/>
  <c r="AB7" i="16" s="1"/>
  <c r="R7" i="16"/>
  <c r="Q8" i="16"/>
  <c r="AB8" i="16" s="1"/>
  <c r="R8" i="16"/>
  <c r="Q9" i="16"/>
  <c r="AB9" i="16" s="1"/>
  <c r="R9" i="16"/>
  <c r="Q10" i="16"/>
  <c r="AB10" i="16" s="1"/>
  <c r="R10" i="16"/>
  <c r="Q11" i="16"/>
  <c r="AB11" i="16" s="1"/>
  <c r="R11" i="16"/>
  <c r="AB53" i="16"/>
  <c r="AB54" i="16"/>
  <c r="AB55" i="16"/>
  <c r="AB56" i="16"/>
  <c r="X71" i="16" l="1"/>
  <c r="X68" i="16"/>
  <c r="X66" i="16"/>
  <c r="X67" i="16"/>
  <c r="X59" i="16"/>
  <c r="S9" i="16"/>
  <c r="T11" i="16"/>
  <c r="N109" i="23" s="1"/>
  <c r="X53" i="16"/>
  <c r="S5" i="16"/>
  <c r="T4" i="16"/>
  <c r="T6" i="16"/>
  <c r="S10" i="16"/>
  <c r="T9" i="16"/>
  <c r="N17" i="23" s="1"/>
  <c r="S6" i="16"/>
  <c r="S8" i="16"/>
  <c r="X55" i="16"/>
  <c r="S4" i="16"/>
  <c r="S11" i="16"/>
  <c r="T5" i="16"/>
  <c r="N5" i="23" s="1"/>
  <c r="S7" i="16"/>
  <c r="X54" i="16"/>
  <c r="T8" i="16"/>
  <c r="T10" i="16"/>
  <c r="X56" i="16"/>
  <c r="T7" i="16"/>
  <c r="N76" i="23" s="1"/>
  <c r="L2" i="23"/>
  <c r="I221" i="23"/>
  <c r="J221" i="23"/>
  <c r="J440" i="23" s="1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I35" i="5"/>
  <c r="J35" i="5"/>
  <c r="K35" i="5"/>
  <c r="N51" i="23" l="1"/>
  <c r="N15" i="23"/>
  <c r="N78" i="23"/>
  <c r="N19" i="23"/>
  <c r="N16" i="23"/>
  <c r="X4" i="16"/>
  <c r="N39" i="23"/>
  <c r="N79" i="23"/>
  <c r="N64" i="23"/>
  <c r="N41" i="23"/>
  <c r="N69" i="23"/>
  <c r="N62" i="23"/>
  <c r="X8" i="16"/>
  <c r="X11" i="16"/>
  <c r="X10" i="16"/>
  <c r="X9" i="16"/>
  <c r="X5" i="16"/>
  <c r="X7" i="16"/>
  <c r="X6" i="16"/>
  <c r="V58" i="16"/>
  <c r="I440" i="23"/>
  <c r="L221" i="23"/>
  <c r="X86" i="16"/>
  <c r="I222" i="23"/>
  <c r="L222" i="23" s="1"/>
  <c r="M2" i="23"/>
  <c r="W58" i="16" l="1"/>
  <c r="X58" i="16"/>
  <c r="M221" i="23"/>
  <c r="I223" i="23"/>
  <c r="M222" i="23"/>
  <c r="L223" i="23" l="1"/>
  <c r="M223" i="23" s="1"/>
  <c r="L438" i="23" l="1"/>
  <c r="J139" i="14"/>
  <c r="J140" i="14"/>
  <c r="J141" i="14"/>
  <c r="J142" i="14"/>
  <c r="J143" i="14"/>
  <c r="J144" i="14"/>
  <c r="J145" i="14"/>
  <c r="J146" i="14"/>
  <c r="J147" i="14" l="1"/>
  <c r="J135" i="14" s="1"/>
  <c r="K101" i="4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2" i="15"/>
  <c r="H173" i="15"/>
  <c r="E97" i="16" s="1"/>
  <c r="F97" i="16"/>
  <c r="H158" i="15"/>
  <c r="AJ14" i="14" l="1"/>
  <c r="AK14" i="14"/>
  <c r="AL14" i="14"/>
  <c r="AM14" i="14"/>
  <c r="B17" i="11"/>
  <c r="B18" i="11"/>
  <c r="B19" i="11"/>
  <c r="B20" i="11"/>
  <c r="B21" i="11"/>
  <c r="B22" i="11"/>
  <c r="B27" i="11"/>
  <c r="C24" i="11"/>
  <c r="C133" i="14"/>
  <c r="D133" i="14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D132" i="14"/>
  <c r="C132" i="14"/>
  <c r="E64" i="8"/>
  <c r="D64" i="8"/>
  <c r="H175" i="15"/>
  <c r="G156" i="15"/>
  <c r="H1" i="8"/>
  <c r="F156" i="15"/>
  <c r="AA70" i="16"/>
  <c r="AA3" i="16"/>
  <c r="AB32" i="5"/>
  <c r="AB33" i="5"/>
  <c r="AB34" i="5"/>
  <c r="AB11" i="5"/>
  <c r="AB12" i="5"/>
  <c r="AB13" i="5"/>
  <c r="H58" i="11"/>
  <c r="F148" i="14" l="1"/>
  <c r="F136" i="14"/>
  <c r="C21" i="11" s="1"/>
  <c r="D149" i="14"/>
  <c r="F147" i="14"/>
  <c r="F143" i="14"/>
  <c r="C23" i="11" s="1"/>
  <c r="F139" i="14"/>
  <c r="C27" i="11" s="1"/>
  <c r="F135" i="14"/>
  <c r="C20" i="11" s="1"/>
  <c r="F145" i="14"/>
  <c r="F141" i="14"/>
  <c r="F137" i="14"/>
  <c r="C22" i="11" s="1"/>
  <c r="F133" i="14"/>
  <c r="C18" i="11" s="1"/>
  <c r="F144" i="14"/>
  <c r="C26" i="11" s="1"/>
  <c r="F140" i="14"/>
  <c r="F146" i="14"/>
  <c r="F142" i="14"/>
  <c r="C31" i="11" s="1"/>
  <c r="C30" i="11" s="1"/>
  <c r="F138" i="14"/>
  <c r="C29" i="11" s="1"/>
  <c r="F134" i="14"/>
  <c r="C19" i="11" s="1"/>
  <c r="F132" i="14"/>
  <c r="C17" i="11" s="1"/>
  <c r="C149" i="14"/>
  <c r="G143" i="14" l="1"/>
  <c r="C16" i="11"/>
  <c r="C25" i="11"/>
  <c r="AB5" i="5"/>
  <c r="AB6" i="5"/>
  <c r="AB7" i="5"/>
  <c r="AB8" i="5"/>
  <c r="AB9" i="5"/>
  <c r="AB10" i="5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U83" i="16" s="1"/>
  <c r="I14" i="18"/>
  <c r="J14" i="18"/>
  <c r="I15" i="18"/>
  <c r="J15" i="18"/>
  <c r="I16" i="18"/>
  <c r="J16" i="18"/>
  <c r="I17" i="18"/>
  <c r="J17" i="18"/>
  <c r="J18" i="18"/>
  <c r="J19" i="18"/>
  <c r="J20" i="18"/>
  <c r="I18" i="18"/>
  <c r="I19" i="18"/>
  <c r="I20" i="18"/>
  <c r="S29" i="4"/>
  <c r="U29" i="4"/>
  <c r="S30" i="4"/>
  <c r="U30" i="4"/>
  <c r="S31" i="4"/>
  <c r="U31" i="4"/>
  <c r="S32" i="4"/>
  <c r="U32" i="4"/>
  <c r="S33" i="4"/>
  <c r="U33" i="4"/>
  <c r="S34" i="4"/>
  <c r="U34" i="4"/>
  <c r="S35" i="4"/>
  <c r="U35" i="4"/>
  <c r="S36" i="4"/>
  <c r="U36" i="4"/>
  <c r="S37" i="4"/>
  <c r="U37" i="4"/>
  <c r="S38" i="4"/>
  <c r="U38" i="4"/>
  <c r="S39" i="4"/>
  <c r="U39" i="4"/>
  <c r="S40" i="4"/>
  <c r="U40" i="4"/>
  <c r="S41" i="4"/>
  <c r="U41" i="4"/>
  <c r="S42" i="4"/>
  <c r="U42" i="4"/>
  <c r="S43" i="4"/>
  <c r="U43" i="4"/>
  <c r="S44" i="4"/>
  <c r="U44" i="4"/>
  <c r="U85" i="16" l="1"/>
  <c r="U84" i="16"/>
  <c r="Q44" i="4"/>
  <c r="U43" i="16" s="1"/>
  <c r="Q36" i="4"/>
  <c r="O41" i="4"/>
  <c r="Q41" i="4"/>
  <c r="O33" i="4"/>
  <c r="Q33" i="4"/>
  <c r="O31" i="4"/>
  <c r="Q31" i="4"/>
  <c r="O43" i="4"/>
  <c r="Q43" i="4"/>
  <c r="U44" i="16" s="1"/>
  <c r="Q40" i="4"/>
  <c r="U40" i="16" s="1"/>
  <c r="Q32" i="4"/>
  <c r="U31" i="16" s="1"/>
  <c r="O30" i="4"/>
  <c r="Q30" i="4"/>
  <c r="Q37" i="4"/>
  <c r="O29" i="4"/>
  <c r="Q29" i="4"/>
  <c r="U28" i="16" s="1"/>
  <c r="O39" i="4"/>
  <c r="Q39" i="4"/>
  <c r="O38" i="4"/>
  <c r="Q38" i="4"/>
  <c r="O35" i="4"/>
  <c r="Q35" i="4"/>
  <c r="U34" i="16" s="1"/>
  <c r="O42" i="4"/>
  <c r="Q42" i="4"/>
  <c r="U42" i="16" s="1"/>
  <c r="O34" i="4"/>
  <c r="Q34" i="4"/>
  <c r="U32" i="16" s="1"/>
  <c r="O37" i="4"/>
  <c r="O44" i="4"/>
  <c r="O36" i="4"/>
  <c r="O40" i="4"/>
  <c r="O32" i="4"/>
  <c r="U29" i="16" l="1"/>
  <c r="U33" i="16"/>
  <c r="U41" i="16"/>
  <c r="U45" i="16"/>
  <c r="U30" i="16"/>
  <c r="V36" i="4"/>
  <c r="V44" i="4"/>
  <c r="R37" i="4"/>
  <c r="V57" i="16"/>
  <c r="R36" i="4"/>
  <c r="V32" i="4"/>
  <c r="R44" i="4"/>
  <c r="V40" i="4"/>
  <c r="V37" i="4"/>
  <c r="R40" i="4"/>
  <c r="R32" i="4"/>
  <c r="R29" i="4"/>
  <c r="R30" i="4"/>
  <c r="V35" i="4"/>
  <c r="R31" i="4"/>
  <c r="V43" i="4"/>
  <c r="V39" i="4"/>
  <c r="V34" i="4"/>
  <c r="V31" i="4"/>
  <c r="R33" i="4"/>
  <c r="V29" i="4"/>
  <c r="V30" i="4"/>
  <c r="R42" i="4"/>
  <c r="R41" i="4"/>
  <c r="V41" i="4"/>
  <c r="R34" i="4"/>
  <c r="R38" i="4"/>
  <c r="V33" i="4"/>
  <c r="V38" i="4"/>
  <c r="V42" i="4"/>
  <c r="R43" i="4"/>
  <c r="R39" i="4"/>
  <c r="R35" i="4"/>
  <c r="H126" i="14" l="1"/>
  <c r="J126" i="14"/>
  <c r="AI14" i="14"/>
  <c r="R222" i="23"/>
  <c r="L139" i="14" l="1"/>
  <c r="L140" i="14"/>
  <c r="L141" i="14"/>
  <c r="L142" i="14"/>
  <c r="L143" i="14"/>
  <c r="L144" i="14"/>
  <c r="L145" i="14"/>
  <c r="L146" i="14"/>
  <c r="L138" i="14"/>
  <c r="I126" i="14"/>
  <c r="S10" i="4" l="1"/>
  <c r="U10" i="4"/>
  <c r="S11" i="4"/>
  <c r="U11" i="4"/>
  <c r="S12" i="4"/>
  <c r="U12" i="4"/>
  <c r="S13" i="4"/>
  <c r="U13" i="4"/>
  <c r="S14" i="4"/>
  <c r="U14" i="4"/>
  <c r="S15" i="4"/>
  <c r="U15" i="4"/>
  <c r="S16" i="4"/>
  <c r="U16" i="4"/>
  <c r="S17" i="4"/>
  <c r="U17" i="4"/>
  <c r="S18" i="4"/>
  <c r="U18" i="4"/>
  <c r="S19" i="4"/>
  <c r="U19" i="4"/>
  <c r="S20" i="4"/>
  <c r="U20" i="4"/>
  <c r="S21" i="4"/>
  <c r="U21" i="4"/>
  <c r="S22" i="4"/>
  <c r="U22" i="4"/>
  <c r="S23" i="4"/>
  <c r="U23" i="4"/>
  <c r="S24" i="4"/>
  <c r="U24" i="4"/>
  <c r="S25" i="4"/>
  <c r="U25" i="4"/>
  <c r="V87" i="16" l="1"/>
  <c r="V69" i="16"/>
  <c r="Q22" i="4"/>
  <c r="Q14" i="4"/>
  <c r="Q19" i="4"/>
  <c r="Q11" i="4"/>
  <c r="U11" i="16" s="1"/>
  <c r="Q25" i="4"/>
  <c r="U51" i="16" s="1"/>
  <c r="Q17" i="4"/>
  <c r="U16" i="16" s="1"/>
  <c r="Q16" i="4"/>
  <c r="Q21" i="4"/>
  <c r="Q13" i="4"/>
  <c r="Q18" i="4"/>
  <c r="U18" i="16" s="1"/>
  <c r="Q10" i="4"/>
  <c r="U12" i="16" s="1"/>
  <c r="Q24" i="4"/>
  <c r="Q23" i="4"/>
  <c r="Q15" i="4"/>
  <c r="U13" i="16" s="1"/>
  <c r="Q20" i="4"/>
  <c r="Q12" i="4"/>
  <c r="O24" i="4"/>
  <c r="O20" i="4"/>
  <c r="O12" i="4"/>
  <c r="O19" i="4"/>
  <c r="O11" i="4"/>
  <c r="O16" i="4"/>
  <c r="O23" i="4"/>
  <c r="O14" i="4"/>
  <c r="O10" i="4"/>
  <c r="O15" i="4"/>
  <c r="O22" i="4"/>
  <c r="O18" i="4"/>
  <c r="O21" i="4"/>
  <c r="O13" i="4"/>
  <c r="O25" i="4"/>
  <c r="O17" i="4"/>
  <c r="AB3" i="16"/>
  <c r="U19" i="16" l="1"/>
  <c r="U15" i="16"/>
  <c r="U38" i="16"/>
  <c r="U14" i="16"/>
  <c r="U37" i="16"/>
  <c r="U22" i="16"/>
  <c r="U21" i="16"/>
  <c r="U20" i="16"/>
  <c r="U39" i="16"/>
  <c r="U17" i="16"/>
  <c r="R25" i="4"/>
  <c r="V18" i="4"/>
  <c r="V13" i="4"/>
  <c r="V22" i="4"/>
  <c r="V21" i="4"/>
  <c r="V17" i="4"/>
  <c r="V25" i="4"/>
  <c r="R22" i="4"/>
  <c r="R13" i="4"/>
  <c r="R17" i="4"/>
  <c r="R18" i="4"/>
  <c r="R21" i="4"/>
  <c r="V23" i="4"/>
  <c r="V24" i="4"/>
  <c r="V15" i="4"/>
  <c r="V14" i="4"/>
  <c r="V16" i="4"/>
  <c r="V19" i="4"/>
  <c r="V20" i="4"/>
  <c r="V11" i="4"/>
  <c r="V12" i="4"/>
  <c r="R15" i="4"/>
  <c r="R11" i="4"/>
  <c r="V10" i="4"/>
  <c r="R10" i="4"/>
  <c r="R19" i="4"/>
  <c r="R14" i="4"/>
  <c r="R23" i="4"/>
  <c r="T3" i="16"/>
  <c r="R24" i="4"/>
  <c r="R12" i="4"/>
  <c r="R20" i="4"/>
  <c r="R16" i="4"/>
  <c r="S3" i="16"/>
  <c r="I69" i="16"/>
  <c r="J69" i="16"/>
  <c r="K69" i="16"/>
  <c r="L69" i="16"/>
  <c r="M69" i="16"/>
  <c r="N69" i="16"/>
  <c r="O69" i="16"/>
  <c r="P69" i="16"/>
  <c r="X3" i="16" l="1"/>
  <c r="N40" i="23"/>
  <c r="N67" i="23"/>
  <c r="L35" i="5"/>
  <c r="M35" i="5"/>
  <c r="N35" i="5"/>
  <c r="O35" i="5"/>
  <c r="P35" i="5"/>
  <c r="Q35" i="5"/>
  <c r="AB3" i="5"/>
  <c r="AB4" i="5"/>
  <c r="S3" i="4"/>
  <c r="U3" i="4"/>
  <c r="S4" i="4"/>
  <c r="U4" i="4"/>
  <c r="S5" i="4"/>
  <c r="U5" i="4"/>
  <c r="S6" i="4"/>
  <c r="U6" i="4"/>
  <c r="S7" i="4"/>
  <c r="U7" i="4"/>
  <c r="S8" i="4"/>
  <c r="U8" i="4"/>
  <c r="S9" i="4"/>
  <c r="U9" i="4"/>
  <c r="S26" i="4"/>
  <c r="U26" i="4"/>
  <c r="S27" i="4"/>
  <c r="U27" i="4"/>
  <c r="S28" i="4"/>
  <c r="U28" i="4"/>
  <c r="Q6" i="4" l="1"/>
  <c r="Q27" i="4"/>
  <c r="Q3" i="4"/>
  <c r="U5" i="16" s="1"/>
  <c r="Q26" i="4"/>
  <c r="Q7" i="4"/>
  <c r="U7" i="16" s="1"/>
  <c r="Q9" i="4"/>
  <c r="Q8" i="4"/>
  <c r="Q5" i="4"/>
  <c r="U9" i="16" s="1"/>
  <c r="Q28" i="4"/>
  <c r="U27" i="16" s="1"/>
  <c r="Q4" i="4"/>
  <c r="U36" i="16" s="1"/>
  <c r="O27" i="4"/>
  <c r="O28" i="4"/>
  <c r="O8" i="4"/>
  <c r="O4" i="4"/>
  <c r="O9" i="4"/>
  <c r="O5" i="4"/>
  <c r="O7" i="4"/>
  <c r="O3" i="4"/>
  <c r="O26" i="4"/>
  <c r="O6" i="4"/>
  <c r="U6" i="16" l="1"/>
  <c r="U10" i="16"/>
  <c r="U26" i="16"/>
  <c r="U23" i="16"/>
  <c r="U24" i="16"/>
  <c r="U25" i="16"/>
  <c r="U8" i="16"/>
  <c r="U35" i="16"/>
  <c r="R8" i="4"/>
  <c r="V8" i="4"/>
  <c r="V6" i="4"/>
  <c r="R4" i="4"/>
  <c r="V5" i="4"/>
  <c r="V4" i="4"/>
  <c r="V9" i="4"/>
  <c r="V7" i="4"/>
  <c r="V3" i="4"/>
  <c r="R6" i="4"/>
  <c r="R9" i="4"/>
  <c r="R3" i="4"/>
  <c r="R7" i="4"/>
  <c r="R5" i="4"/>
  <c r="V27" i="4"/>
  <c r="V26" i="4"/>
  <c r="V28" i="4"/>
  <c r="R28" i="4"/>
  <c r="R26" i="4"/>
  <c r="R27" i="4"/>
  <c r="N57" i="16"/>
  <c r="O91" i="16"/>
  <c r="P91" i="16"/>
  <c r="Q70" i="16"/>
  <c r="R70" i="16"/>
  <c r="R87" i="16" l="1"/>
  <c r="R69" i="16"/>
  <c r="Q69" i="16"/>
  <c r="Q87" i="16"/>
  <c r="AB70" i="16"/>
  <c r="S70" i="16"/>
  <c r="T70" i="16"/>
  <c r="N125" i="23" s="1"/>
  <c r="R57" i="16"/>
  <c r="Q57" i="16"/>
  <c r="X70" i="16" l="1"/>
  <c r="S69" i="16"/>
  <c r="T69" i="16"/>
  <c r="X69" i="16" s="1"/>
  <c r="T87" i="16"/>
  <c r="X87" i="16" s="1"/>
  <c r="V91" i="16"/>
  <c r="S57" i="16"/>
  <c r="T57" i="16"/>
  <c r="X57" i="16" s="1"/>
  <c r="U2" i="4" l="1"/>
  <c r="Y3" i="16"/>
  <c r="Z3" i="16"/>
  <c r="S2" i="4"/>
  <c r="I21" i="18"/>
  <c r="J21" i="18"/>
  <c r="I22" i="18"/>
  <c r="J22" i="18"/>
  <c r="I23" i="18"/>
  <c r="J23" i="18"/>
  <c r="Y70" i="16"/>
  <c r="Z70" i="16"/>
  <c r="U101" i="4" l="1"/>
  <c r="H60" i="11" l="1"/>
  <c r="H59" i="11"/>
  <c r="S88" i="16" l="1"/>
  <c r="AB2" i="5"/>
  <c r="AB35" i="5" s="1"/>
  <c r="L90" i="16"/>
  <c r="L91" i="16" s="1"/>
  <c r="J24" i="18" l="1"/>
  <c r="G48" i="11"/>
  <c r="G137" i="14" l="1"/>
  <c r="C34" i="11"/>
  <c r="C33" i="11" s="1"/>
  <c r="C36" i="11"/>
  <c r="C39" i="11" s="1"/>
  <c r="G141" i="14" l="1"/>
  <c r="G139" i="14"/>
  <c r="G136" i="14"/>
  <c r="F149" i="14"/>
  <c r="N2" i="4"/>
  <c r="Q2" i="4" l="1"/>
  <c r="U3" i="16" s="1"/>
  <c r="G149" i="14"/>
  <c r="C40" i="11" s="1"/>
  <c r="H153" i="14"/>
  <c r="AA14" i="14" l="1"/>
  <c r="W100" i="16" l="1"/>
  <c r="H61" i="11" l="1"/>
  <c r="H62" i="11" s="1"/>
  <c r="R89" i="16" l="1"/>
  <c r="H90" i="16"/>
  <c r="I90" i="16"/>
  <c r="I91" i="16" s="1"/>
  <c r="J90" i="16"/>
  <c r="J91" i="16" s="1"/>
  <c r="Q178" i="23" s="1"/>
  <c r="K90" i="16"/>
  <c r="K91" i="16" s="1"/>
  <c r="L92" i="16"/>
  <c r="M90" i="16"/>
  <c r="M91" i="16" s="1"/>
  <c r="N90" i="16"/>
  <c r="N91" i="16" s="1"/>
  <c r="N92" i="16" s="1"/>
  <c r="F91" i="16"/>
  <c r="G91" i="16"/>
  <c r="J92" i="16" l="1"/>
  <c r="R178" i="23"/>
  <c r="K92" i="16"/>
  <c r="H100" i="16" s="1"/>
  <c r="H91" i="16"/>
  <c r="H93" i="16" s="1"/>
  <c r="M92" i="16"/>
  <c r="S89" i="16"/>
  <c r="I92" i="16"/>
  <c r="D108" i="16"/>
  <c r="R90" i="16"/>
  <c r="Q90" i="16"/>
  <c r="Z89" i="16"/>
  <c r="Y89" i="16"/>
  <c r="V89" i="16"/>
  <c r="W89" i="16" l="1"/>
  <c r="X89" i="16"/>
  <c r="H97" i="16"/>
  <c r="S87" i="16"/>
  <c r="R91" i="16"/>
  <c r="Q91" i="16"/>
  <c r="R92" i="16" l="1"/>
  <c r="R96" i="16"/>
  <c r="Q92" i="16"/>
  <c r="Q96" i="16"/>
  <c r="T91" i="16"/>
  <c r="S91" i="16"/>
  <c r="S92" i="16" s="1"/>
  <c r="T92" i="16" l="1"/>
  <c r="X92" i="16" s="1"/>
  <c r="X91" i="16"/>
  <c r="W95" i="16"/>
  <c r="O2" i="4" l="1"/>
  <c r="V2" i="4" l="1"/>
  <c r="R2" i="4"/>
  <c r="R101" i="4" s="1"/>
  <c r="K24" i="18"/>
  <c r="S101" i="4" l="1"/>
  <c r="I24" i="18" l="1"/>
  <c r="E4" i="11" s="1"/>
  <c r="E5" i="11" s="1"/>
  <c r="G105" i="16" l="1"/>
  <c r="G102" i="16"/>
  <c r="R102" i="4" l="1"/>
  <c r="C53" i="11" l="1"/>
  <c r="C12" i="11" l="1"/>
  <c r="C10" i="11"/>
  <c r="E53" i="11" l="1"/>
  <c r="E54" i="11" s="1"/>
  <c r="C9" i="11" l="1"/>
  <c r="I104" i="16" l="1"/>
  <c r="I95" i="16"/>
  <c r="C13" i="11" l="1"/>
  <c r="C8" i="11" s="1"/>
  <c r="C38" i="11" l="1"/>
  <c r="D39" i="11" s="1"/>
  <c r="C43" i="11"/>
  <c r="C41" i="11"/>
  <c r="H107" i="16"/>
  <c r="C42" i="11" l="1"/>
  <c r="I99" i="16"/>
  <c r="D4" i="11" l="1"/>
  <c r="D5" i="11" s="1"/>
  <c r="H98" i="16"/>
  <c r="H101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I105" i="16"/>
  <c r="I107" i="16" s="1"/>
  <c r="Q93" i="16"/>
  <c r="Q94" i="16" s="1"/>
  <c r="H104" i="16"/>
  <c r="I98" i="16"/>
  <c r="I97" i="16" l="1"/>
  <c r="I101" i="16" s="1"/>
  <c r="U92" i="16"/>
  <c r="R94" i="16"/>
  <c r="B36" i="11" l="1"/>
  <c r="D33" i="11" l="1"/>
  <c r="D8" i="11" l="1"/>
  <c r="D36" i="11" l="1"/>
  <c r="D9" i="11" l="1"/>
  <c r="D10" i="11"/>
  <c r="D11" i="11"/>
  <c r="D13" i="11"/>
  <c r="D12" i="11"/>
  <c r="E16" i="11" l="1"/>
  <c r="D16" i="11"/>
  <c r="G106" i="16" l="1"/>
  <c r="G107" i="16" s="1"/>
  <c r="G103" i="16"/>
  <c r="G100" i="16" l="1"/>
  <c r="G101" i="16" s="1"/>
  <c r="G104" i="16"/>
</calcChain>
</file>

<file path=xl/sharedStrings.xml><?xml version="1.0" encoding="utf-8"?>
<sst xmlns="http://schemas.openxmlformats.org/spreadsheetml/2006/main" count="3429" uniqueCount="1106">
  <si>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</si>
  <si>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</si>
  <si>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</si>
  <si>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</si>
  <si>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</si>
  <si>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</si>
  <si>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</si>
  <si>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</si>
  <si>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</si>
  <si>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</si>
  <si>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</si>
  <si>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</si>
  <si>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</si>
  <si>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</si>
  <si>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</si>
  <si>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</si>
  <si>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</si>
  <si>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</si>
  <si>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</si>
  <si>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</si>
  <si>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</si>
  <si>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</si>
  <si>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</si>
  <si>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</si>
  <si>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</si>
  <si>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Status</t>
  </si>
  <si>
    <t>Total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</si>
  <si>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</si>
  <si>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</si>
  <si>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</si>
  <si>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</si>
  <si>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</si>
  <si>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</si>
  <si>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</si>
  <si>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</si>
  <si>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</si>
  <si>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</si>
  <si>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</si>
  <si>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</si>
  <si>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</si>
  <si>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</si>
  <si>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</si>
  <si>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</si>
  <si>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</si>
  <si>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</si>
  <si>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</si>
  <si>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</si>
  <si>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</si>
  <si>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</si>
  <si>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</si>
  <si>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</si>
  <si>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</si>
  <si>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</si>
  <si>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Noches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</si>
  <si>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</si>
  <si>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</si>
  <si>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</si>
  <si>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</si>
  <si>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</si>
  <si>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</si>
  <si>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</si>
  <si>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Add-ons Included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</si>
  <si>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</si>
  <si>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</si>
  <si>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</si>
  <si>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</si>
  <si>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</si>
  <si>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</si>
  <si>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</si>
  <si>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</si>
  <si>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</si>
  <si>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</si>
  <si>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</si>
  <si>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</si>
  <si>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</si>
  <si>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</si>
  <si>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</si>
  <si>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</si>
  <si>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</si>
  <si>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</si>
  <si>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</si>
  <si>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</si>
  <si>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</si>
  <si>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</si>
  <si>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</si>
  <si>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</si>
  <si>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</si>
  <si>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</si>
  <si>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</si>
  <si>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</si>
  <si>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</si>
  <si>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</si>
  <si>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</si>
  <si>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</si>
  <si>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</si>
  <si>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</si>
  <si>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</si>
  <si>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</si>
  <si>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</si>
  <si>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</si>
  <si>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</si>
  <si>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</si>
  <si>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</si>
  <si>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</si>
  <si>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</si>
  <si>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</si>
  <si>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</si>
  <si>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</si>
  <si>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</si>
  <si>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</si>
  <si>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</si>
  <si>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</si>
  <si>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</si>
  <si>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</si>
  <si>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</si>
  <si>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</si>
  <si>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</si>
  <si>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</si>
  <si>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</si>
  <si>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</si>
  <si>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</si>
  <si>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</si>
  <si>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</si>
  <si>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</si>
  <si>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</si>
  <si>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</si>
  <si>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</si>
  <si>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</si>
  <si>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</si>
  <si>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</si>
  <si>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</si>
  <si>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</si>
  <si>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</si>
  <si>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</si>
  <si>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</si>
  <si>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</si>
  <si>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</si>
  <si>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</si>
  <si>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</si>
  <si>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</si>
  <si>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</si>
  <si>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</si>
  <si>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</si>
  <si>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</si>
  <si>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</si>
  <si>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</si>
  <si>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</si>
  <si>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</si>
  <si>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</si>
  <si>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</si>
  <si>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</si>
  <si>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</si>
  <si>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</si>
  <si>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</si>
  <si>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</si>
  <si>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</si>
  <si>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</si>
  <si>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</si>
  <si>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</si>
  <si>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</si>
  <si>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</si>
  <si>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</si>
  <si>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</si>
  <si>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</si>
  <si>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</si>
  <si>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</si>
  <si>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</si>
  <si>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</si>
  <si>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</si>
  <si>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BOOKING.COM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</si>
  <si>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</si>
  <si>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</si>
  <si>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</si>
  <si>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</si>
  <si>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</si>
  <si>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</si>
  <si>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</si>
  <si>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</si>
  <si>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</si>
  <si>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</si>
  <si>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</si>
  <si>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</si>
  <si>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</si>
  <si>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</si>
  <si>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</si>
  <si>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</si>
  <si>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</si>
  <si>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</si>
  <si>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</si>
  <si>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</si>
  <si>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</si>
  <si>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</si>
  <si>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</si>
  <si>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</si>
  <si>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</si>
  <si>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DB</t>
  </si>
  <si>
    <t>-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</si>
  <si>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</si>
  <si>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</si>
  <si>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</si>
  <si>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</si>
  <si>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</si>
  <si>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</si>
  <si>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</si>
  <si>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</si>
  <si>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Retiros Acum 2016</t>
  </si>
  <si>
    <t>TARJETA DE CREDITO PREVIO</t>
  </si>
  <si>
    <t>factura</t>
  </si>
  <si>
    <t xml:space="preserve">BANCO DE CHILE-EDWARDS             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</si>
  <si>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</si>
  <si>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</si>
  <si>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</si>
  <si>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</si>
  <si>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</si>
  <si>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96.982.330-6</t>
  </si>
  <si>
    <t>23.399.570-3</t>
  </si>
  <si>
    <t>16.259.043-K</t>
  </si>
  <si>
    <t>Frigobar</t>
  </si>
  <si>
    <t>Acepta</t>
  </si>
  <si>
    <t>0</t>
  </si>
  <si>
    <t>Giro Cajero Automático</t>
  </si>
  <si>
    <t xml:space="preserve">CESPA Ltda                                   </t>
  </si>
  <si>
    <t xml:space="preserve">Nilda Ccama Ayma                             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</si>
  <si>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</si>
  <si>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</si>
  <si>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</si>
  <si>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</si>
  <si>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</si>
  <si>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</si>
  <si>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</si>
  <si>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</si>
  <si>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</si>
  <si>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</si>
  <si>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</si>
  <si>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</si>
  <si>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</si>
  <si>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</si>
  <si>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</si>
  <si>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</si>
  <si>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</si>
  <si>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96.919.050-8</t>
  </si>
  <si>
    <t xml:space="preserve">Acepta.com                                   </t>
  </si>
  <si>
    <t>30905830</t>
  </si>
  <si>
    <t>30975278</t>
  </si>
  <si>
    <t>COMISION COMPRA INTERNACIONAL</t>
  </si>
  <si>
    <t>COBRO ADM MENSUAL</t>
  </si>
  <si>
    <t>76.191.561-4</t>
  </si>
  <si>
    <t>SOCIEDAD HOTELERA ZAMORA RAMIREZ HERMANOS LIM</t>
  </si>
  <si>
    <t>Abono Por Transf De Fondos Autoservicio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</si>
  <si>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</si>
  <si>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</si>
  <si>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</si>
  <si>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</si>
  <si>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</si>
  <si>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</si>
  <si>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</si>
  <si>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</si>
  <si>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</si>
  <si>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</si>
  <si>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</si>
  <si>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</si>
  <si>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</si>
  <si>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</si>
  <si>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</si>
  <si>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</si>
  <si>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</si>
  <si>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</si>
  <si>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</si>
  <si>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</si>
  <si>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Comb. Camioneta</t>
  </si>
  <si>
    <t>LIDER</t>
  </si>
  <si>
    <t>Aseo Hotel</t>
  </si>
  <si>
    <t>Desayuno Pasajeros</t>
  </si>
  <si>
    <t>Almuerzo Personal</t>
  </si>
  <si>
    <t>JUMBO</t>
  </si>
  <si>
    <t>Art. Oficina</t>
  </si>
  <si>
    <t>ok</t>
  </si>
  <si>
    <t>Habitación con 2 camas individuales</t>
  </si>
  <si>
    <t>Habitación doble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</si>
  <si>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</si>
  <si>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</si>
  <si>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</si>
  <si>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</si>
  <si>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</si>
  <si>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</si>
  <si>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</si>
  <si>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Open</t>
  </si>
  <si>
    <t>Ninguno</t>
  </si>
  <si>
    <t>contacto@pascualandino.com</t>
  </si>
  <si>
    <t>gustavo le paige 150</t>
  </si>
  <si>
    <t>san pedro</t>
  </si>
  <si>
    <t>caceres@consultoria.com.py</t>
  </si>
  <si>
    <t>595 985 703415</t>
  </si>
  <si>
    <t xml:space="preserve">Obligado </t>
  </si>
  <si>
    <t>Obligado</t>
  </si>
  <si>
    <t>PaRAGUAY</t>
  </si>
  <si>
    <t>ro.bernardi@hotmail.com</t>
  </si>
  <si>
    <t>Av. JoÃ£o gualberto, 253/151</t>
  </si>
  <si>
    <t>Curitiba</t>
  </si>
  <si>
    <t>Parana</t>
  </si>
  <si>
    <t xml:space="preserve">al carnaubas 358 </t>
  </si>
  <si>
    <t xml:space="preserve">santana de parnaiba </t>
  </si>
  <si>
    <t>juvieiramachado@hotmail.com</t>
  </si>
  <si>
    <t>R JoÃ£o S de Souza</t>
  </si>
  <si>
    <t>268, apto 52 verde</t>
  </si>
  <si>
    <t>SÃ£o Paulo</t>
  </si>
  <si>
    <t>Sao Paulo</t>
  </si>
  <si>
    <t>marinabmc2006@yahoo.com.br</t>
  </si>
  <si>
    <t>Rua Junquilhos</t>
  </si>
  <si>
    <t>Belo Horizonte</t>
  </si>
  <si>
    <t>Minas Gerais</t>
  </si>
  <si>
    <t>30421-300</t>
  </si>
  <si>
    <t>Nule</t>
  </si>
  <si>
    <t>Booked</t>
  </si>
  <si>
    <t>Nada</t>
  </si>
  <si>
    <t>No smoking room</t>
  </si>
  <si>
    <t>por favor, a quiet room - gracias</t>
  </si>
  <si>
    <t>Noche extra</t>
  </si>
  <si>
    <t>DATOS DE AMBOS PASAJEROS:
KRIEGER/ECKHARD MR/ALEMAN / PAS: C5LX8GXRW  /   DOB: 27.02. 1944
KRIEGER/UTA MRS/ ALEMANA/ PAS: C5LXRHGM1/ DOB: 01.03.1945
ALEXANDER NUÃ‘EZ AUTORIZO A ENVIAR COMPROBANTE DE PAGO PRÃ“XIMO JUEVES 27 DE OCTUBRE</t>
  </si>
  <si>
    <t>None</t>
  </si>
  <si>
    <t>Please try to find out a reservation for Nov, 12 for m and my Wife in these hotel. It will be our wedding day. Thank you.</t>
  </si>
  <si>
    <t>Una habitacion tranquila con poco ruido! Gracias</t>
  </si>
  <si>
    <t>Si pudieran liberarnos tambiÃ©n la noche del 27/11 se los agradecerÃ­amos mucho ya que tenemos regreso el dÃ­a 28/11 desde Calama, para no tener que buscar otro hotel para la Ãºltima noche...
Gracias</t>
  </si>
  <si>
    <t>Noches Extra</t>
  </si>
  <si>
    <t>|</t>
  </si>
  <si>
    <t>23.590.575-2</t>
  </si>
  <si>
    <t xml:space="preserve">Luis Arias Arias                             </t>
  </si>
  <si>
    <t>anulacion</t>
  </si>
  <si>
    <t>Cheque Cobrado/Depositado BCI</t>
  </si>
  <si>
    <t>LAN COM SANTIAGO</t>
  </si>
  <si>
    <t>Retiros</t>
  </si>
  <si>
    <t>Número de reserva</t>
  </si>
  <si>
    <t>Reservado por</t>
  </si>
  <si>
    <t>Nombre del huésped</t>
  </si>
  <si>
    <t>Fecha de entrada</t>
  </si>
  <si>
    <t>Fecha de salida</t>
  </si>
  <si>
    <t>Booking Date</t>
  </si>
  <si>
    <t>Estatus</t>
  </si>
  <si>
    <t>Habitaciones</t>
  </si>
  <si>
    <t>Personas</t>
  </si>
  <si>
    <t>Precio</t>
  </si>
  <si>
    <t>Commission %</t>
  </si>
  <si>
    <t xml:space="preserve">Commission amount </t>
  </si>
  <si>
    <t>Retiros Acumulados 2017-Angelica</t>
  </si>
  <si>
    <t>Retiros Acumulados 2017-Maria</t>
  </si>
  <si>
    <t>Retiros Acumulados 2017-Sergio</t>
  </si>
  <si>
    <t>Retiros Acumulados 2017-Carlos</t>
  </si>
  <si>
    <t>17.355.985-2</t>
  </si>
  <si>
    <t>SAN PEDRO ATACAMA</t>
  </si>
  <si>
    <t>COMPRA DE DIVISAS</t>
  </si>
  <si>
    <t>SITEMINDER</t>
  </si>
  <si>
    <t>EXPEDIA HC COMP PYM</t>
  </si>
  <si>
    <t>WWW.HOTELOGIX.COM</t>
  </si>
  <si>
    <t>72.809.800-7</t>
  </si>
  <si>
    <t xml:space="preserve">Comite de Agua San Pedro de Atacama          </t>
  </si>
  <si>
    <t>22.815.013-4</t>
  </si>
  <si>
    <t xml:space="preserve">Abrahan Delgado Vega                         </t>
  </si>
  <si>
    <t>23.467.075-1</t>
  </si>
  <si>
    <t xml:space="preserve">Juany Estelo Cruz                            </t>
  </si>
  <si>
    <t>AEROPUERTO CARRIEL TALCAHUANO</t>
  </si>
  <si>
    <t>PAGO EN LINEA SII</t>
  </si>
  <si>
    <t>Matrimonial</t>
  </si>
  <si>
    <t xml:space="preserve"> Suma de VALOR </t>
  </si>
  <si>
    <t xml:space="preserve"> -   </t>
  </si>
  <si>
    <t>BOOKINGSUITE</t>
  </si>
  <si>
    <t>Pago Deuda Tarjeta Crédito US$</t>
  </si>
  <si>
    <t>24/05/2017</t>
  </si>
  <si>
    <t>96.591.760-8</t>
  </si>
  <si>
    <t xml:space="preserve">Truly Nolen Chile SA                         </t>
  </si>
  <si>
    <t>TRANSFERENCIA DESDE BICE De SERGIO DAVID ZAMORA RAMIREZ</t>
  </si>
  <si>
    <t>easy</t>
  </si>
  <si>
    <t>BERTITA</t>
  </si>
  <si>
    <t>IVA sergio</t>
  </si>
  <si>
    <t>sack</t>
  </si>
  <si>
    <t>EXPEDIA</t>
  </si>
  <si>
    <t>553636XXXXXXX8702</t>
  </si>
  <si>
    <t>422061XXXXXXX9201</t>
  </si>
  <si>
    <t>414720XXXXXXX8563</t>
  </si>
  <si>
    <t>553636XXXXXXX2360</t>
  </si>
  <si>
    <t>549167XXXXXXX4645</t>
  </si>
  <si>
    <t>544883XXXXXXX1478</t>
  </si>
  <si>
    <t>553656XXXXXXX9569</t>
  </si>
  <si>
    <t>498423XXXXXXX6789</t>
  </si>
  <si>
    <t>459077XXXXXXX2467</t>
  </si>
  <si>
    <t>477213XXXXXXX3793</t>
  </si>
  <si>
    <t>520091XXXXXXX3602</t>
  </si>
  <si>
    <t>552128XXXXXXX3614</t>
  </si>
  <si>
    <t>522832XXXXXXX3548</t>
  </si>
  <si>
    <t>374204XXXXXX1004</t>
  </si>
  <si>
    <t>456468XXXXXXX4080</t>
  </si>
  <si>
    <t>454771XXXXXXX5261</t>
  </si>
  <si>
    <t>513286XXXXXXX3785</t>
  </si>
  <si>
    <t>377169XXXXXX1004</t>
  </si>
  <si>
    <t>554906XXXXXXX0895</t>
  </si>
  <si>
    <t>376449XXXXXX4009</t>
  </si>
  <si>
    <t>450625XXXXXXX2952</t>
  </si>
  <si>
    <t>555233XXXXXXX9931</t>
  </si>
  <si>
    <t>540205XXXXXXX7018</t>
  </si>
  <si>
    <t>Comisión Cuenta Corriente Moneda Extranjera</t>
  </si>
  <si>
    <t>Comisión Banca Electrónica Empresario</t>
  </si>
  <si>
    <t>DEV. CB RESTO 5</t>
  </si>
  <si>
    <t>RIM LAM CHILE</t>
  </si>
  <si>
    <t>GOOGLE *SVCSAPPS_PA</t>
  </si>
  <si>
    <t>76.173.509-8</t>
  </si>
  <si>
    <t xml:space="preserve">Nieva Soft EIRL                              </t>
  </si>
  <si>
    <t>Sergio Solor</t>
  </si>
  <si>
    <t>FR Angelica</t>
  </si>
  <si>
    <t>Entel</t>
  </si>
  <si>
    <t>repuestos porton</t>
  </si>
  <si>
    <t>Sergio- ver deposito de28 de junio</t>
  </si>
  <si>
    <t>no_show</t>
  </si>
  <si>
    <t>Twin / Doble</t>
  </si>
  <si>
    <t xml:space="preserve">BOOKING.COM </t>
  </si>
  <si>
    <t>Anulación $</t>
  </si>
  <si>
    <t>451368XXXXXXX0825</t>
  </si>
  <si>
    <t>414709XXXXXXX5737</t>
  </si>
  <si>
    <t>04158C</t>
  </si>
  <si>
    <t>406669XXXXXXX6020</t>
  </si>
  <si>
    <t>422061XXXXXXX9047</t>
  </si>
  <si>
    <t>376336XXXXXX1009</t>
  </si>
  <si>
    <t>422061XXXXXXX3168</t>
  </si>
  <si>
    <t>376441XXXXXX4007</t>
  </si>
  <si>
    <t>540445XXXXXXX0196</t>
  </si>
  <si>
    <t>515590XXXXXXX7960</t>
  </si>
  <si>
    <t>406655XXXXXXX8870</t>
  </si>
  <si>
    <t>522840XXXXXXX6169</t>
  </si>
  <si>
    <t>552297XXXXXXX0295</t>
  </si>
  <si>
    <t>377169XXXXXX1001</t>
  </si>
  <si>
    <t>554473XXXXXXX4115</t>
  </si>
  <si>
    <t>T14280</t>
  </si>
  <si>
    <t>555233XXXXXXX7181</t>
  </si>
  <si>
    <t>522832XXXXXXX1871</t>
  </si>
  <si>
    <t>451248XXXXXXX7423</t>
  </si>
  <si>
    <t>496670XXXXXXX5567</t>
  </si>
  <si>
    <t>552236XXXXXXX5853</t>
  </si>
  <si>
    <t>554906XXXXXXX7113</t>
  </si>
  <si>
    <t>406669XXXXXXX5678</t>
  </si>
  <si>
    <t>409308XXXXXXX8399</t>
  </si>
  <si>
    <t>554904XXXXXXX9489</t>
  </si>
  <si>
    <t>421847XXXXXXX0139</t>
  </si>
  <si>
    <t>419189XXXXXXX2222</t>
  </si>
  <si>
    <t>470455XXXXXXX2955</t>
  </si>
  <si>
    <t>456144XXXXXXX1984</t>
  </si>
  <si>
    <t>406669XXXXXXX4428</t>
  </si>
  <si>
    <t>434956XXXXXXX0188</t>
  </si>
  <si>
    <t>410368XXXXXXX1309</t>
  </si>
  <si>
    <t>552289XXXXXXX2363</t>
  </si>
  <si>
    <t>539083XXXXXXX6740</t>
  </si>
  <si>
    <t>553096XXXXXXX5400</t>
  </si>
  <si>
    <t>553636XXXXXXX5367</t>
  </si>
  <si>
    <t>546479XXXXXXX1038</t>
  </si>
  <si>
    <t>521892XXXXXXX1946</t>
  </si>
  <si>
    <t>448165XXXXXXX8085</t>
  </si>
  <si>
    <t>02520I</t>
  </si>
  <si>
    <t>371785XXXXXX4019</t>
  </si>
  <si>
    <t>371783XXXXXX4001</t>
  </si>
  <si>
    <t>379967XXXXXX0837</t>
  </si>
  <si>
    <t>553636XXXXXXX6851</t>
  </si>
  <si>
    <t>497490XXXXXXX3837</t>
  </si>
  <si>
    <t>552289XXXXXXX2355</t>
  </si>
  <si>
    <t>376524XXXXXX6039</t>
  </si>
  <si>
    <t>00508I</t>
  </si>
  <si>
    <t>437898XXXXXXX3439</t>
  </si>
  <si>
    <t>522840XXXXXXX1840</t>
  </si>
  <si>
    <t>521892XXXXXXX6265</t>
  </si>
  <si>
    <t>552300XXXXXXX3230</t>
  </si>
  <si>
    <t>514945XXXXXXX9081</t>
  </si>
  <si>
    <t>552128XXXXXXX1791</t>
  </si>
  <si>
    <t>497160XXXXXXX1278</t>
  </si>
  <si>
    <t>01142Z</t>
  </si>
  <si>
    <t>414720XXXXXXX2890</t>
  </si>
  <si>
    <t>08799I</t>
  </si>
  <si>
    <t>432264XXXXXXX4024</t>
  </si>
  <si>
    <t>552273XXXXXXX0501</t>
  </si>
  <si>
    <t>553636XXXXXXX4451</t>
  </si>
  <si>
    <t>541413XXXXXXX7059</t>
  </si>
  <si>
    <t>02322S</t>
  </si>
  <si>
    <t>540477XXXXXXX2128</t>
  </si>
  <si>
    <t>375250XXXXXX5006</t>
  </si>
  <si>
    <t>498406XXXXXXX8945</t>
  </si>
  <si>
    <t>377898XXXXXX9022</t>
  </si>
  <si>
    <t>550209XXXXXXX6386</t>
  </si>
  <si>
    <t>M5AL2B</t>
  </si>
  <si>
    <t>539028XXXXXXX5399</t>
  </si>
  <si>
    <t>515590XXXXXXX2473</t>
  </si>
  <si>
    <t>552102XXXXXXX9836</t>
  </si>
  <si>
    <t>T05518</t>
  </si>
  <si>
    <t>553636XXXXXXX5003</t>
  </si>
  <si>
    <t>521892XXXXXXX0488</t>
  </si>
  <si>
    <t>554027XXXXXXX8440</t>
  </si>
  <si>
    <t>422061XXXXXXX3719</t>
  </si>
  <si>
    <t>476664XXXXXXX0031</t>
  </si>
  <si>
    <t>406655XXXXXXX4417</t>
  </si>
  <si>
    <t>375287XXXXXX3003</t>
  </si>
  <si>
    <t>490172XXXXXXX0188</t>
  </si>
  <si>
    <t>522980XXXXXXX6248</t>
  </si>
  <si>
    <t>476331XXXXXXX8122</t>
  </si>
  <si>
    <t>421847XXXXXXX4504</t>
  </si>
  <si>
    <t>554906XXXXXXX6336</t>
  </si>
  <si>
    <t>552305XXXXXXX7682</t>
  </si>
  <si>
    <t>497355XXXXXXX7748</t>
  </si>
  <si>
    <t>498423XXXXXXX0821</t>
  </si>
  <si>
    <t>521892XXXXXXX1380</t>
  </si>
  <si>
    <t>379737XXXXXX2000</t>
  </si>
  <si>
    <t>498423XXXXXXX0072</t>
  </si>
  <si>
    <t>552236XXXXXXX1652</t>
  </si>
  <si>
    <t>537152XXXXXXX1443</t>
  </si>
  <si>
    <t>515601XXXXXXX5121</t>
  </si>
  <si>
    <t>500</t>
  </si>
  <si>
    <t>1087</t>
  </si>
  <si>
    <t>66653927</t>
  </si>
  <si>
    <t>54010918</t>
  </si>
  <si>
    <t>1638114</t>
  </si>
  <si>
    <t>23590575</t>
  </si>
  <si>
    <t>08/07/2017</t>
  </si>
  <si>
    <t>11/07/2017</t>
  </si>
  <si>
    <t>12/07/2017</t>
  </si>
  <si>
    <t>76.207.347-1</t>
  </si>
  <si>
    <t xml:space="preserve">BANCO BICE                         </t>
  </si>
  <si>
    <t>6727859</t>
  </si>
  <si>
    <t xml:space="preserve">SERVICIOS CONTABLES JABR EIRL                </t>
  </si>
  <si>
    <t>54003610</t>
  </si>
  <si>
    <t>5.461.861-1</t>
  </si>
  <si>
    <t>7505124</t>
  </si>
  <si>
    <t xml:space="preserve">Angelica Ramirez Muñoz                       </t>
  </si>
  <si>
    <t>21/07/2017</t>
  </si>
  <si>
    <t>21066477</t>
  </si>
  <si>
    <t>96.568.740-8</t>
  </si>
  <si>
    <t>1610169807</t>
  </si>
  <si>
    <t xml:space="preserve">GASCO GLP S.A                                </t>
  </si>
  <si>
    <t>23467075</t>
  </si>
  <si>
    <t>99190282712</t>
  </si>
  <si>
    <t>25033894</t>
  </si>
  <si>
    <t>23399570</t>
  </si>
  <si>
    <t>21.924.153-4</t>
  </si>
  <si>
    <t>21924153</t>
  </si>
  <si>
    <t xml:space="preserve">Lucia Choque                                 </t>
  </si>
  <si>
    <t>25173415</t>
  </si>
  <si>
    <t>16.371.497-3</t>
  </si>
  <si>
    <t>16371497</t>
  </si>
  <si>
    <t xml:space="preserve">Sebastian Villalobos                         </t>
  </si>
  <si>
    <t>22.690.445-K</t>
  </si>
  <si>
    <t xml:space="preserve">BANCO FALABELLA                    </t>
  </si>
  <si>
    <t>50370055042</t>
  </si>
  <si>
    <t xml:space="preserve">Jose Victor Beltran                          </t>
  </si>
  <si>
    <t>16.339.235-6</t>
  </si>
  <si>
    <t>16339235</t>
  </si>
  <si>
    <t xml:space="preserve">Diego Maldonado                              </t>
  </si>
  <si>
    <t>76.053.835-3</t>
  </si>
  <si>
    <t>63839000</t>
  </si>
  <si>
    <t xml:space="preserve">Leonprodal SA                                </t>
  </si>
  <si>
    <t>27/07/2017</t>
  </si>
  <si>
    <t>1787215104</t>
  </si>
  <si>
    <t>06/07/2017</t>
  </si>
  <si>
    <t>10/07/2017</t>
  </si>
  <si>
    <t>Deposito En Efectivo Por Caja</t>
  </si>
  <si>
    <t>18/07/2017</t>
  </si>
  <si>
    <t>19/07/2017</t>
  </si>
  <si>
    <t>02/08/2017</t>
  </si>
  <si>
    <t>Prestamo desde Sergio</t>
  </si>
  <si>
    <t>Abono dolares</t>
  </si>
  <si>
    <t>Devolución impuesto</t>
  </si>
  <si>
    <t>VALIMPORT</t>
  </si>
  <si>
    <t>ECA</t>
  </si>
  <si>
    <t xml:space="preserve">04/07/2017  </t>
  </si>
  <si>
    <t>Anulación USD$</t>
  </si>
  <si>
    <t>882129</t>
  </si>
  <si>
    <t>572172</t>
  </si>
  <si>
    <t>05/07/2017 16:37</t>
  </si>
  <si>
    <t>530948</t>
  </si>
  <si>
    <t xml:space="preserve">11/07/2017  </t>
  </si>
  <si>
    <t>681555</t>
  </si>
  <si>
    <t>005222</t>
  </si>
  <si>
    <t>654377</t>
  </si>
  <si>
    <t>11/07/2017 12:46</t>
  </si>
  <si>
    <t>179406</t>
  </si>
  <si>
    <t xml:space="preserve">19/07/2017  </t>
  </si>
  <si>
    <t>17</t>
  </si>
  <si>
    <t>Anulada por fono</t>
  </si>
  <si>
    <t xml:space="preserve">CHANTAL CHEMLA </t>
  </si>
  <si>
    <t>KOHN</t>
  </si>
  <si>
    <t>RODRIGO TEXEIRA</t>
  </si>
  <si>
    <t>RICARDO GABRIEL</t>
  </si>
  <si>
    <t>VILMA DOS SANTOS</t>
  </si>
  <si>
    <t>GUILLAUME DE FORCEVILLE</t>
  </si>
  <si>
    <t>RAFAELA GRAGNANO</t>
  </si>
  <si>
    <t>ISABELA ANDREZZA</t>
  </si>
  <si>
    <t>VILMA LAGE LAGE</t>
  </si>
  <si>
    <t>MARCEL SERRA</t>
  </si>
  <si>
    <t xml:space="preserve">CORINE MANET </t>
  </si>
  <si>
    <t>ADRIANA ZONIS GOMES DA SILVA</t>
  </si>
  <si>
    <t>GUILHERME FIGUEIREDO</t>
  </si>
  <si>
    <t>LAURO TOLUSSO</t>
  </si>
  <si>
    <t>DANIELLA ANDRADE DOS SANTOS</t>
  </si>
  <si>
    <t>CRISTINA DIAMANTINI</t>
  </si>
  <si>
    <t xml:space="preserve">EDOARDO FERRAIRO </t>
  </si>
  <si>
    <t xml:space="preserve">MICHELLE MIKOS </t>
  </si>
  <si>
    <t>GEROLAMO NISIO</t>
  </si>
  <si>
    <t>TAMISA BAPTISTA</t>
  </si>
  <si>
    <t>EDDY GRIFFITHS</t>
  </si>
  <si>
    <t>LUIGI GUARDAMAGNA</t>
  </si>
  <si>
    <t xml:space="preserve">GIULIA RINALDI </t>
  </si>
  <si>
    <t>RODRIGO VALDERRAMA</t>
  </si>
  <si>
    <t xml:space="preserve">GEMMA GOMEZ </t>
  </si>
  <si>
    <t>VALENTINA VEGA</t>
  </si>
  <si>
    <t>MARCIO BELO</t>
  </si>
  <si>
    <t>MARIA SOTO</t>
  </si>
  <si>
    <t>ILONA DAMIANI</t>
  </si>
  <si>
    <t>STEFANIA FEDER</t>
  </si>
  <si>
    <t>LUIZA BARBOSA</t>
  </si>
  <si>
    <t>HYUNA SHIM</t>
  </si>
  <si>
    <t>PAULINA PENA</t>
  </si>
  <si>
    <t>VICTORIA IRIBARREN</t>
  </si>
  <si>
    <t>TOMAS CORNEJO</t>
  </si>
  <si>
    <t>MARÍA IGNACIA GARCÍA</t>
  </si>
  <si>
    <t>ROGERIO FERREIRa</t>
  </si>
  <si>
    <t xml:space="preserve">EDUARDO BILHA </t>
  </si>
  <si>
    <t>BRUNA NAOUM</t>
  </si>
  <si>
    <t>THIAGO FRANCO</t>
  </si>
  <si>
    <t>KAREN HOWIE</t>
  </si>
  <si>
    <t>KJURGEN HAAS</t>
  </si>
  <si>
    <t>ALESSANDRA CURCIO DE SOUZA</t>
  </si>
  <si>
    <t>BOOKIGSUITE</t>
  </si>
  <si>
    <t>NATALIA MIYABARA</t>
  </si>
  <si>
    <t>METTE LESZNA</t>
  </si>
  <si>
    <t>CARLOS BOMBAL</t>
  </si>
  <si>
    <t>RAPHAEL BOGNER</t>
  </si>
  <si>
    <t>LIONEL OLAVARRIA</t>
  </si>
  <si>
    <t>RAPHAEL SAIER</t>
  </si>
  <si>
    <t>TOMO YAMAMOTO</t>
  </si>
  <si>
    <t>FELIPE OLIVEIRA</t>
  </si>
  <si>
    <t>RONALDO A MULLER</t>
  </si>
  <si>
    <t>LINO ROCHA DE ANDRADE</t>
  </si>
  <si>
    <t>MONICA L L RANZEIRO</t>
  </si>
  <si>
    <t xml:space="preserve">REGINALDO YOSHIRO </t>
  </si>
  <si>
    <t xml:space="preserve">CHRISTINA COSTER </t>
  </si>
  <si>
    <t>VERONICA VALVERDE</t>
  </si>
  <si>
    <t>SIENA THOMPSON</t>
  </si>
  <si>
    <t xml:space="preserve">DANIEL COHEN </t>
  </si>
  <si>
    <t>PASANTE</t>
  </si>
  <si>
    <t>chemla boucara, chantal</t>
  </si>
  <si>
    <t>JEAN PIERRE CHEMLA; chantal chemla boucara</t>
  </si>
  <si>
    <t>Teixeira Paiva, Rodrigo</t>
  </si>
  <si>
    <t>Rodrigo Teixeira Paiva</t>
  </si>
  <si>
    <t>Peña, Paulina</t>
  </si>
  <si>
    <t>José Eduardo peña; Paulina Ovalle; Paulina Peña</t>
  </si>
  <si>
    <t>Gabriel, Ricardo</t>
  </si>
  <si>
    <t>Ricardo Gabriel</t>
  </si>
  <si>
    <t>Shim, Hyuna</t>
  </si>
  <si>
    <t>Hyuna Shim</t>
  </si>
  <si>
    <t>ALMEIDA, VILMA DOS SANTOS LAGE</t>
  </si>
  <si>
    <t>Gragnano, Rafaela</t>
  </si>
  <si>
    <t>Rafaela Gragnano</t>
  </si>
  <si>
    <t>chantal chemla boucara; jean pierre chemla</t>
  </si>
  <si>
    <t>de Forceville, Guillaume</t>
  </si>
  <si>
    <t>Guillaume de Forceville</t>
  </si>
  <si>
    <t>Andreazza dos Anjos, Isabela</t>
  </si>
  <si>
    <t>Adilson dos Anjos; Isabela Andreazza dos Anjos; Leonardo Andreazza dos Anjos</t>
  </si>
  <si>
    <t>Lage, Vilma lage</t>
  </si>
  <si>
    <t>Vilma lage Lage</t>
  </si>
  <si>
    <t>irribarren, victoria</t>
  </si>
  <si>
    <t>victoria irribarren</t>
  </si>
  <si>
    <t>cornejo, tomas</t>
  </si>
  <si>
    <t>tomas cornejo</t>
  </si>
  <si>
    <t>MANENT, corinne</t>
  </si>
  <si>
    <t>corinne MANENT; corinne manent</t>
  </si>
  <si>
    <t>SERRA, Marcel</t>
  </si>
  <si>
    <t>Marcel SERRA</t>
  </si>
  <si>
    <t>Zonis Gomes da Silva, Adriana</t>
  </si>
  <si>
    <t>Adriana Zonis Gomes da Silva</t>
  </si>
  <si>
    <t>Figueiredo Rancoleta, Guilherme</t>
  </si>
  <si>
    <t>Guilherme Figueiredo Rancoleta</t>
  </si>
  <si>
    <t>TONUSSO, LAURA</t>
  </si>
  <si>
    <t>LAURA  TONUSSO</t>
  </si>
  <si>
    <t>Garcia, Maria ignacia</t>
  </si>
  <si>
    <t>Maria ignacia Garcia</t>
  </si>
  <si>
    <t>Andrade Dos Santos, Daniella</t>
  </si>
  <si>
    <t>Daniella Andrade Dos Santos</t>
  </si>
  <si>
    <t>Ferrario, Edoardo</t>
  </si>
  <si>
    <t>Edoardo Ferrario</t>
  </si>
  <si>
    <t>Diamanti, Cristina</t>
  </si>
  <si>
    <t>Cristina Diamanti</t>
  </si>
  <si>
    <t>MIKOS, MICHELLE</t>
  </si>
  <si>
    <t>MICHELLE MIKOS</t>
  </si>
  <si>
    <t>Nisio, Gerolamo</t>
  </si>
  <si>
    <t>Gerolamo Nisio</t>
  </si>
  <si>
    <t>Baptista, Tamise</t>
  </si>
  <si>
    <t>Tamise Baptista</t>
  </si>
  <si>
    <t>guardamagna, luigi</t>
  </si>
  <si>
    <t>luigi guardamagna</t>
  </si>
  <si>
    <t>Griffiths, Eddy</t>
  </si>
  <si>
    <t>Eddy Griffiths</t>
  </si>
  <si>
    <t>Rinaldi, Giulia</t>
  </si>
  <si>
    <t>Giulia Rinaldi</t>
  </si>
  <si>
    <t>Valderrama .L, Rodrigo</t>
  </si>
  <si>
    <t>Rodrigo Valderrama .L</t>
  </si>
  <si>
    <t>FERREIRA, ROGERIO HERCULES</t>
  </si>
  <si>
    <t>ROGERIO HERCULES FERREIRA</t>
  </si>
  <si>
    <t>Gomez Carrasco, Gemma</t>
  </si>
  <si>
    <t>Gemma Gomez Carrasco</t>
  </si>
  <si>
    <t>Hormazabal, Luis</t>
  </si>
  <si>
    <t>Luis Hormazabal</t>
  </si>
  <si>
    <t>Miranda, Valentina</t>
  </si>
  <si>
    <t>Valentina Miranda</t>
  </si>
  <si>
    <t>Bilha Carvalho, Eduardo</t>
  </si>
  <si>
    <t>Eduardo Bilha Carvalho</t>
  </si>
  <si>
    <t>Belo, Marcio</t>
  </si>
  <si>
    <t>Marcio Belo</t>
  </si>
  <si>
    <t>Howie, Ana Karen</t>
  </si>
  <si>
    <t>Ana Karen Howie</t>
  </si>
  <si>
    <t>Naoum, Bruna</t>
  </si>
  <si>
    <t>Bruna Naoum</t>
  </si>
  <si>
    <t>Franco Guimarães, Thiago</t>
  </si>
  <si>
    <t>Thiago Franco Guimarães</t>
  </si>
  <si>
    <t>Soto, Maria</t>
  </si>
  <si>
    <t>Maria Soto</t>
  </si>
  <si>
    <t>Haas, Jürgen</t>
  </si>
  <si>
    <t>Jürgen Haas</t>
  </si>
  <si>
    <t>Damiani Costa, Ilona</t>
  </si>
  <si>
    <t>Ilona Damiani Costa</t>
  </si>
  <si>
    <t>Feder, Stefania</t>
  </si>
  <si>
    <t>Stefania Feder</t>
  </si>
  <si>
    <t>barbosa, luiza</t>
  </si>
  <si>
    <t>luiza barbosa</t>
  </si>
  <si>
    <t>Cohen, Daniel</t>
  </si>
  <si>
    <t>Daniel Cohen</t>
  </si>
  <si>
    <t>RODRIGO</t>
  </si>
  <si>
    <t>VALDERRAMA</t>
  </si>
  <si>
    <t>Carlos</t>
  </si>
  <si>
    <t>Bombal</t>
  </si>
  <si>
    <t>Alessandra</t>
  </si>
  <si>
    <t>Curcio de Souza</t>
  </si>
  <si>
    <t>carolina</t>
  </si>
  <si>
    <t>maturana</t>
  </si>
  <si>
    <t>Matrimonial,Matrimonial</t>
  </si>
  <si>
    <t>METTE</t>
  </si>
  <si>
    <t>LESZNA</t>
  </si>
  <si>
    <t>Natalia</t>
  </si>
  <si>
    <t>Miyabara</t>
  </si>
  <si>
    <t>Reginaldo Yoshihiro Takara</t>
  </si>
  <si>
    <t>2017-05-17T17:15:00-07:00</t>
  </si>
  <si>
    <t>EXP-843106404</t>
  </si>
  <si>
    <t>Christina Coster</t>
  </si>
  <si>
    <t>2017-05-19T08:23:00-07:00</t>
  </si>
  <si>
    <t>EXP-843980597</t>
  </si>
  <si>
    <t>Ronaldo A Muller</t>
  </si>
  <si>
    <t>2017-05-31T16:08:00-07:00</t>
  </si>
  <si>
    <t>EXP-850448024</t>
  </si>
  <si>
    <t>Monica L L Ranzeiro</t>
  </si>
  <si>
    <t>2017-06-12T07:09:00-07:00</t>
  </si>
  <si>
    <t>EXP-856625903</t>
  </si>
  <si>
    <t>Tomo Yamamoto</t>
  </si>
  <si>
    <t>2017-07-01T11:39:00-07:00</t>
  </si>
  <si>
    <t>EXP-867653566</t>
  </si>
  <si>
    <t>THOMPSON SIENA GOMES</t>
  </si>
  <si>
    <t>2017-07-02T14:13:00-07:00</t>
  </si>
  <si>
    <t>EXP-868193251</t>
  </si>
  <si>
    <t>2017-07-05T06:31:00-07:00</t>
  </si>
  <si>
    <t>EXP-869674211</t>
  </si>
  <si>
    <t>2017-07-14T12:40:00-07:00</t>
  </si>
  <si>
    <t>EXP-875332487</t>
  </si>
  <si>
    <t>Lionel Olavarria</t>
  </si>
  <si>
    <t>2017-07-27T12:24:00-07:00</t>
  </si>
  <si>
    <t>EXP-882836071</t>
  </si>
  <si>
    <t>Raphaël Saier</t>
  </si>
  <si>
    <t>2017-07-30T08:50:00-07:00</t>
  </si>
  <si>
    <t>EXP-884295847</t>
  </si>
  <si>
    <t>veronica valverde gomes</t>
  </si>
  <si>
    <t>2017-08-15T07:56:00-07:00</t>
  </si>
  <si>
    <t>EXP-893400320</t>
  </si>
  <si>
    <t>375203XXXXXX2004</t>
  </si>
  <si>
    <t>516220XXXXXXX5725</t>
  </si>
  <si>
    <t>H3UFHN</t>
  </si>
  <si>
    <t>512215XXXXXXX7773</t>
  </si>
  <si>
    <t>379183XXXXXX6521</t>
  </si>
  <si>
    <t>510020XXXXXXX8737</t>
  </si>
  <si>
    <t>T07213</t>
  </si>
  <si>
    <t>552236XXXXXXX2607</t>
  </si>
  <si>
    <t>553636XXXXXXX3399</t>
  </si>
  <si>
    <t>520301XXXXXXX8427</t>
  </si>
  <si>
    <t>421960XXXXXXX0487</t>
  </si>
  <si>
    <t>477173XXXXXXX9992</t>
  </si>
  <si>
    <t>456140XXXXXXX8731</t>
  </si>
  <si>
    <t>554906XXXXXXX2321</t>
  </si>
  <si>
    <t>544731XXXXXXX3769</t>
  </si>
  <si>
    <t>552300XXXXXXX0304</t>
  </si>
  <si>
    <t>459384XXXXXXX0541</t>
  </si>
  <si>
    <t>553636XXXXXXX5713</t>
  </si>
  <si>
    <t>553636XXXXXXX6962</t>
  </si>
  <si>
    <t>549167XXXXXXX5556</t>
  </si>
  <si>
    <t>406669XXXXXXX1923</t>
  </si>
  <si>
    <t>490172XXXXXXX1338</t>
  </si>
  <si>
    <t>379785XXXXXX1006</t>
  </si>
  <si>
    <t>489391XXXXXXX5037</t>
  </si>
  <si>
    <t>498406XXXXXXX9231</t>
  </si>
  <si>
    <t>552615XXXXXXX9368</t>
  </si>
  <si>
    <t>H50307</t>
  </si>
  <si>
    <t>516220XXXXXXX5507</t>
  </si>
  <si>
    <t>NDN7EM</t>
  </si>
  <si>
    <t>549162XXXXXXX9487</t>
  </si>
  <si>
    <t>379581XXXXXX1001</t>
  </si>
  <si>
    <t>MG</t>
  </si>
  <si>
    <t>406669XXXXXXX7674</t>
  </si>
  <si>
    <t>497490XXXXXXX4440</t>
  </si>
  <si>
    <t>439354XXXXXXX0862</t>
  </si>
  <si>
    <t>559800XXXXXXX6628</t>
  </si>
  <si>
    <t>459080XXXXXXX9608</t>
  </si>
  <si>
    <t>450760XXXXXXX1005</t>
  </si>
  <si>
    <t>552289XXXXXXX5136</t>
  </si>
  <si>
    <t>452407XXXXXXX4791</t>
  </si>
  <si>
    <t>406655XXXXXXX2247</t>
  </si>
  <si>
    <t>379966XXXXXX0833</t>
  </si>
  <si>
    <t>422061XXXXXXX5381</t>
  </si>
  <si>
    <t>03393S</t>
  </si>
  <si>
    <t>377446XXXXXX1007</t>
  </si>
  <si>
    <t>498408XXXXXXX4551</t>
  </si>
  <si>
    <t>H04582</t>
  </si>
  <si>
    <t>426684XXXXXXX5279</t>
  </si>
  <si>
    <t>02784C</t>
  </si>
  <si>
    <t>490979XXXXXXX2163</t>
  </si>
  <si>
    <t>H07590</t>
  </si>
  <si>
    <t>474227XXXXXXX2267</t>
  </si>
  <si>
    <t>553656XXXXXXX9341</t>
  </si>
  <si>
    <t>552128XXXXXXX9383</t>
  </si>
  <si>
    <t>515590XXXXXXX5776</t>
  </si>
  <si>
    <t>520079XXXXXXX3195</t>
  </si>
  <si>
    <t>376449XXXXXX1023</t>
  </si>
  <si>
    <t>414720XXXXXXX6411</t>
  </si>
  <si>
    <t>08258I</t>
  </si>
  <si>
    <t>514868XXXXXXX0306</t>
  </si>
  <si>
    <t>521892XXXXXXX8516</t>
  </si>
  <si>
    <t>515590XXXXXXX2865</t>
  </si>
  <si>
    <t>553636XXXXXXX1481</t>
  </si>
  <si>
    <t>376442XXXXXX1003</t>
  </si>
  <si>
    <t>421401XXXXXXX3795</t>
  </si>
  <si>
    <t>552305XXXXXXX4971</t>
  </si>
  <si>
    <t>554906XXXXXXX2443</t>
  </si>
  <si>
    <t>552128XXXXXXX4314</t>
  </si>
  <si>
    <t>535120XXXXXXX7014</t>
  </si>
  <si>
    <t>445596XXXXXXX9602</t>
  </si>
  <si>
    <t>414720XXXXXXX4869</t>
  </si>
  <si>
    <t>02010I</t>
  </si>
  <si>
    <t>552297XXXXXXX1376</t>
  </si>
  <si>
    <t>526227XXXXXXX7344</t>
  </si>
  <si>
    <t>490744XXXXXXX0026</t>
  </si>
  <si>
    <t>553096XXXXXXX6497</t>
  </si>
  <si>
    <t>491674XXXXXXX4765</t>
  </si>
  <si>
    <t>549167XXXXXXX2035</t>
  </si>
  <si>
    <t>589710XXXXXXXXX3672</t>
  </si>
  <si>
    <t>2531 y 2532</t>
  </si>
  <si>
    <t>30-08-2017</t>
  </si>
  <si>
    <t>10770266</t>
  </si>
  <si>
    <t>25-08-2017</t>
  </si>
  <si>
    <t>1288019723</t>
  </si>
  <si>
    <t>10770214</t>
  </si>
  <si>
    <t>18-08-2017</t>
  </si>
  <si>
    <t>10770388</t>
  </si>
  <si>
    <t>09-08-2017</t>
  </si>
  <si>
    <t>1288006264</t>
  </si>
  <si>
    <t>07-08-2017</t>
  </si>
  <si>
    <t>10770334</t>
  </si>
  <si>
    <t>01/08/2017</t>
  </si>
  <si>
    <t>03/08/2017</t>
  </si>
  <si>
    <t>04/08/2017</t>
  </si>
  <si>
    <t>07/08/2017</t>
  </si>
  <si>
    <t>08/08/2017</t>
  </si>
  <si>
    <t>09/08/2017</t>
  </si>
  <si>
    <t>10/08/2017</t>
  </si>
  <si>
    <t>11/08/2017</t>
  </si>
  <si>
    <t>16/08/2017</t>
  </si>
  <si>
    <t>17/08/2017</t>
  </si>
  <si>
    <t>18/08/2017</t>
  </si>
  <si>
    <t>21/08/2017</t>
  </si>
  <si>
    <t>5420435</t>
  </si>
  <si>
    <t>5420436</t>
  </si>
  <si>
    <t>22/08/2017</t>
  </si>
  <si>
    <t>5420437</t>
  </si>
  <si>
    <t>5420438</t>
  </si>
  <si>
    <t>23/08/2017</t>
  </si>
  <si>
    <t>UNIDAD OPERACIONES HIPOTECARIAS</t>
  </si>
  <si>
    <t>Abono Excedente Gastos Operacionales</t>
  </si>
  <si>
    <t>25/08/2017</t>
  </si>
  <si>
    <t>28/08/2017</t>
  </si>
  <si>
    <t>29/08/2017</t>
  </si>
  <si>
    <t>30/08/2017</t>
  </si>
  <si>
    <t>31/08/2017</t>
  </si>
  <si>
    <t>44919044</t>
  </si>
  <si>
    <t>44918932</t>
  </si>
  <si>
    <t>12.109.913-6</t>
  </si>
  <si>
    <t xml:space="preserve">BANCO ITAU                         </t>
  </si>
  <si>
    <t>204672160</t>
  </si>
  <si>
    <t xml:space="preserve">Javier Mellado                               </t>
  </si>
  <si>
    <t>Finiquieto Soc Hotelera Zamora</t>
  </si>
  <si>
    <t>44982583</t>
  </si>
  <si>
    <t>Fact 357704 Acepta</t>
  </si>
  <si>
    <t>44981003</t>
  </si>
  <si>
    <t>Serv Contables Julio  pendient</t>
  </si>
  <si>
    <t>44981151</t>
  </si>
  <si>
    <t>77.893.570-8</t>
  </si>
  <si>
    <t>62273704</t>
  </si>
  <si>
    <t xml:space="preserve">HORUS PROMOTIONS AND MARCKETING LTDA         </t>
  </si>
  <si>
    <t>Cot 113699</t>
  </si>
  <si>
    <t>45090657</t>
  </si>
  <si>
    <t>14.308.958-4</t>
  </si>
  <si>
    <t>54748780</t>
  </si>
  <si>
    <t xml:space="preserve">Nelson Venegas                               </t>
  </si>
  <si>
    <t>Sergio Zamora - Curso Marketin</t>
  </si>
  <si>
    <t>45129216</t>
  </si>
  <si>
    <t>9.133.849-1</t>
  </si>
  <si>
    <t>5007470</t>
  </si>
  <si>
    <t xml:space="preserve">Sandra Millar Cardenas                       </t>
  </si>
  <si>
    <t>21 poleras Pascual Andino</t>
  </si>
  <si>
    <t>45166748</t>
  </si>
  <si>
    <t>93.830.000-3</t>
  </si>
  <si>
    <t>4613304</t>
  </si>
  <si>
    <t xml:space="preserve">Companias CIC SA                             </t>
  </si>
  <si>
    <t>10 colchones, cobertores y tra</t>
  </si>
  <si>
    <t>45202273</t>
  </si>
  <si>
    <t>76.568.660-1</t>
  </si>
  <si>
    <t>10626719</t>
  </si>
  <si>
    <t xml:space="preserve">Easy Retail SA                               </t>
  </si>
  <si>
    <t>cot 5635789</t>
  </si>
  <si>
    <t>14/08/2017</t>
  </si>
  <si>
    <t>45318637</t>
  </si>
  <si>
    <t>Adelanto Luis Arias</t>
  </si>
  <si>
    <t>45318499</t>
  </si>
  <si>
    <t>76.187.287-7</t>
  </si>
  <si>
    <t>19041509</t>
  </si>
  <si>
    <t xml:space="preserve">Khipu CL G                                   </t>
  </si>
  <si>
    <t>Reserva Sergio Zamora 8I6OXK</t>
  </si>
  <si>
    <t>45489322</t>
  </si>
  <si>
    <t>cot 5652417 estanque 5000lt</t>
  </si>
  <si>
    <t>45484575</t>
  </si>
  <si>
    <t>Fact 2956</t>
  </si>
  <si>
    <t>45515196</t>
  </si>
  <si>
    <t>fact 137002</t>
  </si>
  <si>
    <t>45605922</t>
  </si>
  <si>
    <t>fact 5361</t>
  </si>
  <si>
    <t>45598470</t>
  </si>
  <si>
    <t>96.604.460-8</t>
  </si>
  <si>
    <t>9800727</t>
  </si>
  <si>
    <t xml:space="preserve">ECOLAB                                       </t>
  </si>
  <si>
    <t>fact 1234603</t>
  </si>
  <si>
    <t>45598414</t>
  </si>
  <si>
    <t>fact 385312,385900, 384632</t>
  </si>
  <si>
    <t>45598329</t>
  </si>
  <si>
    <t>fact 5102, 5105, 5264</t>
  </si>
  <si>
    <t>45597810</t>
  </si>
  <si>
    <t>Fact 8360049</t>
  </si>
  <si>
    <t>45663231</t>
  </si>
  <si>
    <t>Sueldo Agosto 17</t>
  </si>
  <si>
    <t>45663192</t>
  </si>
  <si>
    <t>22.999.792-0</t>
  </si>
  <si>
    <t>22999792</t>
  </si>
  <si>
    <t xml:space="preserve">Bety Mamani                                  </t>
  </si>
  <si>
    <t>45663314</t>
  </si>
  <si>
    <t>45663285</t>
  </si>
  <si>
    <t>45662985</t>
  </si>
  <si>
    <t>45662893</t>
  </si>
  <si>
    <t>45662802</t>
  </si>
  <si>
    <t>45662592</t>
  </si>
  <si>
    <t>71507092</t>
  </si>
  <si>
    <t xml:space="preserve">Mara Jose Paez Zumaran                       </t>
  </si>
  <si>
    <t>45662657</t>
  </si>
  <si>
    <t xml:space="preserve">SCOTIABANK                         </t>
  </si>
  <si>
    <t>973797409</t>
  </si>
  <si>
    <t xml:space="preserve">Carlos Moscoso bertinelli                    </t>
  </si>
  <si>
    <t>45662850</t>
  </si>
  <si>
    <t>45662770</t>
  </si>
  <si>
    <t>45662689</t>
  </si>
  <si>
    <t>45662712</t>
  </si>
  <si>
    <t>45662964</t>
  </si>
  <si>
    <t>45661708</t>
  </si>
  <si>
    <t>45658300</t>
  </si>
  <si>
    <t>78.981.010-9</t>
  </si>
  <si>
    <t>59020056</t>
  </si>
  <si>
    <t xml:space="preserve">IMPRESOS HELVETIA LTDA                       </t>
  </si>
  <si>
    <t>Volantes Pascual Andino</t>
  </si>
  <si>
    <t>45658367</t>
  </si>
  <si>
    <t>13.950.810-6</t>
  </si>
  <si>
    <t>55100047992</t>
  </si>
  <si>
    <t xml:space="preserve">JOSE MIGUEL MOYA GUTIERREZ                   </t>
  </si>
  <si>
    <t>Diseño Volante Pascual</t>
  </si>
  <si>
    <t>45735500</t>
  </si>
  <si>
    <t>Sueldo Agosto 17-pendiente Lui</t>
  </si>
  <si>
    <t>45749529</t>
  </si>
  <si>
    <t>Fact 11390</t>
  </si>
  <si>
    <t>45749594</t>
  </si>
  <si>
    <t>Fact 387150</t>
  </si>
  <si>
    <t>0607 88347680</t>
  </si>
  <si>
    <t>SANTIAGO</t>
  </si>
  <si>
    <t>1007 88130730</t>
  </si>
  <si>
    <t>MYDO LTDA S.P. DE ATAC</t>
  </si>
  <si>
    <t>1007 88026650</t>
  </si>
  <si>
    <t>JUMBO PORTAL CALAMA CALAMA</t>
  </si>
  <si>
    <t>1107 88838029</t>
  </si>
  <si>
    <t>1907 88707347</t>
  </si>
  <si>
    <t>HIDROMASTER LOS ANGELES</t>
  </si>
  <si>
    <t>2107 88547137</t>
  </si>
  <si>
    <t>DANIEL BRICENO FABR CALAMA</t>
  </si>
  <si>
    <t>2407 88390625</t>
  </si>
  <si>
    <t>23/07/2017</t>
  </si>
  <si>
    <t>2507 88756552</t>
  </si>
  <si>
    <t>24/07/2017</t>
  </si>
  <si>
    <t>0607 00000000</t>
  </si>
  <si>
    <t>1007 00000000</t>
  </si>
  <si>
    <t>1307 00000010</t>
  </si>
  <si>
    <t>DEV. CB VIAJES 1</t>
  </si>
  <si>
    <t>DEV. CB COMB/CONS 3</t>
  </si>
  <si>
    <t>1907 00000000</t>
  </si>
  <si>
    <t>TRASPASO DEUDA INTERNACIONAL</t>
  </si>
  <si>
    <t>2407 00000000</t>
  </si>
  <si>
    <t>2707 00000010</t>
  </si>
  <si>
    <t>2707 00000000</t>
  </si>
  <si>
    <t>0208 00000010</t>
  </si>
  <si>
    <t>0308 00000000</t>
  </si>
  <si>
    <t>1608 ACV00000070510000705100</t>
  </si>
  <si>
    <t>MONTO CANCELADO</t>
  </si>
  <si>
    <t>1608 ACV00000070520000705200</t>
  </si>
  <si>
    <t>1608 ACV00000070530000705300</t>
  </si>
  <si>
    <t>1608 ACV00000070540000705400</t>
  </si>
  <si>
    <t>0708 74198817216730307333803</t>
  </si>
  <si>
    <t>PAYPAL *SALES09</t>
  </si>
  <si>
    <t>LU</t>
  </si>
  <si>
    <t>0808 74929277220020810002328</t>
  </si>
  <si>
    <t>Expedia HC</t>
  </si>
  <si>
    <t>GB</t>
  </si>
  <si>
    <t>0908 24492157220637476418708</t>
  </si>
  <si>
    <t>US</t>
  </si>
  <si>
    <t>1708 24492157228637700379348</t>
  </si>
  <si>
    <t>2108 74232627232002559726337</t>
  </si>
  <si>
    <t>IE</t>
  </si>
  <si>
    <t>0409 24492157245637184173869</t>
  </si>
  <si>
    <t>WWW.SITEMIN</t>
  </si>
  <si>
    <t>0409 24692167245100229778082</t>
  </si>
  <si>
    <t>cc@google.c</t>
  </si>
  <si>
    <t>pago Abogado Finiquito</t>
  </si>
  <si>
    <t>Cambio de USD</t>
  </si>
  <si>
    <t>Compra de rotormatillo</t>
  </si>
  <si>
    <t>Pasaje sky</t>
  </si>
  <si>
    <t>Google</t>
  </si>
  <si>
    <t>Hotelogix</t>
  </si>
  <si>
    <t>Expedia</t>
  </si>
  <si>
    <t>Sitminder</t>
  </si>
  <si>
    <t>Booking suite</t>
  </si>
  <si>
    <t>Cambio USD</t>
  </si>
  <si>
    <t>2204401-Transacciones operaciones financieras ABONO</t>
  </si>
  <si>
    <t>2208308-Transacciones operaciones financieras ABONO</t>
  </si>
  <si>
    <t>2215255-Transacciones operaciones financieras ABONO</t>
  </si>
  <si>
    <t>COMEX ORDEN PAGO ENTRANTE. OPE322015</t>
  </si>
  <si>
    <t>2204401-Transacciones operaciones financieras CARGO</t>
  </si>
  <si>
    <t>COMEX ORDEN PAGO ENTRANTE. OPE322935</t>
  </si>
  <si>
    <t>2208308-Transacciones operaciones financieras CARGO</t>
  </si>
  <si>
    <t>COMEX ORDEN PAGO ENTRANTE. OPE323921</t>
  </si>
  <si>
    <t>COMEX ORDEN PAGO ENTRANTE. OPE324723</t>
  </si>
  <si>
    <t>Liquidez</t>
  </si>
  <si>
    <t>Security</t>
  </si>
  <si>
    <t>Liquidez en banco- 1Agosto</t>
  </si>
  <si>
    <t>Liquidez en banco- 1 Sep</t>
  </si>
  <si>
    <t>NORTEVERDE</t>
  </si>
  <si>
    <t>SODIMAC</t>
  </si>
  <si>
    <t xml:space="preserve">EASY </t>
  </si>
  <si>
    <t>AGRO</t>
  </si>
  <si>
    <t>QUESO</t>
  </si>
  <si>
    <t>INTI</t>
  </si>
  <si>
    <t>ESTACIONAMIENTO CENTRO</t>
  </si>
  <si>
    <t>ESTACION.</t>
  </si>
  <si>
    <t>PAPEL HIGIENICO</t>
  </si>
  <si>
    <t>BOLSAS PLASTICAS</t>
  </si>
  <si>
    <t>WIENCKE</t>
  </si>
  <si>
    <t>ESTACIONAMIENTO AGRO</t>
  </si>
  <si>
    <t>10 LLAVEROS POMPONES</t>
  </si>
  <si>
    <t>UKUKO</t>
  </si>
  <si>
    <t>ESTAC. MALL</t>
  </si>
  <si>
    <t>MALL</t>
  </si>
  <si>
    <t xml:space="preserve">ALMUERZO PERSONAL </t>
  </si>
  <si>
    <t>REST. CHILOE</t>
  </si>
  <si>
    <t>VASOS TERMICOS</t>
  </si>
  <si>
    <t xml:space="preserve">IMPORT. </t>
  </si>
  <si>
    <t>ALM. PERSONAL</t>
  </si>
  <si>
    <t>JUGO DE PULPA, PAN MOLDE</t>
  </si>
  <si>
    <t>TURBUS ENVIO AMENITIES</t>
  </si>
  <si>
    <t>TURBUS</t>
  </si>
  <si>
    <t xml:space="preserve">LECHE </t>
  </si>
  <si>
    <t>JAMOON</t>
  </si>
  <si>
    <t>ESTAC. AGRO</t>
  </si>
  <si>
    <t>ESTACIONAMIENTO MALL</t>
  </si>
  <si>
    <t>ESYACION. AGRO</t>
  </si>
  <si>
    <t xml:space="preserve">QUESO </t>
  </si>
  <si>
    <t>CONDIMENTOS</t>
  </si>
  <si>
    <t>MATERIALES RADIER</t>
  </si>
  <si>
    <t>HUACA</t>
  </si>
  <si>
    <t xml:space="preserve">ARRIENDO TALADRO </t>
  </si>
  <si>
    <t>PASCUAL F.</t>
  </si>
  <si>
    <t xml:space="preserve">AGUA JUTURI </t>
  </si>
  <si>
    <t>JUTURI</t>
  </si>
  <si>
    <t>MJOSE</t>
  </si>
  <si>
    <t xml:space="preserve">REPOSTERIA LESLY </t>
  </si>
  <si>
    <t>REPOSTERIA</t>
  </si>
  <si>
    <t xml:space="preserve">MANTENCION LETRERO </t>
  </si>
  <si>
    <t>GABRIEL</t>
  </si>
  <si>
    <t>MANTENCIPON PORTON</t>
  </si>
  <si>
    <t>JOSE LUIS</t>
  </si>
  <si>
    <t>HOJA DE COCA + CHOCLOS  FERIA</t>
  </si>
  <si>
    <t>FER. JUBILADOS</t>
  </si>
  <si>
    <t xml:space="preserve">PAN MENSUAL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</si>
</sst>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166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7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13" applyNumberFormat="0" applyAlignment="0" applyProtection="0"/>
    <xf numFmtId="0" fontId="32" fillId="13" borderId="14" applyNumberFormat="0" applyAlignment="0" applyProtection="0"/>
    <xf numFmtId="0" fontId="33" fillId="13" borderId="13" applyNumberFormat="0" applyAlignment="0" applyProtection="0"/>
    <xf numFmtId="0" fontId="34" fillId="0" borderId="15" applyNumberFormat="0" applyFill="0" applyAlignment="0" applyProtection="0"/>
    <xf numFmtId="0" fontId="35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6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39" fillId="0" borderId="0"/>
    <xf numFmtId="41" fontId="1" fillId="0" borderId="0" applyFont="0" applyFill="0" applyBorder="0" applyAlignment="0" applyProtection="0"/>
  </cellStyleXfs>
  <cellXfs count="338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0" fontId="3" fillId="0" borderId="0" xfId="3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7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7" fontId="12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3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0" fontId="0" fillId="0" borderId="0" xfId="0" applyFont="1" applyFill="1"/>
    <xf numFmtId="167" fontId="0" fillId="0" borderId="0" xfId="0" applyNumberFormat="1" applyFont="1" applyFill="1"/>
    <xf numFmtId="167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8" fillId="0" borderId="0" xfId="0" applyFont="1" applyFill="1"/>
    <xf numFmtId="0" fontId="19" fillId="0" borderId="0" xfId="0" applyFont="1" applyFill="1"/>
    <xf numFmtId="167" fontId="18" fillId="0" borderId="0" xfId="1" applyNumberFormat="1" applyFont="1" applyFill="1"/>
    <xf numFmtId="171" fontId="0" fillId="2" borderId="0" xfId="0" applyNumberFormat="1" applyFill="1"/>
    <xf numFmtId="14" fontId="20" fillId="0" borderId="1" xfId="3" applyNumberFormat="1" applyFont="1" applyFill="1" applyBorder="1"/>
    <xf numFmtId="0" fontId="20" fillId="0" borderId="1" xfId="3" applyFont="1" applyFill="1" applyBorder="1"/>
    <xf numFmtId="167" fontId="20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7" fontId="13" fillId="2" borderId="1" xfId="0" applyNumberFormat="1" applyFont="1" applyFill="1" applyBorder="1"/>
    <xf numFmtId="167" fontId="14" fillId="0" borderId="1" xfId="1" applyNumberFormat="1" applyFont="1" applyBorder="1"/>
    <xf numFmtId="172" fontId="8" fillId="0" borderId="0" xfId="1" applyNumberFormat="1" applyFont="1" applyFill="1"/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7" fontId="10" fillId="0" borderId="0" xfId="1" applyNumberFormat="1" applyFont="1"/>
    <xf numFmtId="166" fontId="0" fillId="0" borderId="0" xfId="0" applyNumberFormat="1"/>
    <xf numFmtId="0" fontId="21" fillId="0" borderId="1" xfId="0" applyFont="1" applyFill="1" applyBorder="1" applyAlignment="1">
      <alignment horizontal="center"/>
    </xf>
    <xf numFmtId="167" fontId="21" fillId="0" borderId="1" xfId="1" applyNumberFormat="1" applyFont="1" applyFill="1" applyBorder="1"/>
    <xf numFmtId="167" fontId="7" fillId="0" borderId="1" xfId="1" applyNumberFormat="1" applyFont="1" applyFill="1" applyBorder="1"/>
    <xf numFmtId="167" fontId="18" fillId="0" borderId="0" xfId="0" applyNumberFormat="1" applyFont="1" applyFill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1" fillId="0" borderId="1" xfId="0" applyFont="1" applyFill="1" applyBorder="1"/>
    <xf numFmtId="0" fontId="22" fillId="0" borderId="0" xfId="3" applyFont="1" applyFill="1"/>
    <xf numFmtId="0" fontId="1" fillId="0" borderId="0" xfId="0" applyFont="1" applyFill="1" applyBorder="1"/>
    <xf numFmtId="14" fontId="21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4" fontId="3" fillId="0" borderId="0" xfId="0" applyNumberFormat="1" applyFont="1"/>
    <xf numFmtId="164" fontId="10" fillId="0" borderId="0" xfId="3" applyNumberFormat="1" applyFont="1"/>
    <xf numFmtId="15" fontId="0" fillId="0" borderId="0" xfId="0" applyNumberFormat="1"/>
    <xf numFmtId="167" fontId="21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3" fillId="0" borderId="8" xfId="2" applyNumberFormat="1" applyFont="1" applyFill="1" applyBorder="1"/>
    <xf numFmtId="167" fontId="23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0" fillId="0" borderId="0" xfId="0" applyFill="1"/>
    <xf numFmtId="0" fontId="3" fillId="0" borderId="0" xfId="3"/>
    <xf numFmtId="170" fontId="22" fillId="0" borderId="0" xfId="1" applyNumberFormat="1" applyFont="1" applyFill="1" applyBorder="1"/>
    <xf numFmtId="167" fontId="22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7" fontId="10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3" fillId="0" borderId="0" xfId="1" applyNumberFormat="1" applyFont="1" applyFill="1"/>
    <xf numFmtId="0" fontId="13" fillId="0" borderId="0" xfId="0" applyFont="1" applyFill="1"/>
    <xf numFmtId="167" fontId="0" fillId="0" borderId="2" xfId="1" applyNumberFormat="1" applyFont="1" applyFill="1" applyBorder="1" applyAlignment="1">
      <alignment horizontal="left"/>
    </xf>
    <xf numFmtId="167" fontId="38" fillId="0" borderId="2" xfId="1" applyNumberFormat="1" applyFont="1" applyFill="1" applyBorder="1" applyAlignment="1">
      <alignment horizontal="left"/>
    </xf>
    <xf numFmtId="167" fontId="38" fillId="3" borderId="1" xfId="1" applyNumberFormat="1" applyFont="1" applyFill="1" applyBorder="1" applyAlignment="1">
      <alignment horizontal="left"/>
    </xf>
    <xf numFmtId="0" fontId="0" fillId="0" borderId="0" xfId="0"/>
    <xf numFmtId="14" fontId="15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6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22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6" fillId="0" borderId="1" xfId="3" applyFont="1" applyFill="1" applyBorder="1" applyAlignment="1">
      <alignment horizontal="center"/>
    </xf>
    <xf numFmtId="167" fontId="16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7" fillId="0" borderId="1" xfId="0" applyFont="1" applyFill="1" applyBorder="1"/>
    <xf numFmtId="167" fontId="17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0" fillId="0" borderId="2" xfId="0" applyFill="1" applyBorder="1"/>
    <xf numFmtId="0" fontId="0" fillId="0" borderId="2" xfId="0" applyBorder="1"/>
    <xf numFmtId="14" fontId="15" fillId="6" borderId="2" xfId="3" applyNumberFormat="1" applyFont="1" applyFill="1" applyBorder="1"/>
    <xf numFmtId="0" fontId="16" fillId="0" borderId="2" xfId="3" applyFont="1" applyBorder="1"/>
    <xf numFmtId="14" fontId="15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6" fillId="0" borderId="1" xfId="3" applyNumberFormat="1" applyFont="1" applyFill="1" applyBorder="1" applyAlignment="1">
      <alignment horizontal="center"/>
    </xf>
    <xf numFmtId="167" fontId="3" fillId="6" borderId="0" xfId="1" applyNumberFormat="1" applyFont="1" applyFill="1"/>
    <xf numFmtId="0" fontId="0" fillId="6" borderId="0" xfId="0" applyFill="1"/>
    <xf numFmtId="14" fontId="0" fillId="6" borderId="0" xfId="0" applyNumberFormat="1" applyFill="1"/>
    <xf numFmtId="167" fontId="0" fillId="6" borderId="0" xfId="1" applyNumberFormat="1" applyFont="1" applyFill="1"/>
    <xf numFmtId="15" fontId="0" fillId="6" borderId="0" xfId="0" applyNumberFormat="1" applyFill="1"/>
    <xf numFmtId="167" fontId="21" fillId="6" borderId="1" xfId="1" applyNumberFormat="1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67" fontId="21" fillId="6" borderId="1" xfId="1" applyNumberFormat="1" applyFont="1" applyFill="1" applyBorder="1"/>
    <xf numFmtId="167" fontId="41" fillId="0" borderId="1" xfId="1" applyNumberFormat="1" applyFont="1" applyFill="1" applyBorder="1" applyAlignment="1">
      <alignment horizontal="center"/>
    </xf>
    <xf numFmtId="14" fontId="41" fillId="0" borderId="1" xfId="0" applyNumberFormat="1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167" fontId="41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6" fillId="0" borderId="1" xfId="3" applyNumberFormat="1" applyFont="1" applyFill="1" applyBorder="1"/>
    <xf numFmtId="1" fontId="8" fillId="0" borderId="1" xfId="1" applyNumberFormat="1" applyFont="1" applyFill="1" applyBorder="1"/>
    <xf numFmtId="0" fontId="0" fillId="7" borderId="0" xfId="0" applyFill="1"/>
    <xf numFmtId="170" fontId="0" fillId="0" borderId="0" xfId="0" applyNumberFormat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41" fillId="2" borderId="1" xfId="0" applyNumberFormat="1" applyFont="1" applyFill="1" applyBorder="1" applyAlignment="1">
      <alignment horizontal="center"/>
    </xf>
    <xf numFmtId="14" fontId="42" fillId="0" borderId="19" xfId="0" applyNumberFormat="1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left" vertical="center" wrapText="1"/>
    </xf>
    <xf numFmtId="3" fontId="42" fillId="0" borderId="19" xfId="0" applyNumberFormat="1" applyFont="1" applyBorder="1" applyAlignment="1">
      <alignment horizontal="right" vertical="center" wrapText="1"/>
    </xf>
    <xf numFmtId="22" fontId="42" fillId="0" borderId="19" xfId="0" applyNumberFormat="1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right" vertical="center" wrapText="1"/>
    </xf>
    <xf numFmtId="0" fontId="43" fillId="0" borderId="0" xfId="0" applyFont="1"/>
    <xf numFmtId="0" fontId="43" fillId="0" borderId="1" xfId="0" applyFont="1" applyBorder="1"/>
    <xf numFmtId="0" fontId="43" fillId="0" borderId="1" xfId="0" applyFont="1" applyFill="1" applyBorder="1"/>
    <xf numFmtId="0" fontId="43" fillId="0" borderId="7" xfId="0" applyFont="1" applyBorder="1"/>
    <xf numFmtId="0" fontId="43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67" fontId="41" fillId="2" borderId="1" xfId="1" applyNumberFormat="1" applyFont="1" applyFill="1" applyBorder="1" applyAlignment="1">
      <alignment horizontal="center"/>
    </xf>
    <xf numFmtId="170" fontId="21" fillId="0" borderId="1" xfId="0" applyNumberFormat="1" applyFont="1" applyFill="1" applyBorder="1" applyAlignment="1">
      <alignment horizontal="center"/>
    </xf>
    <xf numFmtId="0" fontId="2" fillId="2" borderId="0" xfId="0" applyFont="1" applyFill="1"/>
    <xf numFmtId="170" fontId="22" fillId="7" borderId="1" xfId="1" applyNumberFormat="1" applyFont="1" applyFill="1" applyBorder="1"/>
    <xf numFmtId="167" fontId="22" fillId="7" borderId="1" xfId="1" applyNumberFormat="1" applyFont="1" applyFill="1" applyBorder="1"/>
    <xf numFmtId="41" fontId="22" fillId="0" borderId="1" xfId="49" applyFont="1" applyFill="1" applyBorder="1"/>
    <xf numFmtId="0" fontId="2" fillId="7" borderId="0" xfId="0" applyFont="1" applyFill="1"/>
    <xf numFmtId="167" fontId="22" fillId="7" borderId="0" xfId="3" applyNumberFormat="1" applyFont="1" applyFill="1"/>
    <xf numFmtId="167" fontId="3" fillId="7" borderId="0" xfId="3" applyNumberFormat="1" applyFill="1"/>
    <xf numFmtId="41" fontId="0" fillId="0" borderId="0" xfId="49" applyFont="1"/>
    <xf numFmtId="167" fontId="44" fillId="0" borderId="1" xfId="1" applyNumberFormat="1" applyFont="1" applyFill="1" applyBorder="1"/>
    <xf numFmtId="14" fontId="3" fillId="6" borderId="0" xfId="3" applyNumberFormat="1" applyFill="1"/>
    <xf numFmtId="22" fontId="3" fillId="6" borderId="0" xfId="3" applyNumberFormat="1" applyFill="1"/>
    <xf numFmtId="167" fontId="2" fillId="0" borderId="0" xfId="1" applyNumberFormat="1" applyFont="1" applyFill="1"/>
    <xf numFmtId="167" fontId="1" fillId="0" borderId="0" xfId="1" applyNumberFormat="1" applyFont="1" applyFill="1"/>
    <xf numFmtId="170" fontId="44" fillId="0" borderId="1" xfId="1" applyNumberFormat="1" applyFont="1" applyFill="1" applyBorder="1"/>
    <xf numFmtId="0" fontId="45" fillId="0" borderId="1" xfId="0" applyFont="1" applyBorder="1"/>
    <xf numFmtId="0" fontId="41" fillId="2" borderId="1" xfId="0" applyFont="1" applyFill="1" applyBorder="1" applyAlignment="1">
      <alignment horizontal="center"/>
    </xf>
    <xf numFmtId="167" fontId="41" fillId="2" borderId="1" xfId="1" applyNumberFormat="1" applyFont="1" applyFill="1" applyBorder="1"/>
    <xf numFmtId="167" fontId="41" fillId="7" borderId="1" xfId="1" applyNumberFormat="1" applyFont="1" applyFill="1" applyBorder="1" applyAlignment="1">
      <alignment horizontal="center"/>
    </xf>
    <xf numFmtId="14" fontId="41" fillId="7" borderId="1" xfId="0" applyNumberFormat="1" applyFont="1" applyFill="1" applyBorder="1" applyAlignment="1">
      <alignment horizontal="center"/>
    </xf>
    <xf numFmtId="0" fontId="41" fillId="7" borderId="1" xfId="0" applyFont="1" applyFill="1" applyBorder="1" applyAlignment="1">
      <alignment horizontal="center"/>
    </xf>
    <xf numFmtId="167" fontId="41" fillId="7" borderId="1" xfId="1" applyNumberFormat="1" applyFont="1" applyFill="1" applyBorder="1"/>
    <xf numFmtId="0" fontId="41" fillId="7" borderId="1" xfId="1" applyNumberFormat="1" applyFont="1" applyFill="1" applyBorder="1"/>
    <xf numFmtId="167" fontId="8" fillId="41" borderId="1" xfId="1" applyNumberFormat="1" applyFont="1" applyFill="1" applyBorder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/>
    <xf numFmtId="0" fontId="8" fillId="0" borderId="6" xfId="0" applyFont="1" applyFill="1" applyBorder="1"/>
    <xf numFmtId="14" fontId="8" fillId="0" borderId="6" xfId="0" applyNumberFormat="1" applyFont="1" applyFill="1" applyBorder="1" applyAlignment="1">
      <alignment horizontal="center"/>
    </xf>
    <xf numFmtId="167" fontId="8" fillId="0" borderId="6" xfId="1" applyNumberFormat="1" applyFont="1" applyFill="1" applyBorder="1"/>
    <xf numFmtId="167" fontId="8" fillId="0" borderId="6" xfId="1" applyNumberFormat="1" applyFont="1" applyFill="1" applyBorder="1" applyAlignment="1">
      <alignment horizontal="center"/>
    </xf>
    <xf numFmtId="167" fontId="8" fillId="0" borderId="6" xfId="0" applyNumberFormat="1" applyFont="1" applyFill="1" applyBorder="1"/>
    <xf numFmtId="0" fontId="8" fillId="2" borderId="1" xfId="0" applyNumberFormat="1" applyFont="1" applyFill="1" applyBorder="1"/>
    <xf numFmtId="167" fontId="0" fillId="2" borderId="1" xfId="1" applyNumberFormat="1" applyFont="1" applyFill="1" applyBorder="1"/>
    <xf numFmtId="0" fontId="17" fillId="2" borderId="1" xfId="0" applyFont="1" applyFill="1" applyBorder="1"/>
    <xf numFmtId="167" fontId="17" fillId="2" borderId="1" xfId="0" applyNumberFormat="1" applyFont="1" applyFill="1" applyBorder="1"/>
    <xf numFmtId="167" fontId="8" fillId="5" borderId="1" xfId="1" applyNumberFormat="1" applyFont="1" applyFill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center"/>
    </xf>
    <xf numFmtId="167" fontId="8" fillId="5" borderId="1" xfId="1" applyNumberFormat="1" applyFont="1" applyFill="1" applyBorder="1"/>
    <xf numFmtId="167" fontId="8" fillId="5" borderId="1" xfId="1" applyNumberFormat="1" applyFont="1" applyFill="1" applyBorder="1" applyAlignment="1">
      <alignment horizontal="center"/>
    </xf>
    <xf numFmtId="0" fontId="20" fillId="5" borderId="1" xfId="0" applyFont="1" applyFill="1" applyBorder="1"/>
    <xf numFmtId="41" fontId="44" fillId="0" borderId="1" xfId="49" applyFont="1" applyFill="1" applyBorder="1"/>
    <xf numFmtId="0" fontId="40" fillId="7" borderId="1" xfId="0" applyFont="1" applyFill="1" applyBorder="1"/>
    <xf numFmtId="167" fontId="17" fillId="4" borderId="5" xfId="0" applyNumberFormat="1" applyFont="1" applyFill="1" applyBorder="1" applyAlignment="1">
      <alignment horizontal="center"/>
    </xf>
    <xf numFmtId="167" fontId="17" fillId="4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7" fontId="20" fillId="5" borderId="1" xfId="1" applyNumberFormat="1" applyFont="1" applyFill="1" applyBorder="1" applyAlignment="1">
      <alignment horizontal="right"/>
    </xf>
    <xf numFmtId="14" fontId="20" fillId="5" borderId="1" xfId="0" applyNumberFormat="1" applyFont="1" applyFill="1" applyBorder="1" applyAlignment="1">
      <alignment horizontal="center"/>
    </xf>
    <xf numFmtId="167" fontId="20" fillId="5" borderId="1" xfId="1" applyNumberFormat="1" applyFont="1" applyFill="1" applyBorder="1"/>
    <xf numFmtId="167" fontId="20" fillId="5" borderId="1" xfId="1" applyNumberFormat="1" applyFont="1" applyFill="1" applyBorder="1" applyAlignment="1">
      <alignment horizontal="center"/>
    </xf>
    <xf numFmtId="167" fontId="20" fillId="0" borderId="1" xfId="0" applyNumberFormat="1" applyFont="1" applyFill="1" applyBorder="1"/>
    <xf numFmtId="167" fontId="8" fillId="0" borderId="1" xfId="1" applyNumberFormat="1" applyFont="1" applyFill="1" applyBorder="1" applyAlignment="1">
      <alignment horizontal="right"/>
    </xf>
    <xf numFmtId="0" fontId="20" fillId="0" borderId="1" xfId="0" applyFont="1" applyFill="1" applyBorder="1"/>
    <xf numFmtId="167" fontId="20" fillId="0" borderId="1" xfId="1" applyNumberFormat="1" applyFont="1" applyFill="1" applyBorder="1" applyAlignment="1">
      <alignment horizontal="right"/>
    </xf>
    <xf numFmtId="14" fontId="20" fillId="0" borderId="1" xfId="0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2"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zoomScale="85" zoomScaleNormal="85" workbookViewId="0">
      <selection activeCell="F25" sqref="F25"/>
    </sheetView>
  </sheetViews>
  <sheetFormatPr baseColWidth="10" defaultRowHeight="15" x14ac:dyDescent="0.25"/>
  <cols>
    <col min="2" max="2" width="40.7109375" customWidth="1"/>
    <col min="3" max="3" width="25.28515625" customWidth="1"/>
    <col min="4" max="4" width="21.28515625" customWidth="1"/>
    <col min="5" max="5" width="23.7109375" customWidth="1"/>
    <col min="6" max="8" width="21.28515625" customWidth="1"/>
    <col min="9" max="9" width="14.140625" bestFit="1" customWidth="1"/>
    <col min="10" max="10" width="16.28515625" customWidth="1"/>
    <col min="11" max="11" width="12.85546875" customWidth="1"/>
    <col min="12" max="12" width="15.28515625" customWidth="1"/>
    <col min="13" max="13" width="16.140625" customWidth="1"/>
    <col min="14" max="14" width="16.28515625" customWidth="1"/>
  </cols>
  <sheetData>
    <row r="1" spans="2:7" ht="21" x14ac:dyDescent="0.35">
      <c r="B1" s="11">
        <v>42948</v>
      </c>
    </row>
    <row r="2" spans="2:7" x14ac:dyDescent="0.25">
      <c r="B2" s="6" t="s">
        <v>15</v>
      </c>
      <c r="C2" s="6"/>
      <c r="D2" s="99">
        <v>644.24</v>
      </c>
    </row>
    <row r="3" spans="2:7" x14ac:dyDescent="0.25">
      <c r="B3" s="6" t="s">
        <v>23</v>
      </c>
      <c r="C3" s="6"/>
      <c r="D3" s="41">
        <v>26604.1</v>
      </c>
    </row>
    <row r="4" spans="2:7" x14ac:dyDescent="0.25">
      <c r="B4" s="6" t="s">
        <v>14</v>
      </c>
      <c r="C4" s="6"/>
      <c r="D4" s="6">
        <f>Agosto!H91</f>
        <v>261</v>
      </c>
      <c r="E4" s="87">
        <f>Booking!Q101+Buuteeq!L35+Expedia!I24</f>
        <v>261</v>
      </c>
    </row>
    <row r="5" spans="2:7" x14ac:dyDescent="0.25">
      <c r="B5" s="6" t="s">
        <v>16</v>
      </c>
      <c r="C5" s="6"/>
      <c r="D5" s="180">
        <f>D4/(31*10)</f>
        <v>0.84193548387096773</v>
      </c>
      <c r="E5" s="180">
        <f>E4/(31*10)</f>
        <v>0.84193548387096773</v>
      </c>
    </row>
    <row r="6" spans="2:7" x14ac:dyDescent="0.25">
      <c r="D6" s="9"/>
      <c r="E6" s="1"/>
    </row>
    <row r="7" spans="2:7" x14ac:dyDescent="0.25">
      <c r="C7" t="s">
        <v>20</v>
      </c>
      <c r="D7" t="s">
        <v>13</v>
      </c>
    </row>
    <row r="8" spans="2:7" x14ac:dyDescent="0.25">
      <c r="B8" s="6" t="s">
        <v>10</v>
      </c>
      <c r="C8" s="7">
        <f>SUM(C9:C14)</f>
        <v>32035245.217726402</v>
      </c>
      <c r="D8" s="8">
        <f>C8/D4</f>
        <v>122740.40313305135</v>
      </c>
      <c r="E8" s="5"/>
      <c r="F8" s="5"/>
    </row>
    <row r="9" spans="2:7" x14ac:dyDescent="0.25">
      <c r="B9" t="s">
        <v>7</v>
      </c>
      <c r="C9" s="1">
        <f>Agosto!T57/(1.038)</f>
        <v>23829717.764932569</v>
      </c>
      <c r="D9" s="9">
        <f>C9/$C$8</f>
        <v>0.74385938371861182</v>
      </c>
    </row>
    <row r="10" spans="2:7" x14ac:dyDescent="0.25">
      <c r="B10" t="s">
        <v>8</v>
      </c>
      <c r="C10" s="1">
        <f>Agosto!T69/(1.038)</f>
        <v>3531692.4624277451</v>
      </c>
      <c r="D10" s="9">
        <f>C10/$C$8</f>
        <v>0.11024396530835719</v>
      </c>
    </row>
    <row r="11" spans="2:7" x14ac:dyDescent="0.25">
      <c r="B11" t="s">
        <v>100</v>
      </c>
      <c r="C11" s="1"/>
      <c r="D11" s="9">
        <f>C11/$C$8</f>
        <v>0</v>
      </c>
    </row>
    <row r="12" spans="2:7" x14ac:dyDescent="0.25">
      <c r="B12" t="s">
        <v>101</v>
      </c>
      <c r="C12" s="1">
        <f>Agosto!T87/(1.038)</f>
        <v>4673834.9903660882</v>
      </c>
      <c r="D12" s="9">
        <f>C12/$C$8</f>
        <v>0.14589665097303098</v>
      </c>
      <c r="E12" s="1"/>
    </row>
    <row r="13" spans="2:7" x14ac:dyDescent="0.25">
      <c r="B13" t="s">
        <v>57</v>
      </c>
      <c r="C13" s="1">
        <f>Agosto!S90*D2</f>
        <v>0</v>
      </c>
      <c r="D13" s="9">
        <f>C13/$C$8</f>
        <v>0</v>
      </c>
      <c r="E13" s="1"/>
    </row>
    <row r="14" spans="2:7" x14ac:dyDescent="0.25">
      <c r="B14" t="s">
        <v>19</v>
      </c>
      <c r="C14" s="1"/>
      <c r="E14" s="1"/>
    </row>
    <row r="16" spans="2:7" x14ac:dyDescent="0.25">
      <c r="B16" s="6" t="s">
        <v>9</v>
      </c>
      <c r="C16" s="8">
        <f>SUM(C17:C24)</f>
        <v>11386206</v>
      </c>
      <c r="D16" s="8">
        <f>C16/D4</f>
        <v>43625.310344827587</v>
      </c>
      <c r="E16" s="5">
        <f>C16+C25+C30+C33</f>
        <v>28288018</v>
      </c>
      <c r="F16" s="104"/>
      <c r="G16" s="120"/>
    </row>
    <row r="17" spans="2:6" x14ac:dyDescent="0.25">
      <c r="B17" t="str">
        <f>'BCI FondRendir'!B132</f>
        <v>Comisión Bco</v>
      </c>
      <c r="C17" s="1">
        <f>'BCI FondRendir'!F132</f>
        <v>61716</v>
      </c>
      <c r="D17" s="5">
        <f>C17/$D$4</f>
        <v>236.45977011494253</v>
      </c>
      <c r="E17" s="5"/>
    </row>
    <row r="18" spans="2:6" x14ac:dyDescent="0.25">
      <c r="B18" t="str">
        <f>'BCI FondRendir'!B133</f>
        <v>Comisión Booking</v>
      </c>
      <c r="C18" s="1">
        <f>+'BCI FondRendir'!F133</f>
        <v>3679568</v>
      </c>
      <c r="D18" s="5">
        <f t="shared" ref="D18:D26" si="0">C18/$D$4</f>
        <v>14097.961685823755</v>
      </c>
      <c r="E18" s="5"/>
    </row>
    <row r="19" spans="2:6" x14ac:dyDescent="0.25">
      <c r="B19" t="str">
        <f>'BCI FondRendir'!B134</f>
        <v>Comisión Expedia</v>
      </c>
      <c r="C19" s="1">
        <f>+'BCI FondRendir'!F134</f>
        <v>644258</v>
      </c>
      <c r="D19" s="5">
        <f t="shared" si="0"/>
        <v>2468.4214559386974</v>
      </c>
      <c r="E19" s="5"/>
    </row>
    <row r="20" spans="2:6" x14ac:dyDescent="0.25">
      <c r="B20" t="str">
        <f>'BCI FondRendir'!B135</f>
        <v>Comisión otras</v>
      </c>
      <c r="C20" s="1">
        <f>+'BCI FondRendir'!F135</f>
        <v>387975</v>
      </c>
      <c r="D20" s="5">
        <f t="shared" si="0"/>
        <v>1486.4942528735633</v>
      </c>
      <c r="E20" s="5"/>
    </row>
    <row r="21" spans="2:6" x14ac:dyDescent="0.25">
      <c r="B21" t="str">
        <f>'BCI FondRendir'!B136</f>
        <v>Costos Directos</v>
      </c>
      <c r="C21" s="1">
        <f>+'BCI FondRendir'!F136</f>
        <v>1487964</v>
      </c>
      <c r="D21" s="5">
        <f t="shared" si="0"/>
        <v>5701.0114942528735</v>
      </c>
      <c r="E21" s="5"/>
    </row>
    <row r="22" spans="2:6" x14ac:dyDescent="0.25">
      <c r="B22" t="str">
        <f>'BCI FondRendir'!B137</f>
        <v>Fondos a Rendir</v>
      </c>
      <c r="C22" s="1">
        <f>+'BCI FondRendir'!F137</f>
        <v>2500000</v>
      </c>
      <c r="D22" s="5">
        <f t="shared" si="0"/>
        <v>9578.5440613026822</v>
      </c>
      <c r="E22" s="5"/>
    </row>
    <row r="23" spans="2:6" x14ac:dyDescent="0.25">
      <c r="B23" t="s">
        <v>259</v>
      </c>
      <c r="C23" s="1">
        <f>'BCI FondRendir'!F143</f>
        <v>2624725</v>
      </c>
      <c r="D23" s="5">
        <f>C23/$D$4</f>
        <v>10056.417624521073</v>
      </c>
      <c r="E23" s="5"/>
    </row>
    <row r="24" spans="2:6" x14ac:dyDescent="0.25">
      <c r="B24" t="s">
        <v>86</v>
      </c>
      <c r="C24" s="1">
        <f>'BCI FondRendir'!H149</f>
        <v>0</v>
      </c>
      <c r="D24" s="5">
        <f t="shared" si="0"/>
        <v>0</v>
      </c>
    </row>
    <row r="25" spans="2:6" x14ac:dyDescent="0.25">
      <c r="B25" s="6" t="s">
        <v>11</v>
      </c>
      <c r="C25" s="8">
        <f>SUM(C26:C29)</f>
        <v>11211346</v>
      </c>
      <c r="D25" s="8">
        <f>C25/D4</f>
        <v>42955.34865900383</v>
      </c>
      <c r="E25" s="5"/>
      <c r="F25" s="5"/>
    </row>
    <row r="26" spans="2:6" x14ac:dyDescent="0.25">
      <c r="B26" t="s">
        <v>50</v>
      </c>
      <c r="C26" s="1">
        <f>'BCI FondRendir'!F144</f>
        <v>8122076</v>
      </c>
      <c r="D26" s="5">
        <f t="shared" si="0"/>
        <v>31119.065134099616</v>
      </c>
    </row>
    <row r="27" spans="2:6" s="235" customFormat="1" x14ac:dyDescent="0.25">
      <c r="B27" t="str">
        <f>'BCI FondRendir'!B139</f>
        <v>Gastos Operación</v>
      </c>
      <c r="C27" s="1">
        <f>+'BCI FondRendir'!F139</f>
        <v>2473942</v>
      </c>
      <c r="D27" s="5">
        <f>C27/$D$4</f>
        <v>9478.704980842911</v>
      </c>
    </row>
    <row r="28" spans="2:6" x14ac:dyDescent="0.25">
      <c r="B28" s="15" t="s">
        <v>24</v>
      </c>
      <c r="C28" s="16"/>
      <c r="D28" s="5">
        <f t="shared" ref="D28:D29" si="1">C28/$D$4</f>
        <v>0</v>
      </c>
    </row>
    <row r="29" spans="2:6" x14ac:dyDescent="0.25">
      <c r="B29" s="15" t="s">
        <v>62</v>
      </c>
      <c r="C29" s="1">
        <f>'BCI FondRendir'!F138</f>
        <v>615328</v>
      </c>
      <c r="D29" s="5">
        <f t="shared" si="1"/>
        <v>2357.5785440613026</v>
      </c>
    </row>
    <row r="30" spans="2:6" x14ac:dyDescent="0.25">
      <c r="B30" s="6" t="s">
        <v>21</v>
      </c>
      <c r="C30" s="8">
        <f>SUM(C31:C32)</f>
        <v>4134684</v>
      </c>
      <c r="D30" s="8">
        <f>C30/D4</f>
        <v>15841.701149425287</v>
      </c>
    </row>
    <row r="31" spans="2:6" ht="14.45" x14ac:dyDescent="0.3">
      <c r="B31" t="s">
        <v>22</v>
      </c>
      <c r="C31" s="1">
        <f>+'BCI FondRendir'!F142</f>
        <v>4134684</v>
      </c>
      <c r="E31" s="142"/>
    </row>
    <row r="32" spans="2:6" ht="14.45" x14ac:dyDescent="0.3">
      <c r="C32" s="1"/>
    </row>
    <row r="33" spans="2:13" x14ac:dyDescent="0.25">
      <c r="B33" s="6" t="s">
        <v>12</v>
      </c>
      <c r="C33" s="7">
        <f>SUM(C34:C35)</f>
        <v>1555782</v>
      </c>
      <c r="D33" s="8">
        <f>C33/D4</f>
        <v>5960.8505747126437</v>
      </c>
    </row>
    <row r="34" spans="2:13" ht="14.45" x14ac:dyDescent="0.3">
      <c r="B34" t="s">
        <v>166</v>
      </c>
      <c r="C34" s="1">
        <f>+'BCI FondRendir'!F141</f>
        <v>1555782</v>
      </c>
    </row>
    <row r="35" spans="2:13" x14ac:dyDescent="0.25">
      <c r="B35" t="s">
        <v>168</v>
      </c>
      <c r="C35" s="1"/>
    </row>
    <row r="36" spans="2:13" x14ac:dyDescent="0.25">
      <c r="B36" t="str">
        <f>'BCI FondRendir'!B140</f>
        <v>Impuestos</v>
      </c>
      <c r="C36" s="1">
        <f>+'BCI FondRendir'!F140</f>
        <v>2519098</v>
      </c>
      <c r="D36" s="5">
        <f>C36/$D$4</f>
        <v>9651.7164750957854</v>
      </c>
    </row>
    <row r="38" spans="2:13" x14ac:dyDescent="0.25">
      <c r="B38" s="2" t="s">
        <v>17</v>
      </c>
      <c r="C38" s="10">
        <f>C8-C16-C25-C33-C30</f>
        <v>3747227.217726402</v>
      </c>
    </row>
    <row r="39" spans="2:13" x14ac:dyDescent="0.25">
      <c r="B39" s="2" t="s">
        <v>52</v>
      </c>
      <c r="C39" s="10">
        <f>C36</f>
        <v>2519098</v>
      </c>
      <c r="D39" s="10">
        <f>C38*0.25</f>
        <v>936806.8044316005</v>
      </c>
    </row>
    <row r="40" spans="2:13" x14ac:dyDescent="0.25">
      <c r="B40" s="2" t="s">
        <v>140</v>
      </c>
      <c r="C40" s="10">
        <f>'BCI FondRendir'!G149</f>
        <v>2022058.47</v>
      </c>
    </row>
    <row r="41" spans="2:13" x14ac:dyDescent="0.25">
      <c r="B41" s="2" t="s">
        <v>141</v>
      </c>
      <c r="C41" s="10">
        <f>Agosto!D108</f>
        <v>787226.62</v>
      </c>
    </row>
    <row r="42" spans="2:13" x14ac:dyDescent="0.25">
      <c r="B42" s="17" t="s">
        <v>18</v>
      </c>
      <c r="C42" s="18">
        <f>C38-D39</f>
        <v>2810420.4132948015</v>
      </c>
    </row>
    <row r="43" spans="2:13" x14ac:dyDescent="0.25">
      <c r="B43" s="17" t="s">
        <v>182</v>
      </c>
      <c r="C43" s="10">
        <f>C8-C16-C25</f>
        <v>9437693.217726402</v>
      </c>
      <c r="J43" s="103"/>
      <c r="K43" s="103"/>
      <c r="L43" s="103"/>
      <c r="M43" s="103"/>
    </row>
    <row r="44" spans="2:13" x14ac:dyDescent="0.25">
      <c r="C44" s="21" t="s">
        <v>70</v>
      </c>
      <c r="D44" s="21" t="s">
        <v>71</v>
      </c>
      <c r="E44" s="21" t="s">
        <v>205</v>
      </c>
      <c r="F44" s="21" t="s">
        <v>63</v>
      </c>
      <c r="G44" s="21" t="s">
        <v>64</v>
      </c>
      <c r="J44" s="104"/>
    </row>
    <row r="45" spans="2:13" x14ac:dyDescent="0.25">
      <c r="B45" s="2" t="s">
        <v>54</v>
      </c>
      <c r="C45" s="10"/>
      <c r="D45" s="10"/>
      <c r="E45" s="10"/>
      <c r="F45" s="10"/>
      <c r="G45" s="10"/>
    </row>
    <row r="46" spans="2:13" x14ac:dyDescent="0.25">
      <c r="B46" s="2" t="s">
        <v>79</v>
      </c>
      <c r="C46" s="10"/>
      <c r="D46" s="10"/>
      <c r="E46" s="10"/>
      <c r="F46" s="10"/>
      <c r="G46" s="10"/>
    </row>
    <row r="47" spans="2:13" x14ac:dyDescent="0.25">
      <c r="B47" s="2" t="s">
        <v>55</v>
      </c>
      <c r="C47" s="10"/>
      <c r="D47" s="10"/>
      <c r="E47" s="10"/>
      <c r="F47" s="10"/>
      <c r="G47" s="10"/>
    </row>
    <row r="48" spans="2:13" x14ac:dyDescent="0.25">
      <c r="B48" s="2" t="s">
        <v>56</v>
      </c>
      <c r="C48" s="10"/>
      <c r="D48" s="10"/>
      <c r="E48" s="10"/>
      <c r="F48" s="10">
        <f>100000000/23312-883-195-585-2088+10000000/ 26641+4000000/ 26641</f>
        <v>1064.142038178803</v>
      </c>
      <c r="G48" s="113">
        <f>F48*$D$3</f>
        <v>28310541.197912689</v>
      </c>
      <c r="I48" s="188"/>
    </row>
    <row r="49" spans="2:15" x14ac:dyDescent="0.25">
      <c r="B49" s="2" t="s">
        <v>343</v>
      </c>
      <c r="C49" s="10"/>
      <c r="D49" s="10"/>
      <c r="E49" s="10"/>
      <c r="F49" s="10"/>
      <c r="G49" s="10">
        <f t="shared" ref="G49:G52" si="2">F49*$D$3</f>
        <v>0</v>
      </c>
      <c r="J49" s="188"/>
      <c r="K49" s="188"/>
      <c r="L49" s="188"/>
      <c r="M49" s="188"/>
    </row>
    <row r="50" spans="2:15" x14ac:dyDescent="0.25">
      <c r="B50" s="2" t="s">
        <v>344</v>
      </c>
      <c r="C50" s="10"/>
      <c r="D50" s="10"/>
      <c r="E50" s="10"/>
      <c r="F50" s="10"/>
      <c r="G50" s="10">
        <f t="shared" si="2"/>
        <v>0</v>
      </c>
      <c r="J50" s="188"/>
      <c r="K50" s="188"/>
      <c r="L50" s="188"/>
      <c r="M50" s="188"/>
    </row>
    <row r="51" spans="2:15" x14ac:dyDescent="0.25">
      <c r="B51" s="2" t="s">
        <v>345</v>
      </c>
      <c r="C51" s="10"/>
      <c r="D51" s="10"/>
      <c r="E51" s="10"/>
      <c r="F51" s="10"/>
      <c r="G51" s="10">
        <f t="shared" si="2"/>
        <v>0</v>
      </c>
      <c r="J51" s="188"/>
      <c r="K51" s="188"/>
      <c r="L51" s="188"/>
      <c r="M51" s="188"/>
    </row>
    <row r="52" spans="2:15" x14ac:dyDescent="0.25">
      <c r="B52" s="2" t="s">
        <v>346</v>
      </c>
      <c r="C52" s="10"/>
      <c r="D52" s="10">
        <f>30000000/26561.4</f>
        <v>1129.4585375770855</v>
      </c>
      <c r="E52" s="10"/>
      <c r="F52" s="10"/>
      <c r="G52" s="10">
        <f t="shared" si="2"/>
        <v>0</v>
      </c>
      <c r="J52" s="188"/>
      <c r="K52" s="188"/>
      <c r="L52" s="188"/>
      <c r="M52" s="188"/>
    </row>
    <row r="53" spans="2:15" x14ac:dyDescent="0.25">
      <c r="B53" s="112" t="s">
        <v>134</v>
      </c>
      <c r="C53" s="113">
        <f>SUM(C45:C52)</f>
        <v>0</v>
      </c>
      <c r="D53" s="113">
        <f>SUM(D45:D52)</f>
        <v>1129.4585375770855</v>
      </c>
      <c r="E53" s="113">
        <f>SUM(E45:E52)</f>
        <v>0</v>
      </c>
      <c r="F53" s="113"/>
      <c r="G53" s="113"/>
      <c r="I53" s="188"/>
      <c r="J53" s="188"/>
      <c r="K53" s="188"/>
      <c r="L53" s="188"/>
      <c r="M53" s="188"/>
    </row>
    <row r="54" spans="2:15" x14ac:dyDescent="0.25">
      <c r="B54" s="112"/>
      <c r="C54" s="113"/>
      <c r="D54" s="113">
        <f>D53*D3</f>
        <v>30048227.87955454</v>
      </c>
      <c r="E54" s="113">
        <f>E53*D3</f>
        <v>0</v>
      </c>
      <c r="F54" s="113"/>
      <c r="G54" s="113"/>
      <c r="I54" s="188"/>
      <c r="J54" s="235"/>
      <c r="K54" s="235"/>
      <c r="L54" s="235"/>
      <c r="M54" s="235"/>
      <c r="N54" s="235"/>
      <c r="O54" s="235"/>
    </row>
    <row r="55" spans="2:15" x14ac:dyDescent="0.25">
      <c r="I55" s="188"/>
      <c r="J55" s="235"/>
      <c r="K55" s="235"/>
      <c r="L55" s="235"/>
      <c r="M55" s="235"/>
      <c r="N55" s="235"/>
      <c r="O55" s="235"/>
    </row>
    <row r="56" spans="2:15" x14ac:dyDescent="0.25">
      <c r="B56" s="189" t="s">
        <v>1058</v>
      </c>
      <c r="C56" s="190"/>
      <c r="D56" s="190"/>
      <c r="E56" s="190"/>
      <c r="F56" s="190"/>
      <c r="G56" s="191"/>
      <c r="I56" s="188"/>
      <c r="J56" s="235"/>
      <c r="K56" s="235"/>
      <c r="L56" s="235"/>
      <c r="M56" s="235"/>
      <c r="N56" s="235"/>
      <c r="O56" s="235"/>
    </row>
    <row r="57" spans="2:15" x14ac:dyDescent="0.25">
      <c r="B57" s="2" t="s">
        <v>107</v>
      </c>
      <c r="C57" s="2" t="s">
        <v>177</v>
      </c>
      <c r="D57" s="2" t="s">
        <v>108</v>
      </c>
      <c r="E57" s="2" t="s">
        <v>110</v>
      </c>
      <c r="F57" s="2" t="s">
        <v>111</v>
      </c>
      <c r="G57" s="2" t="s">
        <v>109</v>
      </c>
      <c r="H57" s="2" t="s">
        <v>112</v>
      </c>
      <c r="M57" s="235"/>
      <c r="N57" s="235"/>
      <c r="O57" s="235"/>
    </row>
    <row r="58" spans="2:15" x14ac:dyDescent="0.25">
      <c r="B58" s="235">
        <v>5572793</v>
      </c>
      <c r="C58" s="235">
        <v>1950</v>
      </c>
      <c r="D58" s="235">
        <v>8596</v>
      </c>
      <c r="E58" s="235">
        <v>7608275</v>
      </c>
      <c r="F58" s="166">
        <v>0</v>
      </c>
      <c r="G58" s="235">
        <v>17556</v>
      </c>
      <c r="H58" s="78">
        <f>(G58+D58+C58)*$D$2+B58+E58+F58</f>
        <v>31285500.48</v>
      </c>
      <c r="I58" s="188"/>
      <c r="J58" s="235"/>
      <c r="K58" s="235"/>
      <c r="L58" s="235"/>
      <c r="M58" s="235"/>
      <c r="N58" s="235"/>
      <c r="O58" s="235"/>
    </row>
    <row r="59" spans="2:15" x14ac:dyDescent="0.25">
      <c r="B59" s="166" t="s">
        <v>113</v>
      </c>
      <c r="C59" s="166"/>
      <c r="D59" s="166"/>
      <c r="E59" s="166"/>
      <c r="F59" s="166"/>
      <c r="G59" s="166"/>
      <c r="H59" s="78">
        <f>(G59+D59)*$D$2+E59+F59</f>
        <v>0</v>
      </c>
      <c r="I59" s="188"/>
      <c r="J59" s="235"/>
      <c r="K59" s="235"/>
      <c r="L59" s="235"/>
      <c r="M59" s="235"/>
      <c r="N59" s="235"/>
      <c r="O59" s="235"/>
    </row>
    <row r="60" spans="2:15" x14ac:dyDescent="0.25">
      <c r="B60" s="166" t="s">
        <v>135</v>
      </c>
      <c r="C60" s="166"/>
      <c r="D60" s="166"/>
      <c r="E60" s="166">
        <v>4000000</v>
      </c>
      <c r="F60" s="166"/>
      <c r="G60" s="166"/>
      <c r="H60" s="78">
        <f>(G60+D60)*$D$2+E60+F60</f>
        <v>4000000</v>
      </c>
      <c r="I60" s="188"/>
      <c r="J60" s="235"/>
      <c r="K60" s="235"/>
      <c r="L60" s="235"/>
      <c r="M60" s="235"/>
      <c r="N60" s="235"/>
      <c r="O60" s="235"/>
    </row>
    <row r="61" spans="2:15" x14ac:dyDescent="0.25">
      <c r="B61" s="114" t="s">
        <v>159</v>
      </c>
      <c r="C61" s="114"/>
      <c r="D61" s="114"/>
      <c r="E61" s="114"/>
      <c r="F61" s="114"/>
      <c r="G61" s="114"/>
      <c r="H61" s="77">
        <f>SUM(H58:H60)</f>
        <v>35285500.480000004</v>
      </c>
      <c r="I61" s="188"/>
      <c r="J61" s="235"/>
      <c r="K61" s="235"/>
      <c r="L61" s="235"/>
      <c r="M61" s="235"/>
      <c r="N61" s="235"/>
      <c r="O61" s="235"/>
    </row>
    <row r="62" spans="2:15" x14ac:dyDescent="0.25">
      <c r="B62" s="114" t="s">
        <v>136</v>
      </c>
      <c r="C62" s="114"/>
      <c r="D62" s="114"/>
      <c r="E62" s="114"/>
      <c r="F62" s="114"/>
      <c r="G62" s="114"/>
      <c r="H62" s="77">
        <f>H61-H67</f>
        <v>16836935.480000004</v>
      </c>
      <c r="I62" s="188"/>
      <c r="J62" s="235"/>
      <c r="K62" s="235"/>
      <c r="L62" s="235"/>
      <c r="M62" s="235"/>
      <c r="N62" s="235"/>
      <c r="O62" s="235"/>
    </row>
    <row r="63" spans="2:15" x14ac:dyDescent="0.25">
      <c r="I63" s="188"/>
      <c r="J63" s="235"/>
      <c r="K63" s="235"/>
      <c r="L63" s="235"/>
      <c r="M63" s="235"/>
      <c r="N63" s="188"/>
      <c r="O63" s="188"/>
    </row>
    <row r="64" spans="2:15" x14ac:dyDescent="0.25">
      <c r="I64" s="188"/>
      <c r="J64" s="235"/>
      <c r="K64" s="235"/>
      <c r="L64" s="188"/>
      <c r="M64" s="235"/>
      <c r="N64" s="188"/>
      <c r="O64" s="188"/>
    </row>
    <row r="65" spans="1:15" x14ac:dyDescent="0.25">
      <c r="B65" s="189" t="s">
        <v>1057</v>
      </c>
      <c r="C65" s="190"/>
      <c r="D65" s="190"/>
      <c r="E65" s="190"/>
      <c r="F65" s="190"/>
      <c r="G65" s="191"/>
      <c r="H65" s="188"/>
      <c r="I65" s="188"/>
      <c r="J65" s="188"/>
      <c r="K65" s="188"/>
      <c r="L65" s="188"/>
      <c r="M65" s="188"/>
      <c r="N65" s="188"/>
      <c r="O65" s="188"/>
    </row>
    <row r="66" spans="1:15" x14ac:dyDescent="0.25">
      <c r="B66" s="2" t="s">
        <v>107</v>
      </c>
      <c r="C66" s="2" t="s">
        <v>177</v>
      </c>
      <c r="D66" s="2" t="s">
        <v>108</v>
      </c>
      <c r="E66" s="2" t="s">
        <v>110</v>
      </c>
      <c r="F66" s="2" t="s">
        <v>111</v>
      </c>
      <c r="G66" s="2" t="s">
        <v>109</v>
      </c>
      <c r="H66" s="2" t="s">
        <v>112</v>
      </c>
      <c r="J66" s="188"/>
      <c r="K66" s="188"/>
      <c r="L66" s="188"/>
      <c r="M66" s="188"/>
      <c r="N66" s="188"/>
      <c r="O66" s="188"/>
    </row>
    <row r="67" spans="1:15" x14ac:dyDescent="0.25">
      <c r="B67" s="166">
        <v>1459945</v>
      </c>
      <c r="C67" s="166">
        <v>1681</v>
      </c>
      <c r="D67" s="166">
        <v>5572</v>
      </c>
      <c r="E67" s="166">
        <v>3067484</v>
      </c>
      <c r="F67" s="166">
        <v>309090</v>
      </c>
      <c r="G67" s="166">
        <v>13434</v>
      </c>
      <c r="H67" s="78">
        <v>18448565</v>
      </c>
      <c r="J67" s="188"/>
      <c r="K67" s="188"/>
      <c r="L67" s="188"/>
      <c r="M67" s="188"/>
      <c r="N67" s="188"/>
      <c r="O67" s="188"/>
    </row>
    <row r="68" spans="1:15" x14ac:dyDescent="0.25">
      <c r="B68" s="166" t="s">
        <v>113</v>
      </c>
      <c r="C68" s="166"/>
      <c r="D68" s="166"/>
      <c r="E68" s="166"/>
      <c r="F68" s="166"/>
      <c r="G68" s="166"/>
      <c r="H68" s="78">
        <v>0</v>
      </c>
      <c r="J68" s="188"/>
      <c r="K68" s="188"/>
      <c r="L68" s="188"/>
      <c r="M68" s="188"/>
      <c r="N68" s="188"/>
      <c r="O68" s="188"/>
    </row>
    <row r="69" spans="1:15" x14ac:dyDescent="0.25">
      <c r="B69" s="166" t="s">
        <v>135</v>
      </c>
      <c r="C69" s="166"/>
      <c r="D69" s="166"/>
      <c r="E69" s="166">
        <v>4000000</v>
      </c>
      <c r="F69" s="166"/>
      <c r="G69" s="166"/>
      <c r="H69" s="78">
        <v>4000000</v>
      </c>
      <c r="J69" s="188"/>
      <c r="K69" s="188"/>
      <c r="L69" s="188"/>
      <c r="M69" s="188"/>
      <c r="N69" s="188"/>
      <c r="O69" s="188"/>
    </row>
    <row r="70" spans="1:15" x14ac:dyDescent="0.25">
      <c r="B70" s="114" t="s">
        <v>159</v>
      </c>
      <c r="C70" s="114"/>
      <c r="D70" s="114"/>
      <c r="E70" s="114"/>
      <c r="F70" s="114"/>
      <c r="G70" s="114"/>
      <c r="H70" s="77">
        <v>22448565</v>
      </c>
    </row>
    <row r="71" spans="1:15" x14ac:dyDescent="0.25">
      <c r="B71" s="114" t="s">
        <v>136</v>
      </c>
      <c r="C71" s="114"/>
      <c r="D71" s="114"/>
      <c r="E71" s="114"/>
      <c r="F71" s="114"/>
      <c r="G71" s="114"/>
      <c r="H71" s="77">
        <v>7830074</v>
      </c>
    </row>
    <row r="74" spans="1:15" x14ac:dyDescent="0.25">
      <c r="A74" s="142"/>
      <c r="B74" s="142"/>
      <c r="C74" s="142"/>
      <c r="D74" s="142"/>
      <c r="E74" s="142"/>
      <c r="F74" s="142"/>
    </row>
    <row r="75" spans="1:15" x14ac:dyDescent="0.25">
      <c r="A75" s="142"/>
      <c r="B75" s="142"/>
      <c r="C75" s="142"/>
      <c r="D75" s="142"/>
      <c r="E75" s="142"/>
      <c r="F75" s="142" t="s">
        <v>1055</v>
      </c>
      <c r="G75" t="s">
        <v>81</v>
      </c>
      <c r="H75" t="s">
        <v>127</v>
      </c>
      <c r="I75" t="s">
        <v>130</v>
      </c>
    </row>
    <row r="76" spans="1:15" x14ac:dyDescent="0.25">
      <c r="A76" s="142"/>
      <c r="B76" s="142"/>
      <c r="C76" s="142"/>
      <c r="D76" s="142"/>
      <c r="E76" s="142"/>
      <c r="F76" s="142" t="s">
        <v>107</v>
      </c>
      <c r="G76">
        <v>1950</v>
      </c>
      <c r="H76">
        <v>5572793</v>
      </c>
      <c r="I76">
        <v>6797393</v>
      </c>
    </row>
    <row r="77" spans="1:15" x14ac:dyDescent="0.25">
      <c r="A77" s="142"/>
      <c r="B77" s="142"/>
      <c r="C77" s="142"/>
      <c r="D77" s="142"/>
      <c r="E77" s="142"/>
      <c r="F77" s="142" t="s">
        <v>1056</v>
      </c>
      <c r="G77">
        <v>8596</v>
      </c>
      <c r="H77">
        <v>7608275</v>
      </c>
      <c r="I77">
        <v>13006563</v>
      </c>
    </row>
    <row r="78" spans="1:15" x14ac:dyDescent="0.25">
      <c r="A78" s="142"/>
      <c r="B78" s="142"/>
      <c r="C78" s="142"/>
      <c r="D78" s="142"/>
      <c r="E78" s="142"/>
      <c r="F78" s="142" t="s">
        <v>6</v>
      </c>
      <c r="G78">
        <v>17556</v>
      </c>
      <c r="H78">
        <v>0</v>
      </c>
      <c r="I78">
        <v>11025168</v>
      </c>
    </row>
    <row r="79" spans="1:15" x14ac:dyDescent="0.25">
      <c r="A79" s="142"/>
      <c r="B79" s="142"/>
      <c r="C79" s="142"/>
      <c r="D79" s="142"/>
      <c r="E79" s="142"/>
      <c r="F79" s="142" t="s">
        <v>26</v>
      </c>
      <c r="G79">
        <v>28102</v>
      </c>
      <c r="H79">
        <v>13181068</v>
      </c>
      <c r="I79">
        <v>30829124</v>
      </c>
    </row>
    <row r="80" spans="1:15" x14ac:dyDescent="0.25">
      <c r="A80" s="142"/>
      <c r="B80" s="142"/>
      <c r="C80" s="142"/>
      <c r="D80" s="142"/>
      <c r="E80" s="142"/>
      <c r="F80" s="142"/>
    </row>
  </sheetData>
  <pageMargins left="0.7" right="0.7" top="0.75" bottom="0.75" header="0.3" footer="0.3"/>
  <pageSetup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zoomScale="55" zoomScaleNormal="55" workbookViewId="0"/>
  </sheetViews>
  <sheetFormatPr baseColWidth="10" defaultRowHeight="15" x14ac:dyDescent="0.25"/>
  <cols>
    <col min="1" max="1" width="51" customWidth="1"/>
  </cols>
  <sheetData>
    <row r="1" spans="1:1" ht="26.25" x14ac:dyDescent="0.4">
      <c r="A1" s="269" t="s">
        <v>253</v>
      </c>
    </row>
    <row r="2" spans="1:1" ht="26.25" x14ac:dyDescent="0.4">
      <c r="A2" s="270" t="s">
        <v>255</v>
      </c>
    </row>
    <row r="3" spans="1:1" ht="26.25" x14ac:dyDescent="0.4">
      <c r="A3" s="270" t="s">
        <v>51</v>
      </c>
    </row>
    <row r="4" spans="1:1" ht="26.25" x14ac:dyDescent="0.4">
      <c r="A4" s="270" t="s">
        <v>156</v>
      </c>
    </row>
    <row r="5" spans="1:1" ht="26.25" x14ac:dyDescent="0.4">
      <c r="A5" s="271" t="s">
        <v>254</v>
      </c>
    </row>
    <row r="6" spans="1:1" ht="26.25" x14ac:dyDescent="0.4">
      <c r="A6" s="271" t="s">
        <v>9</v>
      </c>
    </row>
    <row r="7" spans="1:1" ht="26.25" x14ac:dyDescent="0.4">
      <c r="A7" s="272" t="s">
        <v>256</v>
      </c>
    </row>
    <row r="8" spans="1:1" ht="26.25" x14ac:dyDescent="0.4">
      <c r="A8" s="270" t="s">
        <v>258</v>
      </c>
    </row>
    <row r="9" spans="1:1" ht="26.25" x14ac:dyDescent="0.4">
      <c r="A9" s="270" t="s">
        <v>257</v>
      </c>
    </row>
    <row r="10" spans="1:1" ht="26.25" x14ac:dyDescent="0.4">
      <c r="A10" s="272" t="s">
        <v>43</v>
      </c>
    </row>
    <row r="11" spans="1:1" ht="26.25" x14ac:dyDescent="0.4">
      <c r="A11" s="270" t="s">
        <v>12</v>
      </c>
    </row>
    <row r="12" spans="1:1" ht="26.25" x14ac:dyDescent="0.4">
      <c r="A12" s="270" t="s">
        <v>22</v>
      </c>
    </row>
    <row r="13" spans="1:1" ht="26.25" x14ac:dyDescent="0.4">
      <c r="A13" s="271" t="s">
        <v>259</v>
      </c>
    </row>
    <row r="14" spans="1:1" ht="26.25" x14ac:dyDescent="0.4">
      <c r="A14" s="270" t="s">
        <v>50</v>
      </c>
    </row>
    <row r="15" spans="1:1" ht="26.25" x14ac:dyDescent="0.4">
      <c r="A15" s="271" t="s">
        <v>197</v>
      </c>
    </row>
    <row r="16" spans="1:1" ht="26.25" x14ac:dyDescent="0.4">
      <c r="A16" s="270" t="s">
        <v>198</v>
      </c>
    </row>
    <row r="17" spans="1:1" ht="25.9" x14ac:dyDescent="0.5">
      <c r="A17" s="270" t="s">
        <v>260</v>
      </c>
    </row>
    <row r="18" spans="1:1" ht="25.9" x14ac:dyDescent="0.5">
      <c r="A18" s="270" t="s">
        <v>261</v>
      </c>
    </row>
    <row r="19" spans="1:1" ht="25.9" x14ac:dyDescent="0.5">
      <c r="A19" s="273" t="s">
        <v>330</v>
      </c>
    </row>
    <row r="20" spans="1:1" ht="21.6" customHeight="1" x14ac:dyDescent="0.5">
      <c r="A20" s="273" t="s">
        <v>405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/>
  </sheetViews>
  <sheetFormatPr baseColWidth="10" defaultRowHeight="15" x14ac:dyDescent="0.25"/>
  <sheetData>
    <row r="2" spans="2:7" x14ac:dyDescent="0.25">
      <c r="B2" t="s">
        <v>372</v>
      </c>
    </row>
    <row r="3" spans="2:7" x14ac:dyDescent="0.25">
      <c r="B3" t="s">
        <v>366</v>
      </c>
      <c r="C3" t="s">
        <v>183</v>
      </c>
      <c r="D3" t="s">
        <v>188</v>
      </c>
      <c r="E3" t="s">
        <v>219</v>
      </c>
      <c r="F3" s="286">
        <v>1817451</v>
      </c>
      <c r="G3" t="s">
        <v>370</v>
      </c>
    </row>
    <row r="4" spans="2:7" x14ac:dyDescent="0.25">
      <c r="B4" s="235">
        <v>42867</v>
      </c>
      <c r="C4" t="s">
        <v>369</v>
      </c>
      <c r="D4">
        <v>18220448</v>
      </c>
      <c r="E4">
        <v>0</v>
      </c>
      <c r="F4" s="286">
        <v>4684019</v>
      </c>
      <c r="G4" t="s">
        <v>373</v>
      </c>
    </row>
    <row r="5" spans="2:7" x14ac:dyDescent="0.25">
      <c r="F5" s="286">
        <f>SUM(F3:F4)</f>
        <v>6501470</v>
      </c>
    </row>
    <row r="6" spans="2:7" x14ac:dyDescent="0.25">
      <c r="E6" t="s">
        <v>137</v>
      </c>
      <c r="F6" s="286">
        <f>+F5/1.19</f>
        <v>5463420.1680672271</v>
      </c>
    </row>
    <row r="7" spans="2:7" x14ac:dyDescent="0.25">
      <c r="E7" t="s">
        <v>138</v>
      </c>
      <c r="F7" s="286">
        <f>+F6*0.19</f>
        <v>1038049.8319327731</v>
      </c>
    </row>
    <row r="8" spans="2:7" x14ac:dyDescent="0.25">
      <c r="F8" s="2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174"/>
  <sheetViews>
    <sheetView tabSelected="1" topLeftCell="A53" zoomScale="70" zoomScaleNormal="70" workbookViewId="0">
      <selection sqref="A1:P92"/>
    </sheetView>
  </sheetViews>
  <sheetFormatPr baseColWidth="10" defaultColWidth="11.28515625" defaultRowHeight="15" x14ac:dyDescent="0.25"/>
  <cols>
    <col min="1" max="1" width="11.28515625" style="34"/>
    <col min="2" max="2" width="11.28515625" style="170"/>
    <col min="3" max="3" width="26.7109375" style="34" customWidth="1"/>
    <col min="4" max="4" width="15.28515625" style="34" customWidth="1"/>
    <col min="5" max="5" width="14.7109375" style="34" customWidth="1"/>
    <col min="6" max="7" width="14.140625" style="37" customWidth="1"/>
    <col min="8" max="8" width="11.7109375" style="34" customWidth="1"/>
    <col min="9" max="9" width="11" style="36" customWidth="1"/>
    <col min="10" max="10" width="11" customWidth="1"/>
    <col min="11" max="11" width="14.28515625" style="36" customWidth="1"/>
    <col min="12" max="16" width="11" style="36" customWidth="1"/>
    <col min="17" max="17" width="13.7109375" style="34" customWidth="1"/>
    <col min="18" max="18" width="13.28515625" style="34" customWidth="1"/>
    <col min="19" max="19" width="10.140625" style="39" customWidth="1"/>
    <col min="20" max="20" width="15.28515625" style="34" customWidth="1"/>
    <col min="21" max="21" width="14.28515625" style="170" customWidth="1"/>
    <col min="22" max="22" width="15.28515625" style="170" customWidth="1"/>
    <col min="23" max="24" width="14" style="170" customWidth="1"/>
    <col min="25" max="25" width="14.85546875" style="34" customWidth="1"/>
    <col min="26" max="26" width="13.140625" style="34" bestFit="1" customWidth="1"/>
    <col min="27" max="27" width="19.28515625" style="34" customWidth="1"/>
    <col min="28" max="28" width="11.28515625" style="34"/>
    <col min="29" max="29" width="21.7109375" style="34" customWidth="1"/>
    <col min="30" max="16384" width="11.28515625" style="34"/>
  </cols>
  <sheetData>
    <row r="1" spans="1:29" ht="15" customHeight="1" x14ac:dyDescent="0.2">
      <c r="A1" s="302"/>
      <c r="B1" s="302"/>
      <c r="C1" s="302"/>
      <c r="D1" s="302"/>
      <c r="E1" s="302"/>
      <c r="F1" s="303"/>
      <c r="G1" s="303"/>
      <c r="H1" s="302"/>
      <c r="I1" s="328" t="s">
        <v>131</v>
      </c>
      <c r="J1" s="328"/>
      <c r="K1" s="328" t="s">
        <v>132</v>
      </c>
      <c r="L1" s="328"/>
      <c r="M1" s="328" t="s">
        <v>133</v>
      </c>
      <c r="N1" s="328"/>
      <c r="O1" s="328" t="s">
        <v>206</v>
      </c>
      <c r="P1" s="328"/>
      <c r="Q1" s="302"/>
      <c r="R1" s="302"/>
      <c r="S1" s="306"/>
      <c r="T1" s="302"/>
      <c r="U1" s="302"/>
      <c r="V1" s="302"/>
      <c r="W1" s="302"/>
    </row>
    <row r="2" spans="1:29" ht="30" customHeight="1" x14ac:dyDescent="0.2">
      <c r="A2" s="302" t="s">
        <v>125</v>
      </c>
      <c r="B2" s="302" t="s">
        <v>227</v>
      </c>
      <c r="C2" s="302" t="s">
        <v>0</v>
      </c>
      <c r="D2" s="302" t="s">
        <v>76</v>
      </c>
      <c r="E2" s="302" t="s">
        <v>126</v>
      </c>
      <c r="F2" s="303" t="s">
        <v>1</v>
      </c>
      <c r="G2" s="303" t="s">
        <v>2</v>
      </c>
      <c r="H2" s="303" t="s">
        <v>3</v>
      </c>
      <c r="I2" s="304" t="s">
        <v>127</v>
      </c>
      <c r="J2" s="305" t="s">
        <v>81</v>
      </c>
      <c r="K2" s="304" t="s">
        <v>127</v>
      </c>
      <c r="L2" s="304" t="s">
        <v>81</v>
      </c>
      <c r="M2" s="304" t="s">
        <v>127</v>
      </c>
      <c r="N2" s="304" t="s">
        <v>81</v>
      </c>
      <c r="O2" s="304" t="s">
        <v>127</v>
      </c>
      <c r="P2" s="304" t="s">
        <v>81</v>
      </c>
      <c r="Q2" s="302" t="s">
        <v>128</v>
      </c>
      <c r="R2" s="302" t="s">
        <v>130</v>
      </c>
      <c r="S2" s="306" t="s">
        <v>77</v>
      </c>
      <c r="T2" s="302" t="s">
        <v>207</v>
      </c>
      <c r="U2" s="302" t="s">
        <v>76</v>
      </c>
      <c r="V2" s="302" t="s">
        <v>6</v>
      </c>
      <c r="W2" s="302" t="s">
        <v>6</v>
      </c>
      <c r="Y2" s="34" t="s">
        <v>137</v>
      </c>
      <c r="Z2" s="34" t="s">
        <v>138</v>
      </c>
      <c r="AA2" s="170" t="s">
        <v>218</v>
      </c>
    </row>
    <row r="3" spans="1:29" s="170" customFormat="1" ht="18" customHeight="1" x14ac:dyDescent="0.25">
      <c r="A3" s="318">
        <v>2524</v>
      </c>
      <c r="B3" s="318">
        <v>96407</v>
      </c>
      <c r="C3" s="319" t="s">
        <v>579</v>
      </c>
      <c r="D3" s="319" t="s">
        <v>169</v>
      </c>
      <c r="E3" s="319">
        <v>1105196407</v>
      </c>
      <c r="F3" s="320">
        <v>42950</v>
      </c>
      <c r="G3" s="172">
        <v>42951</v>
      </c>
      <c r="H3" s="171">
        <v>2</v>
      </c>
      <c r="I3" s="173"/>
      <c r="J3" s="322"/>
      <c r="K3" s="321"/>
      <c r="L3" s="321"/>
      <c r="M3" s="321"/>
      <c r="N3" s="321"/>
      <c r="O3" s="321"/>
      <c r="P3" s="321">
        <v>390</v>
      </c>
      <c r="Q3" s="175">
        <f>J3+L3+N3+P3</f>
        <v>390</v>
      </c>
      <c r="R3" s="175">
        <f>K3+M3+I3+O3</f>
        <v>0</v>
      </c>
      <c r="S3" s="173">
        <f>IF(H3=0,(Q3+R3/EERR!$D$2/1.19),(Q3+R3/EERR!$D$2/1.19)/H3)</f>
        <v>195</v>
      </c>
      <c r="T3" s="175">
        <f>R3+Q3*EERR!$D$2</f>
        <v>251253.6</v>
      </c>
      <c r="U3" s="170">
        <f>IFERROR(VLOOKUP(E3,Booking!$B$2:$R$100,16,FALSE),0)</f>
        <v>2</v>
      </c>
      <c r="V3" s="179">
        <f>SUMIF(Transbank!$A$2:$A$444,B3,Transbank!$L$2:$L$444)+(I3+M3)+(J3+N3)*EERR!$D$2</f>
        <v>513240</v>
      </c>
      <c r="W3" s="179">
        <f>V3/EERR!$D$2</f>
        <v>796.65962995157088</v>
      </c>
      <c r="X3" s="179">
        <f t="shared" ref="X3:X4" si="0">+V3-T3</f>
        <v>261986.4</v>
      </c>
      <c r="Y3" s="179">
        <f>(I3+K3+M3)/1.19</f>
        <v>0</v>
      </c>
      <c r="Z3" s="179">
        <f t="shared" ref="Z3" si="1">IF(AA3="b",(I3+K3+M3)*0.19,0)</f>
        <v>0</v>
      </c>
      <c r="AA3" s="170">
        <f>IFERROR(VLOOKUP(A3,#REF!,8,FALSE),0)</f>
        <v>0</v>
      </c>
      <c r="AB3" s="40">
        <f>Q3-AA3</f>
        <v>390</v>
      </c>
    </row>
    <row r="4" spans="1:29" s="170" customFormat="1" ht="15" customHeight="1" x14ac:dyDescent="0.25">
      <c r="A4" s="318">
        <v>2525</v>
      </c>
      <c r="B4" s="318">
        <v>16384</v>
      </c>
      <c r="C4" s="319" t="s">
        <v>580</v>
      </c>
      <c r="D4" s="319" t="s">
        <v>169</v>
      </c>
      <c r="E4" s="319">
        <v>1725616384</v>
      </c>
      <c r="F4" s="320">
        <v>42950</v>
      </c>
      <c r="G4" s="172">
        <v>42951</v>
      </c>
      <c r="H4" s="335">
        <v>1</v>
      </c>
      <c r="I4" s="173"/>
      <c r="J4" s="322"/>
      <c r="K4" s="321"/>
      <c r="L4" s="321"/>
      <c r="M4" s="321"/>
      <c r="N4" s="321"/>
      <c r="O4" s="321"/>
      <c r="P4" s="321">
        <v>175.5</v>
      </c>
      <c r="Q4" s="175">
        <f t="shared" ref="Q4:Q11" si="2">J4+L4+N4+P4</f>
        <v>175.5</v>
      </c>
      <c r="R4" s="175">
        <f t="shared" ref="R4:R11" si="3">K4+M4+I4+O4</f>
        <v>0</v>
      </c>
      <c r="S4" s="173">
        <f>IF(H4=0,(Q4+R4/EERR!$D$2/1.19),(Q4+R4/EERR!$D$2/1.19)/H4)</f>
        <v>175.5</v>
      </c>
      <c r="T4" s="175">
        <f>R4+Q4*EERR!$D$2</f>
        <v>113064.12</v>
      </c>
      <c r="U4" s="170">
        <f>IFERROR(VLOOKUP(E4,Booking!$B$2:$R$100,16,FALSE),0)</f>
        <v>0</v>
      </c>
      <c r="V4" s="179">
        <f>SUMIF(Transbank!$A$2:$A$444,B4,Transbank!$L$2:$L$444)+(I4+M4)+(J4+N4)*EERR!$D$2</f>
        <v>115808</v>
      </c>
      <c r="W4" s="179">
        <f>V4/EERR!$D$2</f>
        <v>179.75909598907239</v>
      </c>
      <c r="X4" s="179">
        <f t="shared" si="0"/>
        <v>2743.8800000000047</v>
      </c>
      <c r="Y4" s="179">
        <f t="shared" ref="Y4:Y56" si="4">(I4+K4+M4)/1.19</f>
        <v>0</v>
      </c>
      <c r="Z4" s="179">
        <f t="shared" ref="Z4:Z56" si="5">IF(AA4="b",(I4+K4+M4)*0.19,0)</f>
        <v>0</v>
      </c>
      <c r="AA4" s="170">
        <f>IFERROR(VLOOKUP(A4,#REF!,8,FALSE),0)</f>
        <v>0</v>
      </c>
      <c r="AB4" s="40">
        <f t="shared" ref="AB4:AB56" si="6">Q4-AA4</f>
        <v>175.5</v>
      </c>
    </row>
    <row r="5" spans="1:29" s="170" customFormat="1" ht="15" customHeight="1" x14ac:dyDescent="0.25">
      <c r="A5" s="318">
        <v>2526</v>
      </c>
      <c r="B5" s="318">
        <v>87377</v>
      </c>
      <c r="C5" s="319" t="s">
        <v>581</v>
      </c>
      <c r="D5" s="319" t="s">
        <v>169</v>
      </c>
      <c r="E5" s="319">
        <v>1199987377</v>
      </c>
      <c r="F5" s="320">
        <v>42951</v>
      </c>
      <c r="G5" s="172">
        <v>42956</v>
      </c>
      <c r="H5" s="171">
        <v>5</v>
      </c>
      <c r="I5" s="173"/>
      <c r="J5" s="322"/>
      <c r="K5" s="321"/>
      <c r="L5" s="321">
        <v>780</v>
      </c>
      <c r="M5" s="321"/>
      <c r="N5" s="321"/>
      <c r="O5" s="321"/>
      <c r="P5" s="321">
        <v>195</v>
      </c>
      <c r="Q5" s="175">
        <f t="shared" si="2"/>
        <v>975</v>
      </c>
      <c r="R5" s="175">
        <f t="shared" si="3"/>
        <v>0</v>
      </c>
      <c r="S5" s="173">
        <f>IF(H5=0,(Q5+R5/EERR!$D$2/1.19),(Q5+R5/EERR!$D$2/1.19)/H5)</f>
        <v>195</v>
      </c>
      <c r="T5" s="175">
        <f>R5+Q5*EERR!$D$2</f>
        <v>628134</v>
      </c>
      <c r="U5" s="170">
        <f>IFERROR(VLOOKUP(E5,Booking!$B$2:$R$100,16,FALSE),0)</f>
        <v>5</v>
      </c>
      <c r="V5" s="179">
        <f>SUMIF(Transbank!$A$2:$A$444,B5,Transbank!$L$2:$L$444)+(I5+M5)+(J5+N5)*EERR!$D$2</f>
        <v>630817.19999999995</v>
      </c>
      <c r="W5" s="179">
        <f>V5/EERR!$D$2</f>
        <v>979.16490748789261</v>
      </c>
      <c r="X5" s="179">
        <f t="shared" ref="X5:X56" si="7">+V5-T5</f>
        <v>2683.1999999999534</v>
      </c>
      <c r="Y5" s="179">
        <f t="shared" si="4"/>
        <v>0</v>
      </c>
      <c r="Z5" s="179">
        <f t="shared" si="5"/>
        <v>0</v>
      </c>
      <c r="AA5" s="170">
        <f>IFERROR(VLOOKUP(A5,#REF!,8,FALSE),0)</f>
        <v>0</v>
      </c>
      <c r="AB5" s="40">
        <f t="shared" si="6"/>
        <v>975</v>
      </c>
    </row>
    <row r="6" spans="1:29" s="170" customFormat="1" ht="15" customHeight="1" x14ac:dyDescent="0.25">
      <c r="A6" s="318">
        <v>2533</v>
      </c>
      <c r="B6" s="318">
        <v>82717</v>
      </c>
      <c r="C6" s="319" t="s">
        <v>582</v>
      </c>
      <c r="D6" s="319" t="s">
        <v>169</v>
      </c>
      <c r="E6" s="319">
        <v>1763382717</v>
      </c>
      <c r="F6" s="320">
        <v>42951</v>
      </c>
      <c r="G6" s="320">
        <v>42957</v>
      </c>
      <c r="H6" s="319">
        <v>6</v>
      </c>
      <c r="I6" s="321"/>
      <c r="J6" s="322"/>
      <c r="K6" s="321"/>
      <c r="L6" s="321">
        <v>877.5</v>
      </c>
      <c r="M6" s="321"/>
      <c r="N6" s="321"/>
      <c r="O6" s="321"/>
      <c r="P6" s="321">
        <v>175.5</v>
      </c>
      <c r="Q6" s="175">
        <f t="shared" si="2"/>
        <v>1053</v>
      </c>
      <c r="R6" s="175">
        <f t="shared" si="3"/>
        <v>0</v>
      </c>
      <c r="S6" s="173">
        <f>IF(H6=0,(Q6+R6/EERR!$D$2/1.19),(Q6+R6/EERR!$D$2/1.19)/H6)</f>
        <v>175.5</v>
      </c>
      <c r="T6" s="175">
        <f>R6+Q6*EERR!$D$2</f>
        <v>678384.72</v>
      </c>
      <c r="U6" s="170">
        <f>IFERROR(VLOOKUP(E6,Booking!$B$2:$R$100,16,FALSE),0)</f>
        <v>6</v>
      </c>
      <c r="V6" s="179">
        <f>SUMIF(Transbank!$A$2:$A$444,B6,Transbank!$L$2:$L$444)+(I6+M6)+(J6+N6)*EERR!$D$2</f>
        <v>681450.72</v>
      </c>
      <c r="W6" s="179">
        <f>V6/EERR!$D$2</f>
        <v>1057.7590959890724</v>
      </c>
      <c r="X6" s="179">
        <f t="shared" si="7"/>
        <v>3066</v>
      </c>
      <c r="Y6" s="179">
        <f t="shared" si="4"/>
        <v>0</v>
      </c>
      <c r="Z6" s="179">
        <f t="shared" si="5"/>
        <v>0</v>
      </c>
      <c r="AA6" s="170">
        <f>IFERROR(VLOOKUP(A6,#REF!,8,FALSE),0)</f>
        <v>0</v>
      </c>
      <c r="AB6" s="40">
        <f t="shared" si="6"/>
        <v>1053</v>
      </c>
      <c r="AC6" s="37"/>
    </row>
    <row r="7" spans="1:29" s="170" customFormat="1" ht="15" customHeight="1" x14ac:dyDescent="0.25">
      <c r="A7" s="329">
        <v>2528</v>
      </c>
      <c r="B7" s="329">
        <v>67801</v>
      </c>
      <c r="C7" s="323" t="s">
        <v>583</v>
      </c>
      <c r="D7" s="323" t="s">
        <v>169</v>
      </c>
      <c r="E7" s="323">
        <v>2097167801</v>
      </c>
      <c r="F7" s="330">
        <v>42952</v>
      </c>
      <c r="G7" s="330">
        <v>42958</v>
      </c>
      <c r="H7" s="323">
        <v>6</v>
      </c>
      <c r="I7" s="331"/>
      <c r="J7" s="332">
        <v>877.5</v>
      </c>
      <c r="K7" s="331"/>
      <c r="L7" s="331"/>
      <c r="M7" s="331"/>
      <c r="N7" s="331"/>
      <c r="O7" s="331"/>
      <c r="P7" s="331">
        <v>175.5</v>
      </c>
      <c r="Q7" s="333">
        <f t="shared" si="2"/>
        <v>1053</v>
      </c>
      <c r="R7" s="333">
        <f t="shared" si="3"/>
        <v>0</v>
      </c>
      <c r="S7" s="102">
        <f>IF(H7=0,(Q7+R7/EERR!$D$2/1.19),(Q7+R7/EERR!$D$2/1.19)/H7)</f>
        <v>175.5</v>
      </c>
      <c r="T7" s="175">
        <f>R7+Q7*EERR!$D$2</f>
        <v>678384.72</v>
      </c>
      <c r="U7" s="170">
        <f>IFERROR(VLOOKUP(E7,Booking!$B$2:$R$100,16,FALSE),0)</f>
        <v>6</v>
      </c>
      <c r="V7" s="179">
        <f>SUMIF(Transbank!$A$2:$A$444,B7,Transbank!$L$2:$L$444)+(I7+M7)+(J7+N7)*EERR!$D$2</f>
        <v>681128.6</v>
      </c>
      <c r="W7" s="179">
        <f>V7/EERR!$D$2</f>
        <v>1057.2590959890724</v>
      </c>
      <c r="X7" s="179">
        <f>V7-T7</f>
        <v>2743.8800000000047</v>
      </c>
      <c r="Y7" s="179">
        <f t="shared" si="4"/>
        <v>0</v>
      </c>
      <c r="Z7" s="179">
        <f t="shared" si="5"/>
        <v>0</v>
      </c>
      <c r="AA7" s="170">
        <f>IFERROR(VLOOKUP(A7,#REF!,8,FALSE),0)</f>
        <v>0</v>
      </c>
      <c r="AB7" s="40">
        <f t="shared" si="6"/>
        <v>1053</v>
      </c>
    </row>
    <row r="8" spans="1:29" s="170" customFormat="1" ht="15" customHeight="1" x14ac:dyDescent="0.25">
      <c r="A8" s="318">
        <v>2529</v>
      </c>
      <c r="B8" s="318">
        <v>84997</v>
      </c>
      <c r="C8" s="319" t="s">
        <v>584</v>
      </c>
      <c r="D8" s="319" t="s">
        <v>169</v>
      </c>
      <c r="E8" s="319">
        <v>1883984997</v>
      </c>
      <c r="F8" s="320">
        <v>42953</v>
      </c>
      <c r="G8" s="320">
        <v>42956</v>
      </c>
      <c r="H8" s="319">
        <v>3</v>
      </c>
      <c r="I8" s="321"/>
      <c r="J8" s="322"/>
      <c r="K8" s="321"/>
      <c r="L8" s="321">
        <v>390</v>
      </c>
      <c r="M8" s="321"/>
      <c r="N8" s="321"/>
      <c r="O8" s="321"/>
      <c r="P8" s="321">
        <v>195</v>
      </c>
      <c r="Q8" s="175">
        <f t="shared" si="2"/>
        <v>585</v>
      </c>
      <c r="R8" s="175">
        <f t="shared" si="3"/>
        <v>0</v>
      </c>
      <c r="S8" s="173">
        <f>IF(H8=0,(Q8+R8/EERR!$D$2/1.19),(Q8+R8/EERR!$D$2/1.19)/H8)</f>
        <v>195</v>
      </c>
      <c r="T8" s="175">
        <f>R8+Q8*EERR!$D$2</f>
        <v>376880.4</v>
      </c>
      <c r="U8" s="170">
        <f>IFERROR(VLOOKUP(E8,Booking!$B$2:$R$100,16,FALSE),0)</f>
        <v>3</v>
      </c>
      <c r="V8" s="179">
        <f>SUMIF(Transbank!$A$2:$A$444,B8,Transbank!$L$2:$L$444)+(I8+M8)+(J8+N8)*EERR!$D$2</f>
        <v>382563.6</v>
      </c>
      <c r="W8" s="179">
        <f>V8/EERR!$D$2</f>
        <v>593.82155718365823</v>
      </c>
      <c r="X8" s="179">
        <f t="shared" si="7"/>
        <v>5683.1999999999534</v>
      </c>
      <c r="Y8" s="179">
        <f t="shared" si="4"/>
        <v>0</v>
      </c>
      <c r="Z8" s="179">
        <f t="shared" si="5"/>
        <v>0</v>
      </c>
      <c r="AA8" s="170">
        <f>IFERROR(VLOOKUP(A8,#REF!,8,FALSE),0)</f>
        <v>0</v>
      </c>
      <c r="AB8" s="40">
        <f t="shared" si="6"/>
        <v>585</v>
      </c>
    </row>
    <row r="9" spans="1:29" s="170" customFormat="1" ht="15" customHeight="1" x14ac:dyDescent="0.25">
      <c r="A9" s="318" t="s">
        <v>849</v>
      </c>
      <c r="B9" s="318">
        <v>6986</v>
      </c>
      <c r="C9" s="319" t="s">
        <v>579</v>
      </c>
      <c r="D9" s="319" t="s">
        <v>169</v>
      </c>
      <c r="E9" s="319">
        <v>1582206986</v>
      </c>
      <c r="F9" s="320">
        <v>42953</v>
      </c>
      <c r="G9" s="320">
        <v>42957</v>
      </c>
      <c r="H9" s="319">
        <v>8</v>
      </c>
      <c r="I9" s="321"/>
      <c r="J9" s="322">
        <v>585</v>
      </c>
      <c r="K9" s="321"/>
      <c r="L9" s="321">
        <v>585</v>
      </c>
      <c r="M9" s="321"/>
      <c r="N9" s="321"/>
      <c r="O9" s="321"/>
      <c r="P9" s="321">
        <v>390</v>
      </c>
      <c r="Q9" s="175">
        <f t="shared" si="2"/>
        <v>1560</v>
      </c>
      <c r="R9" s="175">
        <f t="shared" si="3"/>
        <v>0</v>
      </c>
      <c r="S9" s="173">
        <f>IF(H9=0,(Q9+R9/EERR!$D$2/1.19),(Q9+R9/EERR!$D$2/1.19)/H9)</f>
        <v>195</v>
      </c>
      <c r="T9" s="175">
        <f>R9+Q9*EERR!$D$2</f>
        <v>1005014.4</v>
      </c>
      <c r="U9" s="170">
        <f>IFERROR(VLOOKUP(E9,Booking!$B$2:$R$100,16,FALSE),0)</f>
        <v>8</v>
      </c>
      <c r="V9" s="179">
        <f>SUMIF(Transbank!$A$2:$A$444,B9,Transbank!$L$2:$L$444)+(I9+M9)+(J9+N9)*EERR!$D$2</f>
        <v>753760.8</v>
      </c>
      <c r="W9" s="179">
        <f>V9/EERR!$D$2</f>
        <v>1170</v>
      </c>
      <c r="X9" s="179">
        <f t="shared" si="7"/>
        <v>-251253.59999999998</v>
      </c>
      <c r="Y9" s="179">
        <f t="shared" si="4"/>
        <v>0</v>
      </c>
      <c r="Z9" s="179">
        <f t="shared" si="5"/>
        <v>0</v>
      </c>
      <c r="AA9" s="170">
        <f>IFERROR(VLOOKUP(A9,#REF!,8,FALSE),0)</f>
        <v>0</v>
      </c>
      <c r="AB9" s="40">
        <f t="shared" si="6"/>
        <v>1560</v>
      </c>
    </row>
    <row r="10" spans="1:29" s="170" customFormat="1" ht="15" customHeight="1" x14ac:dyDescent="0.25">
      <c r="A10" s="318">
        <v>2538</v>
      </c>
      <c r="B10" s="318">
        <v>78620</v>
      </c>
      <c r="C10" s="319" t="s">
        <v>585</v>
      </c>
      <c r="D10" s="319" t="s">
        <v>169</v>
      </c>
      <c r="E10" s="319">
        <v>1234178620</v>
      </c>
      <c r="F10" s="320">
        <v>42953</v>
      </c>
      <c r="G10" s="320">
        <v>42958</v>
      </c>
      <c r="H10" s="319">
        <v>5</v>
      </c>
      <c r="I10" s="321"/>
      <c r="J10" s="322">
        <v>780</v>
      </c>
      <c r="K10" s="321"/>
      <c r="L10" s="321"/>
      <c r="M10" s="321"/>
      <c r="N10" s="321"/>
      <c r="O10" s="321"/>
      <c r="P10" s="321">
        <v>195</v>
      </c>
      <c r="Q10" s="175">
        <f t="shared" si="2"/>
        <v>975</v>
      </c>
      <c r="R10" s="175">
        <f t="shared" si="3"/>
        <v>0</v>
      </c>
      <c r="S10" s="173">
        <f>IF(H10=0,(Q10+R10/EERR!$D$2/1.19),(Q10+R10/EERR!$D$2/1.19)/H10)</f>
        <v>195</v>
      </c>
      <c r="T10" s="175">
        <f>R10+Q10*EERR!$D$2</f>
        <v>628134</v>
      </c>
      <c r="U10" s="170">
        <f>IFERROR(VLOOKUP(E10,Booking!$B$2:$R$100,16,FALSE),0)</f>
        <v>5</v>
      </c>
      <c r="V10" s="179">
        <f>SUMIF(Transbank!$A$2:$A$444,B10,Transbank!$L$2:$L$444)+(I10+M10)+(J10+N10)*EERR!$D$2</f>
        <v>630817.19999999995</v>
      </c>
      <c r="W10" s="179">
        <f>V10/EERR!$D$2</f>
        <v>979.16490748789261</v>
      </c>
      <c r="X10" s="179">
        <f t="shared" si="7"/>
        <v>2683.1999999999534</v>
      </c>
      <c r="Y10" s="179">
        <f t="shared" si="4"/>
        <v>0</v>
      </c>
      <c r="Z10" s="179">
        <f t="shared" si="5"/>
        <v>0</v>
      </c>
      <c r="AA10" s="170">
        <f>IFERROR(VLOOKUP(A10,#REF!,8,FALSE),0)</f>
        <v>0</v>
      </c>
      <c r="AB10" s="40">
        <f t="shared" si="6"/>
        <v>975</v>
      </c>
    </row>
    <row r="11" spans="1:29" s="170" customFormat="1" ht="15" customHeight="1" x14ac:dyDescent="0.25">
      <c r="A11" s="318">
        <v>2535</v>
      </c>
      <c r="B11" s="318">
        <v>66393</v>
      </c>
      <c r="C11" s="319" t="s">
        <v>586</v>
      </c>
      <c r="D11" s="319" t="s">
        <v>169</v>
      </c>
      <c r="E11" s="319">
        <v>2083966393</v>
      </c>
      <c r="F11" s="320">
        <v>42956</v>
      </c>
      <c r="G11" s="320">
        <v>42959</v>
      </c>
      <c r="H11" s="319">
        <v>9</v>
      </c>
      <c r="I11" s="321"/>
      <c r="J11" s="322">
        <v>1245</v>
      </c>
      <c r="K11" s="321"/>
      <c r="L11" s="321"/>
      <c r="M11" s="321"/>
      <c r="N11" s="321"/>
      <c r="O11" s="321"/>
      <c r="P11" s="321">
        <v>585</v>
      </c>
      <c r="Q11" s="175">
        <f t="shared" si="2"/>
        <v>1830</v>
      </c>
      <c r="R11" s="175">
        <f t="shared" si="3"/>
        <v>0</v>
      </c>
      <c r="S11" s="173">
        <f>IF(H11=0,(Q11+R11/EERR!$D$2/1.19),(Q11+R11/EERR!$D$2/1.19)/H11)</f>
        <v>203.33333333333334</v>
      </c>
      <c r="T11" s="175">
        <f>R11+Q11*EERR!$D$2</f>
        <v>1178959.2</v>
      </c>
      <c r="U11" s="170">
        <f>IFERROR(VLOOKUP(E11,Booking!$B$2:$R$100,16,FALSE),0)</f>
        <v>9</v>
      </c>
      <c r="V11" s="179">
        <f>SUMIF(Transbank!$A$2:$A$444,B11,Transbank!$L$2:$L$444)+(I11+M11)+(J11+N11)*EERR!$D$2</f>
        <v>1187008.8</v>
      </c>
      <c r="W11" s="179">
        <f>V11/EERR!$D$2</f>
        <v>1842.4947224636783</v>
      </c>
      <c r="X11" s="179">
        <f t="shared" si="7"/>
        <v>8049.6000000000931</v>
      </c>
      <c r="Y11" s="179">
        <f t="shared" si="4"/>
        <v>0</v>
      </c>
      <c r="Z11" s="179">
        <f t="shared" si="5"/>
        <v>0</v>
      </c>
      <c r="AA11" s="170">
        <f>IFERROR(VLOOKUP(A11,#REF!,8,FALSE),0)</f>
        <v>0</v>
      </c>
      <c r="AB11" s="40">
        <f t="shared" si="6"/>
        <v>1830</v>
      </c>
    </row>
    <row r="12" spans="1:29" s="170" customFormat="1" ht="15" customHeight="1" x14ac:dyDescent="0.25">
      <c r="A12" s="329">
        <v>2537</v>
      </c>
      <c r="B12" s="329">
        <v>78231</v>
      </c>
      <c r="C12" s="323" t="s">
        <v>587</v>
      </c>
      <c r="D12" s="323" t="s">
        <v>169</v>
      </c>
      <c r="E12" s="323">
        <v>1411678231</v>
      </c>
      <c r="F12" s="330">
        <v>42958</v>
      </c>
      <c r="G12" s="330">
        <v>42959</v>
      </c>
      <c r="H12" s="323">
        <v>1</v>
      </c>
      <c r="I12" s="331"/>
      <c r="J12" s="332"/>
      <c r="K12" s="331"/>
      <c r="L12" s="331">
        <v>220</v>
      </c>
      <c r="M12" s="331"/>
      <c r="N12" s="331"/>
      <c r="O12" s="331"/>
      <c r="P12" s="331"/>
      <c r="Q12" s="333">
        <f t="shared" ref="Q12:Q52" si="8">J12+L12+N12+P12</f>
        <v>220</v>
      </c>
      <c r="R12" s="333">
        <f t="shared" ref="R12:R52" si="9">K12+M12+I12+O12</f>
        <v>0</v>
      </c>
      <c r="S12" s="102">
        <f>IF(H12=0,(Q12+R12/EERR!$D$2/1.19),(Q12+R12/EERR!$D$2/1.19)/H12)</f>
        <v>220</v>
      </c>
      <c r="T12" s="175">
        <f>R12+Q12*EERR!$D$2</f>
        <v>141732.79999999999</v>
      </c>
      <c r="U12" s="170">
        <f>IFERROR(VLOOKUP(E12,Booking!$B$2:$R$100,16,FALSE),0)</f>
        <v>1</v>
      </c>
      <c r="V12" s="179">
        <f>SUMIF(Transbank!$A$2:$A$444,B12,Transbank!$L$2:$L$444)+(I12+M12)+(J12+N12)*EERR!$D$2</f>
        <v>141732.79999999999</v>
      </c>
      <c r="W12" s="179">
        <f>V12/EERR!$D$2</f>
        <v>219.99999999999997</v>
      </c>
      <c r="X12" s="179">
        <f t="shared" ref="X12:X52" si="10">+V12-T12</f>
        <v>0</v>
      </c>
      <c r="Y12" s="179">
        <f t="shared" ref="Y12:Y52" si="11">(I12+K12+M12)/1.19</f>
        <v>0</v>
      </c>
      <c r="Z12" s="179">
        <f t="shared" ref="Z12:Z52" si="12">IF(AA12="b",(I12+K12+M12)*0.19,0)</f>
        <v>0</v>
      </c>
      <c r="AA12" s="170">
        <f>IFERROR(VLOOKUP(A12,#REF!,8,FALSE),0)</f>
        <v>0</v>
      </c>
      <c r="AB12" s="40">
        <f t="shared" ref="AB12:AB52" si="13">Q12-AA12</f>
        <v>220</v>
      </c>
    </row>
    <row r="13" spans="1:29" s="170" customFormat="1" ht="15" customHeight="1" x14ac:dyDescent="0.25">
      <c r="A13" s="318">
        <v>2539</v>
      </c>
      <c r="B13" s="318">
        <v>42605</v>
      </c>
      <c r="C13" s="319" t="s">
        <v>588</v>
      </c>
      <c r="D13" s="319" t="s">
        <v>169</v>
      </c>
      <c r="E13" s="319">
        <v>1973042605</v>
      </c>
      <c r="F13" s="320">
        <v>42959</v>
      </c>
      <c r="G13" s="320">
        <v>42969</v>
      </c>
      <c r="H13" s="319">
        <v>10</v>
      </c>
      <c r="I13" s="321"/>
      <c r="J13" s="322">
        <v>1805</v>
      </c>
      <c r="K13" s="321"/>
      <c r="L13" s="321"/>
      <c r="M13" s="321"/>
      <c r="N13" s="321"/>
      <c r="O13" s="321"/>
      <c r="P13" s="321">
        <v>220</v>
      </c>
      <c r="Q13" s="175">
        <f t="shared" si="8"/>
        <v>2025</v>
      </c>
      <c r="R13" s="175">
        <f t="shared" si="9"/>
        <v>0</v>
      </c>
      <c r="S13" s="173">
        <f>IF(H13=0,(Q13+R13/EERR!$D$2/1.19),(Q13+R13/EERR!$D$2/1.19)/H13)</f>
        <v>202.5</v>
      </c>
      <c r="T13" s="175">
        <f>R13+Q13*EERR!$D$2</f>
        <v>1304586</v>
      </c>
      <c r="U13" s="170">
        <f>IFERROR(VLOOKUP(E13,Booking!$B$2:$R$100,16,FALSE),0)</f>
        <v>10</v>
      </c>
      <c r="V13" s="179">
        <f>SUMIF(Transbank!$A$2:$A$444,B13,Transbank!$L$2:$L$444)+(I13+M13)+(J13+N13)*EERR!$D$2</f>
        <v>1307613.2</v>
      </c>
      <c r="W13" s="179">
        <f>V13/EERR!$D$2</f>
        <v>2029.6988699863405</v>
      </c>
      <c r="X13" s="179">
        <f t="shared" si="10"/>
        <v>3027.1999999999534</v>
      </c>
      <c r="Y13" s="179">
        <f t="shared" si="11"/>
        <v>0</v>
      </c>
      <c r="Z13" s="179">
        <f t="shared" si="12"/>
        <v>0</v>
      </c>
      <c r="AA13" s="170">
        <f>IFERROR(VLOOKUP(A13,#REF!,8,FALSE),0)</f>
        <v>0</v>
      </c>
      <c r="AB13" s="40">
        <f t="shared" si="13"/>
        <v>2025</v>
      </c>
    </row>
    <row r="14" spans="1:29" s="170" customFormat="1" ht="15" customHeight="1" x14ac:dyDescent="0.25">
      <c r="A14" s="318">
        <v>2543</v>
      </c>
      <c r="B14" s="318">
        <v>83416</v>
      </c>
      <c r="C14" s="319" t="s">
        <v>589</v>
      </c>
      <c r="D14" s="319" t="s">
        <v>169</v>
      </c>
      <c r="E14" s="319">
        <v>1722403416</v>
      </c>
      <c r="F14" s="320">
        <v>42959</v>
      </c>
      <c r="G14" s="320">
        <v>42960</v>
      </c>
      <c r="H14" s="319">
        <v>2</v>
      </c>
      <c r="I14" s="321"/>
      <c r="J14" s="322"/>
      <c r="K14" s="321"/>
      <c r="L14" s="321">
        <v>220</v>
      </c>
      <c r="M14" s="321"/>
      <c r="N14" s="321"/>
      <c r="O14" s="321"/>
      <c r="P14" s="321">
        <v>220</v>
      </c>
      <c r="Q14" s="175">
        <f t="shared" si="8"/>
        <v>440</v>
      </c>
      <c r="R14" s="175">
        <f t="shared" si="9"/>
        <v>0</v>
      </c>
      <c r="S14" s="173">
        <f>IF(H14=0,(Q14+R14/EERR!$D$2/1.19),(Q14+R14/EERR!$D$2/1.19)/H14)</f>
        <v>220</v>
      </c>
      <c r="T14" s="175">
        <f>R14+Q14*EERR!$D$2</f>
        <v>283465.59999999998</v>
      </c>
      <c r="U14" s="170">
        <f>IFERROR(VLOOKUP(E14,Booking!$B$2:$R$100,16,FALSE),0)</f>
        <v>2</v>
      </c>
      <c r="V14" s="179">
        <f>SUMIF(Transbank!$A$2:$A$444,B14,Transbank!$L$2:$L$444)+(I14+M14)+(J14+N14)*EERR!$D$2</f>
        <v>286492.79999999999</v>
      </c>
      <c r="W14" s="179">
        <f>V14/EERR!$D$2</f>
        <v>444.69886998634047</v>
      </c>
      <c r="X14" s="179">
        <f t="shared" si="10"/>
        <v>3027.2000000000116</v>
      </c>
      <c r="Y14" s="179">
        <f t="shared" si="11"/>
        <v>0</v>
      </c>
      <c r="Z14" s="179">
        <f t="shared" si="12"/>
        <v>0</v>
      </c>
      <c r="AA14" s="170">
        <f>IFERROR(VLOOKUP(A14,#REF!,8,FALSE),0)</f>
        <v>0</v>
      </c>
      <c r="AB14" s="40">
        <f t="shared" si="13"/>
        <v>440</v>
      </c>
    </row>
    <row r="15" spans="1:29" s="170" customFormat="1" ht="15" customHeight="1" x14ac:dyDescent="0.25">
      <c r="A15" s="318">
        <v>2541</v>
      </c>
      <c r="B15" s="318">
        <v>38497</v>
      </c>
      <c r="C15" s="319" t="s">
        <v>590</v>
      </c>
      <c r="D15" s="319" t="s">
        <v>169</v>
      </c>
      <c r="E15" s="319">
        <v>1812138497</v>
      </c>
      <c r="F15" s="320">
        <v>42960</v>
      </c>
      <c r="G15" s="320">
        <v>42965</v>
      </c>
      <c r="H15" s="319">
        <v>5</v>
      </c>
      <c r="I15" s="321"/>
      <c r="J15" s="322"/>
      <c r="K15" s="321"/>
      <c r="L15" s="321">
        <v>805</v>
      </c>
      <c r="M15" s="321"/>
      <c r="N15" s="321"/>
      <c r="O15" s="321"/>
      <c r="P15" s="321">
        <v>220</v>
      </c>
      <c r="Q15" s="175">
        <f t="shared" si="8"/>
        <v>1025</v>
      </c>
      <c r="R15" s="175">
        <f t="shared" si="9"/>
        <v>0</v>
      </c>
      <c r="S15" s="173">
        <f>IF(H15=0,(Q15+R15/EERR!$D$2/1.19),(Q15+R15/EERR!$D$2/1.19)/H15)</f>
        <v>205</v>
      </c>
      <c r="T15" s="175">
        <f>R15+Q15*EERR!$D$2</f>
        <v>660346</v>
      </c>
      <c r="U15" s="170">
        <f>IFERROR(VLOOKUP(E15,Booking!$B$2:$R$100,16,FALSE),0)</f>
        <v>5</v>
      </c>
      <c r="V15" s="179">
        <f>SUMIF(Transbank!$A$2:$A$444,B15,Transbank!$L$2:$L$444)+(I15+M15)+(J15+N15)*EERR!$D$2</f>
        <v>663373.19999999995</v>
      </c>
      <c r="W15" s="179">
        <f>V15/EERR!$D$2</f>
        <v>1029.6988699863405</v>
      </c>
      <c r="X15" s="179">
        <f t="shared" si="10"/>
        <v>3027.1999999999534</v>
      </c>
      <c r="Y15" s="179">
        <f t="shared" si="11"/>
        <v>0</v>
      </c>
      <c r="Z15" s="179">
        <f t="shared" si="12"/>
        <v>0</v>
      </c>
      <c r="AA15" s="170">
        <f>IFERROR(VLOOKUP(A15,#REF!,8,FALSE),0)</f>
        <v>0</v>
      </c>
      <c r="AB15" s="40">
        <f t="shared" si="13"/>
        <v>1025</v>
      </c>
    </row>
    <row r="16" spans="1:29" s="170" customFormat="1" ht="15" customHeight="1" x14ac:dyDescent="0.25">
      <c r="A16" s="318">
        <v>2544</v>
      </c>
      <c r="B16" s="318">
        <v>4042</v>
      </c>
      <c r="C16" s="319" t="s">
        <v>591</v>
      </c>
      <c r="D16" s="319" t="s">
        <v>169</v>
      </c>
      <c r="E16" s="319">
        <v>2004404042</v>
      </c>
      <c r="F16" s="320">
        <v>42961</v>
      </c>
      <c r="G16" s="320">
        <v>42967</v>
      </c>
      <c r="H16" s="319">
        <v>6</v>
      </c>
      <c r="I16" s="321"/>
      <c r="J16" s="322"/>
      <c r="K16" s="321"/>
      <c r="L16" s="321">
        <v>575</v>
      </c>
      <c r="M16" s="321"/>
      <c r="N16" s="321"/>
      <c r="O16" s="321"/>
      <c r="P16" s="321">
        <v>220</v>
      </c>
      <c r="Q16" s="175">
        <f t="shared" si="8"/>
        <v>795</v>
      </c>
      <c r="R16" s="175">
        <f t="shared" si="9"/>
        <v>0</v>
      </c>
      <c r="S16" s="301">
        <f>IF(H16=0,(Q16+R16/EERR!$D$2/1.19),(Q16+R16/EERR!$D$2/1.19)/H16)</f>
        <v>132.5</v>
      </c>
      <c r="T16" s="175">
        <f>R16+Q16*EERR!$D$2</f>
        <v>512170.8</v>
      </c>
      <c r="U16" s="170">
        <f>IFERROR(VLOOKUP(E16,Booking!$B$2:$R$100,16,FALSE),0)</f>
        <v>6</v>
      </c>
      <c r="V16" s="179">
        <f>SUMIF(Transbank!$A$2:$A$444,B16,Transbank!$L$2:$L$444)+(I16+M16)+(J16+N16)*EERR!$D$2</f>
        <v>515198</v>
      </c>
      <c r="W16" s="179">
        <f>V16/EERR!$D$2</f>
        <v>799.69886998634047</v>
      </c>
      <c r="X16" s="179">
        <f t="shared" si="10"/>
        <v>3027.2000000000116</v>
      </c>
      <c r="Y16" s="179">
        <f t="shared" si="11"/>
        <v>0</v>
      </c>
      <c r="Z16" s="179">
        <f t="shared" si="12"/>
        <v>0</v>
      </c>
      <c r="AA16" s="170">
        <f>IFERROR(VLOOKUP(A16,#REF!,8,FALSE),0)</f>
        <v>0</v>
      </c>
      <c r="AB16" s="40">
        <f t="shared" si="13"/>
        <v>795</v>
      </c>
    </row>
    <row r="17" spans="1:28" s="170" customFormat="1" ht="15" customHeight="1" x14ac:dyDescent="0.25">
      <c r="A17" s="318">
        <v>2546</v>
      </c>
      <c r="B17" s="318">
        <v>97042</v>
      </c>
      <c r="C17" s="319" t="s">
        <v>592</v>
      </c>
      <c r="D17" s="319" t="s">
        <v>169</v>
      </c>
      <c r="E17" s="319">
        <v>1558997042</v>
      </c>
      <c r="F17" s="320">
        <v>42962</v>
      </c>
      <c r="G17" s="320">
        <v>42965</v>
      </c>
      <c r="H17" s="319">
        <v>3</v>
      </c>
      <c r="I17" s="321"/>
      <c r="J17" s="322"/>
      <c r="K17" s="321"/>
      <c r="L17" s="321">
        <v>390</v>
      </c>
      <c r="M17" s="321"/>
      <c r="N17" s="321"/>
      <c r="O17" s="321"/>
      <c r="P17" s="321">
        <v>195</v>
      </c>
      <c r="Q17" s="175">
        <f t="shared" si="8"/>
        <v>585</v>
      </c>
      <c r="R17" s="175">
        <f t="shared" si="9"/>
        <v>0</v>
      </c>
      <c r="S17" s="173">
        <f>IF(H17=0,(Q17+R17/EERR!$D$2/1.19),(Q17+R17/EERR!$D$2/1.19)/H17)</f>
        <v>195</v>
      </c>
      <c r="T17" s="175">
        <f>R17+Q17*EERR!$D$2</f>
        <v>376880.4</v>
      </c>
      <c r="U17" s="170">
        <f>IFERROR(VLOOKUP(E17,Booking!$B$2:$R$100,16,FALSE),0)</f>
        <v>3</v>
      </c>
      <c r="V17" s="179">
        <f>SUMIF(Transbank!$A$2:$A$444,B17,Transbank!$L$2:$L$444)+(I17+M17)+(J17+N17)*EERR!$D$2</f>
        <v>384930</v>
      </c>
      <c r="W17" s="179">
        <f>V17/EERR!$D$2</f>
        <v>597.49472246367816</v>
      </c>
      <c r="X17" s="179">
        <f t="shared" si="10"/>
        <v>8049.5999999999767</v>
      </c>
      <c r="Y17" s="179">
        <f t="shared" si="11"/>
        <v>0</v>
      </c>
      <c r="Z17" s="179">
        <f t="shared" si="12"/>
        <v>0</v>
      </c>
      <c r="AA17" s="170">
        <f>IFERROR(VLOOKUP(A17,#REF!,8,FALSE),0)</f>
        <v>0</v>
      </c>
      <c r="AB17" s="40">
        <f t="shared" si="13"/>
        <v>585</v>
      </c>
    </row>
    <row r="18" spans="1:28" s="170" customFormat="1" ht="15" customHeight="1" x14ac:dyDescent="0.25">
      <c r="A18" s="318">
        <v>2547</v>
      </c>
      <c r="B18" s="318">
        <v>8872</v>
      </c>
      <c r="C18" s="319" t="s">
        <v>593</v>
      </c>
      <c r="D18" s="319" t="s">
        <v>169</v>
      </c>
      <c r="E18" s="319">
        <v>1156708872</v>
      </c>
      <c r="F18" s="320">
        <v>42964</v>
      </c>
      <c r="G18" s="320">
        <v>42970</v>
      </c>
      <c r="H18" s="319">
        <v>6</v>
      </c>
      <c r="I18" s="321"/>
      <c r="J18" s="322"/>
      <c r="K18" s="321"/>
      <c r="L18" s="321">
        <v>975</v>
      </c>
      <c r="M18" s="321"/>
      <c r="N18" s="321"/>
      <c r="O18" s="321"/>
      <c r="P18" s="321">
        <v>195</v>
      </c>
      <c r="Q18" s="175">
        <f t="shared" si="8"/>
        <v>1170</v>
      </c>
      <c r="R18" s="175">
        <f t="shared" si="9"/>
        <v>0</v>
      </c>
      <c r="S18" s="173">
        <f>IF(H18=0,(Q18+R18/EERR!$D$2/1.19),(Q18+R18/EERR!$D$2/1.19)/H18)</f>
        <v>195</v>
      </c>
      <c r="T18" s="175">
        <f>R18+Q18*EERR!$D$2</f>
        <v>753760.8</v>
      </c>
      <c r="U18" s="170">
        <f>IFERROR(VLOOKUP(E18,Booking!$B$2:$R$100,16,FALSE),0)</f>
        <v>6</v>
      </c>
      <c r="V18" s="179">
        <f>SUMIF(Transbank!$A$2:$A$444,B18,Transbank!$L$2:$L$444)+(I18+M18)+(J18+N18)*EERR!$D$2</f>
        <v>756444</v>
      </c>
      <c r="W18" s="179">
        <f>V18/EERR!$D$2</f>
        <v>1174.1649074878926</v>
      </c>
      <c r="X18" s="179">
        <f t="shared" si="10"/>
        <v>2683.1999999999534</v>
      </c>
      <c r="Y18" s="179">
        <f t="shared" si="11"/>
        <v>0</v>
      </c>
      <c r="Z18" s="179">
        <f t="shared" si="12"/>
        <v>0</v>
      </c>
      <c r="AA18" s="170">
        <f>IFERROR(VLOOKUP(A18,#REF!,8,FALSE),0)</f>
        <v>0</v>
      </c>
      <c r="AB18" s="40">
        <f t="shared" si="13"/>
        <v>1170</v>
      </c>
    </row>
    <row r="19" spans="1:28" s="170" customFormat="1" ht="15" customHeight="1" x14ac:dyDescent="0.25">
      <c r="A19" s="318">
        <v>2548</v>
      </c>
      <c r="B19" s="318">
        <v>95557</v>
      </c>
      <c r="C19" s="319" t="s">
        <v>594</v>
      </c>
      <c r="D19" s="319" t="s">
        <v>169</v>
      </c>
      <c r="E19" s="319">
        <v>1331695557</v>
      </c>
      <c r="F19" s="320">
        <v>42965</v>
      </c>
      <c r="G19" s="320">
        <v>42968</v>
      </c>
      <c r="H19" s="319">
        <v>3</v>
      </c>
      <c r="I19" s="321"/>
      <c r="J19" s="322"/>
      <c r="K19" s="321"/>
      <c r="L19" s="321">
        <v>390</v>
      </c>
      <c r="M19" s="321"/>
      <c r="N19" s="321"/>
      <c r="O19" s="321"/>
      <c r="P19" s="321">
        <v>195</v>
      </c>
      <c r="Q19" s="175">
        <f t="shared" si="8"/>
        <v>585</v>
      </c>
      <c r="R19" s="175">
        <f t="shared" si="9"/>
        <v>0</v>
      </c>
      <c r="S19" s="173">
        <f>IF(H19=0,(Q19+R19/EERR!$D$2/1.19),(Q19+R19/EERR!$D$2/1.19)/H19)</f>
        <v>195</v>
      </c>
      <c r="T19" s="175">
        <f>R19+Q19*EERR!$D$2</f>
        <v>376880.4</v>
      </c>
      <c r="U19" s="170">
        <f>IFERROR(VLOOKUP(E19,Booking!$B$2:$R$100,16,FALSE),0)</f>
        <v>3</v>
      </c>
      <c r="V19" s="179">
        <f>SUMIF(Transbank!$A$2:$A$444,B19,Transbank!$L$2:$L$444)+(I19+M19)+(J19+N19)*EERR!$D$2</f>
        <v>376880.4</v>
      </c>
      <c r="W19" s="179">
        <f>V19/EERR!$D$2</f>
        <v>585</v>
      </c>
      <c r="X19" s="179">
        <f t="shared" si="10"/>
        <v>0</v>
      </c>
      <c r="Y19" s="179">
        <f t="shared" si="11"/>
        <v>0</v>
      </c>
      <c r="Z19" s="179">
        <f t="shared" si="12"/>
        <v>0</v>
      </c>
      <c r="AA19" s="170">
        <f>IFERROR(VLOOKUP(A19,#REF!,8,FALSE),0)</f>
        <v>0</v>
      </c>
      <c r="AB19" s="40">
        <f t="shared" si="13"/>
        <v>585</v>
      </c>
    </row>
    <row r="20" spans="1:28" s="170" customFormat="1" ht="15" customHeight="1" x14ac:dyDescent="0.25">
      <c r="A20" s="318">
        <v>2549</v>
      </c>
      <c r="B20" s="318">
        <v>21710</v>
      </c>
      <c r="C20" s="319" t="s">
        <v>595</v>
      </c>
      <c r="D20" s="319" t="s">
        <v>169</v>
      </c>
      <c r="E20" s="319">
        <v>1084021710</v>
      </c>
      <c r="F20" s="320">
        <v>42965</v>
      </c>
      <c r="G20" s="320">
        <v>42969</v>
      </c>
      <c r="H20" s="319">
        <v>4</v>
      </c>
      <c r="I20" s="321"/>
      <c r="J20" s="322"/>
      <c r="K20" s="321"/>
      <c r="L20" s="321">
        <v>526</v>
      </c>
      <c r="M20" s="321"/>
      <c r="N20" s="321"/>
      <c r="O20" s="321"/>
      <c r="P20" s="321">
        <v>175.5</v>
      </c>
      <c r="Q20" s="175">
        <f t="shared" si="8"/>
        <v>701.5</v>
      </c>
      <c r="R20" s="175">
        <f t="shared" si="9"/>
        <v>0</v>
      </c>
      <c r="S20" s="173">
        <f>IF(H20=0,(Q20+R20/EERR!$D$2/1.19),(Q20+R20/EERR!$D$2/1.19)/H20)</f>
        <v>175.375</v>
      </c>
      <c r="T20" s="175">
        <f>R20+Q20*EERR!$D$2</f>
        <v>451934.36</v>
      </c>
      <c r="U20" s="170">
        <f>IFERROR(VLOOKUP(E20,Booking!$B$2:$R$100,16,FALSE),0)</f>
        <v>4</v>
      </c>
      <c r="V20" s="179">
        <f>SUMIF(Transbank!$A$2:$A$444,B20,Transbank!$L$2:$L$444)+(I20+M20)+(J20+N20)*EERR!$D$2</f>
        <v>452256.48</v>
      </c>
      <c r="W20" s="179">
        <f>V20/EERR!$D$2</f>
        <v>702</v>
      </c>
      <c r="X20" s="179">
        <f t="shared" si="10"/>
        <v>322.11999999999534</v>
      </c>
      <c r="Y20" s="179">
        <f t="shared" si="11"/>
        <v>0</v>
      </c>
      <c r="Z20" s="179">
        <f t="shared" si="12"/>
        <v>0</v>
      </c>
      <c r="AA20" s="170">
        <f>IFERROR(VLOOKUP(A20,#REF!,8,FALSE),0)</f>
        <v>0</v>
      </c>
      <c r="AB20" s="40">
        <f t="shared" si="13"/>
        <v>701.5</v>
      </c>
    </row>
    <row r="21" spans="1:28" s="170" customFormat="1" ht="15" customHeight="1" x14ac:dyDescent="0.25">
      <c r="A21" s="318">
        <v>2551</v>
      </c>
      <c r="B21" s="318">
        <v>21577</v>
      </c>
      <c r="C21" s="319" t="s">
        <v>596</v>
      </c>
      <c r="D21" s="319" t="s">
        <v>169</v>
      </c>
      <c r="E21" s="319">
        <v>1321621577</v>
      </c>
      <c r="F21" s="320">
        <v>42966</v>
      </c>
      <c r="G21" s="320">
        <v>42967</v>
      </c>
      <c r="H21" s="319">
        <v>1</v>
      </c>
      <c r="I21" s="321"/>
      <c r="J21" s="322"/>
      <c r="K21" s="321"/>
      <c r="L21" s="321">
        <v>195</v>
      </c>
      <c r="M21" s="321"/>
      <c r="N21" s="321"/>
      <c r="O21" s="321"/>
      <c r="P21" s="321"/>
      <c r="Q21" s="175">
        <f t="shared" si="8"/>
        <v>195</v>
      </c>
      <c r="R21" s="175">
        <f t="shared" si="9"/>
        <v>0</v>
      </c>
      <c r="S21" s="173">
        <f>IF(H21=0,(Q21+R21/EERR!$D$2/1.19),(Q21+R21/EERR!$D$2/1.19)/H21)</f>
        <v>195</v>
      </c>
      <c r="T21" s="175">
        <f>R21+Q21*EERR!$D$2</f>
        <v>125626.8</v>
      </c>
      <c r="U21" s="170">
        <f>IFERROR(VLOOKUP(E21,Booking!$B$2:$R$100,16,FALSE),0)</f>
        <v>1</v>
      </c>
      <c r="V21" s="179">
        <f>SUMIF(Transbank!$A$2:$A$444,B21,Transbank!$L$2:$L$444)+(I21+M21)+(J21+N21)*EERR!$D$2</f>
        <v>125626.8</v>
      </c>
      <c r="W21" s="179">
        <f>V21/EERR!$D$2</f>
        <v>195</v>
      </c>
      <c r="X21" s="179">
        <f t="shared" si="10"/>
        <v>0</v>
      </c>
      <c r="Y21" s="179">
        <f t="shared" si="11"/>
        <v>0</v>
      </c>
      <c r="Z21" s="179">
        <f t="shared" si="12"/>
        <v>0</v>
      </c>
      <c r="AA21" s="170">
        <f>IFERROR(VLOOKUP(A21,#REF!,8,FALSE),0)</f>
        <v>0</v>
      </c>
      <c r="AB21" s="40">
        <f t="shared" si="13"/>
        <v>195</v>
      </c>
    </row>
    <row r="22" spans="1:28" s="170" customFormat="1" ht="15" customHeight="1" x14ac:dyDescent="0.25">
      <c r="A22" s="318">
        <v>2552</v>
      </c>
      <c r="B22" s="318">
        <v>291</v>
      </c>
      <c r="C22" s="319" t="s">
        <v>597</v>
      </c>
      <c r="D22" s="319" t="s">
        <v>169</v>
      </c>
      <c r="E22" s="319">
        <v>1419000291</v>
      </c>
      <c r="F22" s="320">
        <v>42966</v>
      </c>
      <c r="G22" s="320">
        <v>42970</v>
      </c>
      <c r="H22" s="319">
        <v>4</v>
      </c>
      <c r="I22" s="321"/>
      <c r="J22" s="322"/>
      <c r="K22" s="321"/>
      <c r="L22" s="321">
        <v>585</v>
      </c>
      <c r="M22" s="321"/>
      <c r="N22" s="321"/>
      <c r="O22" s="321"/>
      <c r="P22" s="321">
        <v>195</v>
      </c>
      <c r="Q22" s="175">
        <f t="shared" si="8"/>
        <v>780</v>
      </c>
      <c r="R22" s="175">
        <f t="shared" si="9"/>
        <v>0</v>
      </c>
      <c r="S22" s="173">
        <f>IF(H22=0,(Q22+R22/EERR!$D$2/1.19),(Q22+R22/EERR!$D$2/1.19)/H22)</f>
        <v>195</v>
      </c>
      <c r="T22" s="175">
        <f>R22+Q22*EERR!$D$2</f>
        <v>502507.2</v>
      </c>
      <c r="U22" s="170">
        <f>IFERROR(VLOOKUP(E22,Booking!$B$2:$R$100,16,FALSE),0)</f>
        <v>4</v>
      </c>
      <c r="V22" s="179">
        <f>SUMIF(Transbank!$A$2:$A$444,B22,Transbank!$L$2:$L$444)+(I22+M22)+(J22+N22)*EERR!$D$2</f>
        <v>505190.40000000002</v>
      </c>
      <c r="W22" s="179">
        <f>V22/EERR!$D$2</f>
        <v>784.16490748789272</v>
      </c>
      <c r="X22" s="179">
        <f t="shared" si="10"/>
        <v>2683.2000000000116</v>
      </c>
      <c r="Y22" s="179">
        <f t="shared" si="11"/>
        <v>0</v>
      </c>
      <c r="Z22" s="179">
        <f t="shared" si="12"/>
        <v>0</v>
      </c>
      <c r="AA22" s="170">
        <f>IFERROR(VLOOKUP(A22,#REF!,8,FALSE),0)</f>
        <v>0</v>
      </c>
      <c r="AB22" s="40">
        <f t="shared" si="13"/>
        <v>780</v>
      </c>
    </row>
    <row r="23" spans="1:28" s="170" customFormat="1" ht="15" customHeight="1" x14ac:dyDescent="0.25">
      <c r="A23" s="318">
        <v>2553</v>
      </c>
      <c r="B23" s="318">
        <v>96060</v>
      </c>
      <c r="C23" s="319" t="s">
        <v>598</v>
      </c>
      <c r="D23" s="319" t="s">
        <v>169</v>
      </c>
      <c r="E23" s="319">
        <v>1761896060</v>
      </c>
      <c r="F23" s="320">
        <v>42966</v>
      </c>
      <c r="G23" s="320">
        <v>42971</v>
      </c>
      <c r="H23" s="319">
        <v>5</v>
      </c>
      <c r="I23" s="321"/>
      <c r="J23" s="322"/>
      <c r="K23" s="321"/>
      <c r="L23" s="321">
        <v>780</v>
      </c>
      <c r="M23" s="321"/>
      <c r="N23" s="321"/>
      <c r="O23" s="321"/>
      <c r="P23" s="321">
        <v>195</v>
      </c>
      <c r="Q23" s="175">
        <f t="shared" si="8"/>
        <v>975</v>
      </c>
      <c r="R23" s="175">
        <f t="shared" si="9"/>
        <v>0</v>
      </c>
      <c r="S23" s="173">
        <f>IF(H23=0,(Q23+R23/EERR!$D$2/1.19),(Q23+R23/EERR!$D$2/1.19)/H23)</f>
        <v>195</v>
      </c>
      <c r="T23" s="175">
        <f>R23+Q23*EERR!$D$2</f>
        <v>628134</v>
      </c>
      <c r="U23" s="170">
        <f>IFERROR(VLOOKUP(E23,Booking!$B$2:$R$100,16,FALSE),0)</f>
        <v>5</v>
      </c>
      <c r="V23" s="179">
        <f>SUMIF(Transbank!$A$2:$A$444,B23,Transbank!$L$2:$L$444)+(I23+M23)+(J23+N23)*EERR!$D$2</f>
        <v>630817.19999999995</v>
      </c>
      <c r="W23" s="179">
        <f>V23/EERR!$D$2</f>
        <v>979.16490748789261</v>
      </c>
      <c r="X23" s="179">
        <f t="shared" si="10"/>
        <v>2683.1999999999534</v>
      </c>
      <c r="Y23" s="179">
        <f t="shared" si="11"/>
        <v>0</v>
      </c>
      <c r="Z23" s="179">
        <f t="shared" si="12"/>
        <v>0</v>
      </c>
      <c r="AA23" s="170">
        <f>IFERROR(VLOOKUP(A23,#REF!,8,FALSE),0)</f>
        <v>0</v>
      </c>
      <c r="AB23" s="40">
        <f t="shared" si="13"/>
        <v>975</v>
      </c>
    </row>
    <row r="24" spans="1:28" s="170" customFormat="1" ht="15" customHeight="1" x14ac:dyDescent="0.25">
      <c r="A24" s="318">
        <v>2554</v>
      </c>
      <c r="B24" s="318">
        <v>13931</v>
      </c>
      <c r="C24" s="319" t="s">
        <v>599</v>
      </c>
      <c r="D24" s="319" t="s">
        <v>169</v>
      </c>
      <c r="E24" s="319">
        <v>1827013931</v>
      </c>
      <c r="F24" s="320">
        <v>42967</v>
      </c>
      <c r="G24" s="320">
        <v>42970</v>
      </c>
      <c r="H24" s="319">
        <v>3</v>
      </c>
      <c r="I24" s="321"/>
      <c r="J24" s="322">
        <v>390</v>
      </c>
      <c r="K24" s="321"/>
      <c r="L24" s="321"/>
      <c r="M24" s="321"/>
      <c r="N24" s="321"/>
      <c r="O24" s="321"/>
      <c r="P24" s="321">
        <v>195</v>
      </c>
      <c r="Q24" s="175">
        <f t="shared" si="8"/>
        <v>585</v>
      </c>
      <c r="R24" s="175">
        <f t="shared" si="9"/>
        <v>0</v>
      </c>
      <c r="S24" s="173">
        <f>IF(H24=0,(Q24+R24/EERR!$D$2/1.19),(Q24+R24/EERR!$D$2/1.19)/H24)</f>
        <v>195</v>
      </c>
      <c r="T24" s="175">
        <f>R24+Q24*EERR!$D$2</f>
        <v>376880.4</v>
      </c>
      <c r="U24" s="170">
        <f>IFERROR(VLOOKUP(E24,Booking!$B$2:$R$100,16,FALSE),0)</f>
        <v>3</v>
      </c>
      <c r="V24" s="179">
        <f>SUMIF(Transbank!$A$2:$A$444,B24,Transbank!$L$2:$L$444)+(I24+M24)+(J24+N24)*EERR!$D$2</f>
        <v>505190.40000000002</v>
      </c>
      <c r="W24" s="179">
        <f>V24/EERR!$D$2</f>
        <v>784.16490748789272</v>
      </c>
      <c r="X24" s="179">
        <f t="shared" si="10"/>
        <v>128310</v>
      </c>
      <c r="Y24" s="179">
        <f t="shared" si="11"/>
        <v>0</v>
      </c>
      <c r="Z24" s="179">
        <f t="shared" si="12"/>
        <v>0</v>
      </c>
      <c r="AA24" s="170">
        <f>IFERROR(VLOOKUP(A24,#REF!,8,FALSE),0)</f>
        <v>0</v>
      </c>
      <c r="AB24" s="40">
        <f t="shared" si="13"/>
        <v>585</v>
      </c>
    </row>
    <row r="25" spans="1:28" s="170" customFormat="1" ht="15" customHeight="1" x14ac:dyDescent="0.25">
      <c r="A25" s="318">
        <v>2575</v>
      </c>
      <c r="B25" s="318">
        <v>59699</v>
      </c>
      <c r="C25" s="319" t="s">
        <v>600</v>
      </c>
      <c r="D25" s="319" t="s">
        <v>169</v>
      </c>
      <c r="E25" s="319">
        <v>1101859699</v>
      </c>
      <c r="F25" s="320">
        <v>42967</v>
      </c>
      <c r="G25" s="320">
        <v>42971</v>
      </c>
      <c r="H25" s="319">
        <v>4</v>
      </c>
      <c r="I25" s="321"/>
      <c r="J25" s="322"/>
      <c r="K25" s="321"/>
      <c r="L25" s="321">
        <v>526.5</v>
      </c>
      <c r="M25" s="321"/>
      <c r="N25" s="321"/>
      <c r="O25" s="321"/>
      <c r="P25" s="321">
        <v>175.5</v>
      </c>
      <c r="Q25" s="175">
        <f t="shared" si="8"/>
        <v>702</v>
      </c>
      <c r="R25" s="175">
        <f t="shared" si="9"/>
        <v>0</v>
      </c>
      <c r="S25" s="173">
        <f>IF(H25=0,(Q25+R25/EERR!$D$2/1.19),(Q25+R25/EERR!$D$2/1.19)/H25)</f>
        <v>175.5</v>
      </c>
      <c r="T25" s="175">
        <f>R25+Q25*EERR!$D$2</f>
        <v>452256.48</v>
      </c>
      <c r="U25" s="170">
        <f>IFERROR(VLOOKUP(E25,Booking!$B$2:$R$100,16,FALSE),0)</f>
        <v>4</v>
      </c>
      <c r="V25" s="179">
        <f>SUMIF(Transbank!$A$2:$A$444,B25,Transbank!$L$2:$L$444)+(I25+M25)+(J25+N25)*EERR!$D$2</f>
        <v>455322.48</v>
      </c>
      <c r="W25" s="179">
        <f>V25/EERR!$D$2</f>
        <v>706.75909598907231</v>
      </c>
      <c r="X25" s="179">
        <f t="shared" si="10"/>
        <v>3066</v>
      </c>
      <c r="Y25" s="179">
        <f t="shared" si="11"/>
        <v>0</v>
      </c>
      <c r="Z25" s="179">
        <f t="shared" si="12"/>
        <v>0</v>
      </c>
      <c r="AA25" s="170">
        <f>IFERROR(VLOOKUP(A25,#REF!,8,FALSE),0)</f>
        <v>0</v>
      </c>
      <c r="AB25" s="40">
        <f t="shared" si="13"/>
        <v>702</v>
      </c>
    </row>
    <row r="26" spans="1:28" s="170" customFormat="1" x14ac:dyDescent="0.25">
      <c r="A26" s="318">
        <v>2555</v>
      </c>
      <c r="B26" s="318">
        <v>83045</v>
      </c>
      <c r="C26" s="319" t="s">
        <v>601</v>
      </c>
      <c r="D26" s="319" t="s">
        <v>169</v>
      </c>
      <c r="E26" s="319">
        <v>1480583045</v>
      </c>
      <c r="F26" s="320">
        <v>42968</v>
      </c>
      <c r="G26" s="172">
        <v>42974</v>
      </c>
      <c r="H26" s="171">
        <v>6</v>
      </c>
      <c r="I26" s="321"/>
      <c r="J26" s="322"/>
      <c r="K26" s="321"/>
      <c r="L26" s="321">
        <v>975</v>
      </c>
      <c r="M26" s="321"/>
      <c r="N26" s="321"/>
      <c r="O26" s="321"/>
      <c r="P26" s="321">
        <v>195</v>
      </c>
      <c r="Q26" s="175">
        <f t="shared" si="8"/>
        <v>1170</v>
      </c>
      <c r="R26" s="175">
        <f t="shared" si="9"/>
        <v>0</v>
      </c>
      <c r="S26" s="173">
        <f>IF(H26=0,(Q26+R26/EERR!$D$2/1.19),(Q26+R26/EERR!$D$2/1.19)/H26)</f>
        <v>195</v>
      </c>
      <c r="T26" s="175">
        <f>R26+Q26*EERR!$D$2</f>
        <v>753760.8</v>
      </c>
      <c r="U26" s="170">
        <f>IFERROR(VLOOKUP(E26,Booking!$B$2:$R$100,16,FALSE),0)</f>
        <v>6</v>
      </c>
      <c r="V26" s="179">
        <f>SUMIF(Transbank!$A$2:$A$444,B26,Transbank!$L$2:$L$444)+(I26+M26)+(J26+N26)*EERR!$D$2</f>
        <v>756444</v>
      </c>
      <c r="W26" s="179">
        <f>V26/EERR!$D$2</f>
        <v>1174.1649074878926</v>
      </c>
      <c r="X26" s="179">
        <f t="shared" si="10"/>
        <v>2683.1999999999534</v>
      </c>
      <c r="Y26" s="179">
        <f t="shared" si="11"/>
        <v>0</v>
      </c>
      <c r="Z26" s="179">
        <f t="shared" si="12"/>
        <v>0</v>
      </c>
      <c r="AA26" s="170">
        <f>IFERROR(VLOOKUP(A26,#REF!,8,FALSE),0)</f>
        <v>0</v>
      </c>
      <c r="AB26" s="40">
        <f t="shared" si="13"/>
        <v>1170</v>
      </c>
    </row>
    <row r="27" spans="1:28" s="170" customFormat="1" ht="15" customHeight="1" x14ac:dyDescent="0.25">
      <c r="A27" s="318">
        <v>15589</v>
      </c>
      <c r="B27" s="318">
        <v>15589</v>
      </c>
      <c r="C27" s="319" t="s">
        <v>602</v>
      </c>
      <c r="D27" s="319" t="s">
        <v>169</v>
      </c>
      <c r="E27" s="319">
        <v>1557115589</v>
      </c>
      <c r="F27" s="320">
        <v>42969</v>
      </c>
      <c r="G27" s="172">
        <v>42972</v>
      </c>
      <c r="H27" s="171">
        <v>3</v>
      </c>
      <c r="I27" s="321"/>
      <c r="J27" s="322"/>
      <c r="K27" s="321">
        <v>300273</v>
      </c>
      <c r="L27" s="321"/>
      <c r="M27" s="321"/>
      <c r="N27" s="321"/>
      <c r="O27" s="321">
        <v>150368</v>
      </c>
      <c r="P27" s="321"/>
      <c r="Q27" s="175">
        <f t="shared" si="8"/>
        <v>0</v>
      </c>
      <c r="R27" s="175">
        <f t="shared" si="9"/>
        <v>450641</v>
      </c>
      <c r="S27" s="173">
        <f>IF(H27=0,(Q27+R27/EERR!$D$2/1.19),(Q27+R27/EERR!$D$2/1.19)/H27)</f>
        <v>195.93625355270635</v>
      </c>
      <c r="T27" s="175">
        <f>R27+Q27*EERR!$D$2</f>
        <v>450641</v>
      </c>
      <c r="U27" s="170">
        <f>IFERROR(VLOOKUP(E27,Booking!$B$2:$R$100,16,FALSE),0)</f>
        <v>3</v>
      </c>
      <c r="V27" s="179">
        <f>SUMIF(Transbank!$A$2:$A$444,B27,Transbank!$L$2:$L$444)+(I27+M27)+(J27+N27)*EERR!$D$2</f>
        <v>450641</v>
      </c>
      <c r="W27" s="179">
        <f>V27/EERR!$D$2</f>
        <v>699.49242518316157</v>
      </c>
      <c r="X27" s="179">
        <f t="shared" si="10"/>
        <v>0</v>
      </c>
      <c r="Y27" s="179">
        <f t="shared" si="11"/>
        <v>252330.25210084036</v>
      </c>
      <c r="Z27" s="179">
        <f t="shared" si="12"/>
        <v>0</v>
      </c>
      <c r="AA27" s="170">
        <f>IFERROR(VLOOKUP(A27,#REF!,8,FALSE),0)</f>
        <v>0</v>
      </c>
      <c r="AB27" s="40">
        <f t="shared" si="13"/>
        <v>0</v>
      </c>
    </row>
    <row r="28" spans="1:28" s="170" customFormat="1" ht="15" customHeight="1" x14ac:dyDescent="0.25">
      <c r="A28" s="318">
        <v>2559</v>
      </c>
      <c r="B28" s="318">
        <v>17156</v>
      </c>
      <c r="C28" s="319" t="s">
        <v>603</v>
      </c>
      <c r="D28" s="319" t="s">
        <v>169</v>
      </c>
      <c r="E28" s="319">
        <v>208317156</v>
      </c>
      <c r="F28" s="320">
        <v>42970</v>
      </c>
      <c r="G28" s="172">
        <v>42971</v>
      </c>
      <c r="H28" s="335">
        <v>1</v>
      </c>
      <c r="I28" s="321"/>
      <c r="J28" s="322"/>
      <c r="K28" s="321"/>
      <c r="L28" s="321"/>
      <c r="M28" s="321"/>
      <c r="N28" s="321"/>
      <c r="O28" s="321"/>
      <c r="P28" s="321">
        <v>175.5</v>
      </c>
      <c r="Q28" s="175">
        <f t="shared" si="8"/>
        <v>175.5</v>
      </c>
      <c r="R28" s="175">
        <f t="shared" si="9"/>
        <v>0</v>
      </c>
      <c r="S28" s="173">
        <f>IF(H28=0,(Q28+R28/EERR!$D$2/1.19),(Q28+R28/EERR!$D$2/1.19)/H28)</f>
        <v>175.5</v>
      </c>
      <c r="T28" s="175">
        <f>R28+Q28*EERR!$D$2</f>
        <v>113064.12</v>
      </c>
      <c r="U28" s="170">
        <f>IFERROR(VLOOKUP(E28,Booking!$B$2:$R$100,16,FALSE),0)</f>
        <v>0</v>
      </c>
      <c r="V28" s="179">
        <f>SUMIF(Transbank!$A$2:$A$444,B28,Transbank!$L$2:$L$444)+(I28+M28)+(J28+N28)*EERR!$D$2</f>
        <v>115808</v>
      </c>
      <c r="W28" s="179">
        <f>V28/EERR!$D$2</f>
        <v>179.75909598907239</v>
      </c>
      <c r="X28" s="179">
        <f t="shared" si="10"/>
        <v>2743.8800000000047</v>
      </c>
      <c r="Y28" s="179">
        <f t="shared" si="11"/>
        <v>0</v>
      </c>
      <c r="Z28" s="179">
        <f t="shared" si="12"/>
        <v>0</v>
      </c>
      <c r="AA28" s="170">
        <f>IFERROR(VLOOKUP(A28,#REF!,8,FALSE),0)</f>
        <v>0</v>
      </c>
      <c r="AB28" s="40">
        <f t="shared" si="13"/>
        <v>175.5</v>
      </c>
    </row>
    <row r="29" spans="1:28" s="170" customFormat="1" ht="15" customHeight="1" x14ac:dyDescent="0.25">
      <c r="A29" s="318">
        <v>99627</v>
      </c>
      <c r="B29" s="318">
        <v>99627</v>
      </c>
      <c r="C29" s="319" t="s">
        <v>604</v>
      </c>
      <c r="D29" s="319" t="s">
        <v>169</v>
      </c>
      <c r="E29" s="319">
        <v>1444199627</v>
      </c>
      <c r="F29" s="320">
        <v>42971</v>
      </c>
      <c r="G29" s="172">
        <v>42974</v>
      </c>
      <c r="H29" s="171">
        <v>3</v>
      </c>
      <c r="I29" s="321"/>
      <c r="J29" s="322"/>
      <c r="K29" s="321">
        <v>298416</v>
      </c>
      <c r="L29" s="321"/>
      <c r="M29" s="321"/>
      <c r="N29" s="321"/>
      <c r="O29" s="321">
        <v>150833</v>
      </c>
      <c r="P29" s="321"/>
      <c r="Q29" s="175">
        <f t="shared" si="8"/>
        <v>0</v>
      </c>
      <c r="R29" s="175">
        <f t="shared" si="9"/>
        <v>449249</v>
      </c>
      <c r="S29" s="173">
        <f>IF(H29=0,(Q29+R29/EERR!$D$2/1.19),(Q29+R29/EERR!$D$2/1.19)/H29)</f>
        <v>195.33101953062362</v>
      </c>
      <c r="T29" s="175">
        <f>R29+Q29*EERR!$D$2</f>
        <v>449249</v>
      </c>
      <c r="U29" s="170">
        <f>IFERROR(VLOOKUP(E29,Booking!$B$2:$R$100,16,FALSE),0)</f>
        <v>3</v>
      </c>
      <c r="V29" s="179">
        <f>SUMIF(Transbank!$A$2:$A$444,B29,Transbank!$L$2:$L$444)+(I29+M29)+(J29+N29)*EERR!$D$2</f>
        <v>449249</v>
      </c>
      <c r="W29" s="179">
        <f>V29/EERR!$D$2</f>
        <v>697.33173972432633</v>
      </c>
      <c r="X29" s="179">
        <f t="shared" si="10"/>
        <v>0</v>
      </c>
      <c r="Y29" s="179">
        <f t="shared" si="11"/>
        <v>250769.74789915967</v>
      </c>
      <c r="Z29" s="179">
        <f t="shared" si="12"/>
        <v>0</v>
      </c>
      <c r="AA29" s="170">
        <f>IFERROR(VLOOKUP(A29,#REF!,8,FALSE),0)</f>
        <v>0</v>
      </c>
      <c r="AB29" s="40">
        <f t="shared" si="13"/>
        <v>0</v>
      </c>
    </row>
    <row r="30" spans="1:28" s="170" customFormat="1" x14ac:dyDescent="0.25">
      <c r="A30" s="318">
        <v>2565</v>
      </c>
      <c r="B30" s="318">
        <v>66678</v>
      </c>
      <c r="C30" s="319" t="s">
        <v>605</v>
      </c>
      <c r="D30" s="319" t="s">
        <v>169</v>
      </c>
      <c r="E30" s="319">
        <v>1357866678</v>
      </c>
      <c r="F30" s="320">
        <v>42973</v>
      </c>
      <c r="G30" s="172">
        <v>42979</v>
      </c>
      <c r="H30" s="171">
        <v>6</v>
      </c>
      <c r="I30" s="321"/>
      <c r="J30" s="322"/>
      <c r="K30" s="321"/>
      <c r="L30" s="321">
        <v>877.5</v>
      </c>
      <c r="M30" s="321"/>
      <c r="N30" s="321"/>
      <c r="O30" s="321"/>
      <c r="P30" s="321">
        <v>175.5</v>
      </c>
      <c r="Q30" s="175">
        <f t="shared" si="8"/>
        <v>1053</v>
      </c>
      <c r="R30" s="175">
        <f t="shared" si="9"/>
        <v>0</v>
      </c>
      <c r="S30" s="173">
        <f>IF(H30=0,(Q30+R30/EERR!$D$2/1.19),(Q30+R30/EERR!$D$2/1.19)/H30)</f>
        <v>175.5</v>
      </c>
      <c r="T30" s="175">
        <f>R30+Q30*EERR!$D$2</f>
        <v>678384.72</v>
      </c>
      <c r="U30" s="170">
        <f>IFERROR(VLOOKUP(E30,Booking!$B$2:$R$100,16,FALSE),0)</f>
        <v>6</v>
      </c>
      <c r="V30" s="179">
        <f>SUMIF(Transbank!$A$2:$A$444,B30,Transbank!$L$2:$L$444)+(I30+M30)+(J30+N30)*EERR!$D$2</f>
        <v>679028.96</v>
      </c>
      <c r="W30" s="179">
        <f>V30/EERR!$D$2</f>
        <v>1054</v>
      </c>
      <c r="X30" s="179">
        <f t="shared" si="10"/>
        <v>644.23999999999069</v>
      </c>
      <c r="Y30" s="179">
        <f t="shared" si="11"/>
        <v>0</v>
      </c>
      <c r="Z30" s="179">
        <f t="shared" si="12"/>
        <v>0</v>
      </c>
      <c r="AA30" s="170">
        <f>IFERROR(VLOOKUP(A30,#REF!,8,FALSE),0)</f>
        <v>0</v>
      </c>
      <c r="AB30" s="40">
        <f t="shared" si="13"/>
        <v>1053</v>
      </c>
    </row>
    <row r="31" spans="1:28" s="170" customFormat="1" ht="15" customHeight="1" x14ac:dyDescent="0.25">
      <c r="A31" s="318">
        <v>37223</v>
      </c>
      <c r="B31" s="318">
        <v>37223</v>
      </c>
      <c r="C31" s="319" t="s">
        <v>606</v>
      </c>
      <c r="D31" s="319" t="s">
        <v>169</v>
      </c>
      <c r="E31" s="319">
        <v>1688237223</v>
      </c>
      <c r="F31" s="320">
        <v>42975</v>
      </c>
      <c r="G31" s="172">
        <v>42978</v>
      </c>
      <c r="H31" s="171">
        <v>3</v>
      </c>
      <c r="I31" s="321"/>
      <c r="J31" s="322"/>
      <c r="K31" s="321">
        <v>437182</v>
      </c>
      <c r="L31" s="321"/>
      <c r="M31" s="321"/>
      <c r="N31" s="321"/>
      <c r="O31" s="321"/>
      <c r="P31" s="321"/>
      <c r="Q31" s="175">
        <f t="shared" si="8"/>
        <v>0</v>
      </c>
      <c r="R31" s="175">
        <f t="shared" si="9"/>
        <v>437182</v>
      </c>
      <c r="S31" s="173">
        <f>IF(H31=0,(Q31+R31/EERR!$D$2/1.19),(Q31+R31/EERR!$D$2/1.19)/H31)</f>
        <v>190.08435362223864</v>
      </c>
      <c r="T31" s="175">
        <f>R31+Q31*EERR!$D$2</f>
        <v>437182</v>
      </c>
      <c r="U31" s="170">
        <f>IFERROR(VLOOKUP(E31,Booking!$B$2:$R$100,16,FALSE),0)</f>
        <v>3</v>
      </c>
      <c r="V31" s="179">
        <f>SUMIF(Transbank!$A$2:$A$444,B31,Transbank!$L$2:$L$444)+(I31+M31)+(J31+N31)*EERR!$D$2</f>
        <v>437182</v>
      </c>
      <c r="W31" s="179">
        <f>V31/EERR!$D$2</f>
        <v>678.60114243139196</v>
      </c>
      <c r="X31" s="179">
        <f t="shared" si="10"/>
        <v>0</v>
      </c>
      <c r="Y31" s="179">
        <f t="shared" si="11"/>
        <v>367379.83193277312</v>
      </c>
      <c r="Z31" s="179">
        <f t="shared" si="12"/>
        <v>0</v>
      </c>
      <c r="AA31" s="170">
        <f>IFERROR(VLOOKUP(A31,#REF!,8,FALSE),0)</f>
        <v>0</v>
      </c>
      <c r="AB31" s="40">
        <f t="shared" si="13"/>
        <v>0</v>
      </c>
    </row>
    <row r="32" spans="1:28" s="170" customFormat="1" ht="15" customHeight="1" x14ac:dyDescent="0.25">
      <c r="A32" s="318">
        <v>2570</v>
      </c>
      <c r="B32" s="318">
        <v>23892</v>
      </c>
      <c r="C32" s="319" t="s">
        <v>607</v>
      </c>
      <c r="D32" s="319" t="s">
        <v>169</v>
      </c>
      <c r="E32" s="319">
        <v>1088223892</v>
      </c>
      <c r="F32" s="320">
        <v>42977</v>
      </c>
      <c r="G32" s="172">
        <v>42982</v>
      </c>
      <c r="H32" s="171">
        <v>5</v>
      </c>
      <c r="I32" s="321"/>
      <c r="J32" s="322"/>
      <c r="K32" s="321"/>
      <c r="L32" s="321">
        <v>780</v>
      </c>
      <c r="M32" s="321"/>
      <c r="N32" s="321"/>
      <c r="O32" s="321"/>
      <c r="P32" s="321">
        <v>195</v>
      </c>
      <c r="Q32" s="175">
        <f t="shared" si="8"/>
        <v>975</v>
      </c>
      <c r="R32" s="175">
        <f t="shared" si="9"/>
        <v>0</v>
      </c>
      <c r="S32" s="173">
        <f>IF(H32=0,(Q32+R32/EERR!$D$2/1.19),(Q32+R32/EERR!$D$2/1.19)/H32)</f>
        <v>195</v>
      </c>
      <c r="T32" s="175">
        <f>R32+Q32*EERR!$D$2</f>
        <v>628134</v>
      </c>
      <c r="U32" s="170">
        <f>IFERROR(VLOOKUP(E32,Booking!$B$2:$R$100,16,FALSE),0)</f>
        <v>5</v>
      </c>
      <c r="V32" s="179">
        <f>SUMIF(Transbank!$A$2:$A$444,B32,Transbank!$L$2:$L$444)+(I32+M32)+(J32+N32)*EERR!$D$2</f>
        <v>628134</v>
      </c>
      <c r="W32" s="179">
        <f>V32/EERR!$D$2</f>
        <v>975</v>
      </c>
      <c r="X32" s="179">
        <f t="shared" si="10"/>
        <v>0</v>
      </c>
      <c r="Y32" s="179">
        <f t="shared" si="11"/>
        <v>0</v>
      </c>
      <c r="Z32" s="179">
        <f t="shared" si="12"/>
        <v>0</v>
      </c>
      <c r="AA32" s="170">
        <f>IFERROR(VLOOKUP(A32,#REF!,8,FALSE),0)</f>
        <v>0</v>
      </c>
      <c r="AB32" s="40">
        <f t="shared" si="13"/>
        <v>975</v>
      </c>
    </row>
    <row r="33" spans="1:28" s="170" customFormat="1" x14ac:dyDescent="0.25">
      <c r="A33" s="318">
        <v>2571</v>
      </c>
      <c r="B33" s="318">
        <v>82201</v>
      </c>
      <c r="C33" s="319" t="s">
        <v>608</v>
      </c>
      <c r="D33" s="319" t="s">
        <v>169</v>
      </c>
      <c r="E33" s="319">
        <v>1691682201</v>
      </c>
      <c r="F33" s="320">
        <v>42977</v>
      </c>
      <c r="G33" s="172">
        <v>42983</v>
      </c>
      <c r="H33" s="171">
        <v>6</v>
      </c>
      <c r="I33" s="321"/>
      <c r="J33" s="322"/>
      <c r="K33" s="321"/>
      <c r="L33" s="321">
        <v>975</v>
      </c>
      <c r="M33" s="321"/>
      <c r="N33" s="321"/>
      <c r="O33" s="321"/>
      <c r="P33" s="321">
        <v>195</v>
      </c>
      <c r="Q33" s="175">
        <f t="shared" si="8"/>
        <v>1170</v>
      </c>
      <c r="R33" s="175">
        <f t="shared" si="9"/>
        <v>0</v>
      </c>
      <c r="S33" s="173">
        <f>IF(H33=0,(Q33+R33/EERR!$D$2/1.19),(Q33+R33/EERR!$D$2/1.19)/H33)</f>
        <v>195</v>
      </c>
      <c r="T33" s="175">
        <f>R33+Q33*EERR!$D$2</f>
        <v>753760.8</v>
      </c>
      <c r="U33" s="170">
        <f>IFERROR(VLOOKUP(E33,Booking!$B$2:$R$100,16,FALSE),0)</f>
        <v>6</v>
      </c>
      <c r="V33" s="179">
        <f>SUMIF(Transbank!$A$2:$A$444,B33,Transbank!$L$2:$L$444)+(I33+M33)+(J33+N33)*EERR!$D$2</f>
        <v>753760.8</v>
      </c>
      <c r="W33" s="179">
        <f>V33/EERR!$D$2</f>
        <v>1170</v>
      </c>
      <c r="X33" s="179">
        <f t="shared" si="10"/>
        <v>0</v>
      </c>
      <c r="Y33" s="179">
        <f t="shared" si="11"/>
        <v>0</v>
      </c>
      <c r="Z33" s="179">
        <f t="shared" si="12"/>
        <v>0</v>
      </c>
      <c r="AA33" s="170">
        <f>IFERROR(VLOOKUP(A33,#REF!,8,FALSE),0)</f>
        <v>0</v>
      </c>
      <c r="AB33" s="40">
        <f t="shared" si="13"/>
        <v>1170</v>
      </c>
    </row>
    <row r="34" spans="1:28" s="170" customFormat="1" ht="15" customHeight="1" x14ac:dyDescent="0.25">
      <c r="A34" s="318">
        <v>2574</v>
      </c>
      <c r="B34" s="318">
        <v>76007</v>
      </c>
      <c r="C34" s="319" t="s">
        <v>609</v>
      </c>
      <c r="D34" s="319" t="s">
        <v>169</v>
      </c>
      <c r="E34" s="319">
        <v>1253276007</v>
      </c>
      <c r="F34" s="320">
        <v>42978</v>
      </c>
      <c r="G34" s="172">
        <v>42983</v>
      </c>
      <c r="H34" s="171">
        <v>5</v>
      </c>
      <c r="I34" s="321"/>
      <c r="J34" s="322"/>
      <c r="K34" s="321"/>
      <c r="L34" s="321">
        <v>702</v>
      </c>
      <c r="M34" s="321"/>
      <c r="N34" s="321"/>
      <c r="O34" s="321"/>
      <c r="P34" s="321">
        <v>175.5</v>
      </c>
      <c r="Q34" s="175">
        <f t="shared" si="8"/>
        <v>877.5</v>
      </c>
      <c r="R34" s="175">
        <f t="shared" si="9"/>
        <v>0</v>
      </c>
      <c r="S34" s="173">
        <f>IF(H34=0,(Q34+R34/EERR!$D$2/1.19),(Q34+R34/EERR!$D$2/1.19)/H34)</f>
        <v>175.5</v>
      </c>
      <c r="T34" s="175">
        <f>R34+Q34*EERR!$D$2</f>
        <v>565320.6</v>
      </c>
      <c r="U34" s="170">
        <f>IFERROR(VLOOKUP(E34,Booking!$B$2:$R$100,16,FALSE),0)</f>
        <v>5</v>
      </c>
      <c r="V34" s="179">
        <f>SUMIF(Transbank!$A$2:$A$444,B34,Transbank!$L$2:$L$444)+(I34+M34)+(J34+N34)*EERR!$D$2</f>
        <v>565642.72</v>
      </c>
      <c r="W34" s="179">
        <f>V34/EERR!$D$2</f>
        <v>878</v>
      </c>
      <c r="X34" s="179">
        <f t="shared" si="10"/>
        <v>322.11999999999534</v>
      </c>
      <c r="Y34" s="179">
        <f t="shared" si="11"/>
        <v>0</v>
      </c>
      <c r="Z34" s="179">
        <f t="shared" si="12"/>
        <v>0</v>
      </c>
      <c r="AA34" s="170">
        <f>IFERROR(VLOOKUP(A34,#REF!,8,FALSE),0)</f>
        <v>0</v>
      </c>
      <c r="AB34" s="40">
        <f t="shared" si="13"/>
        <v>877.5</v>
      </c>
    </row>
    <row r="35" spans="1:28" s="170" customFormat="1" x14ac:dyDescent="0.25">
      <c r="A35" s="318">
        <v>58649</v>
      </c>
      <c r="B35" s="318">
        <v>58649</v>
      </c>
      <c r="C35" s="319" t="s">
        <v>610</v>
      </c>
      <c r="D35" s="319" t="s">
        <v>412</v>
      </c>
      <c r="E35" s="319">
        <v>1905658649</v>
      </c>
      <c r="F35" s="320">
        <v>42951</v>
      </c>
      <c r="G35" s="172">
        <v>42953</v>
      </c>
      <c r="H35" s="171">
        <v>2</v>
      </c>
      <c r="I35" s="321"/>
      <c r="J35" s="322"/>
      <c r="K35" s="321">
        <v>407498</v>
      </c>
      <c r="L35" s="321"/>
      <c r="M35" s="321"/>
      <c r="N35" s="321"/>
      <c r="O35" s="321"/>
      <c r="P35" s="321"/>
      <c r="Q35" s="175">
        <f t="shared" si="8"/>
        <v>0</v>
      </c>
      <c r="R35" s="175">
        <f t="shared" si="9"/>
        <v>407498</v>
      </c>
      <c r="S35" s="173">
        <f>IF(H35=0,(Q35+R35/EERR!$D$2/1.19),(Q35+R35/EERR!$D$2/1.19)/H35)</f>
        <v>265.76686802872149</v>
      </c>
      <c r="T35" s="175">
        <f>R35+Q35*EERR!$D$2</f>
        <v>407498</v>
      </c>
      <c r="U35" s="170">
        <f>IFERROR(VLOOKUP(E35,Booking!$B$2:$R$100,16,FALSE),0)</f>
        <v>2</v>
      </c>
      <c r="V35" s="179">
        <f>SUMIF(Transbank!$A$2:$A$444,B35,Transbank!$L$2:$L$444)+(I35+M35)+(J35+N35)*EERR!$D$2</f>
        <v>407498</v>
      </c>
      <c r="W35" s="179">
        <f>V35/EERR!$D$2</f>
        <v>632.5251459083571</v>
      </c>
      <c r="X35" s="179">
        <f t="shared" si="10"/>
        <v>0</v>
      </c>
      <c r="Y35" s="179">
        <f t="shared" si="11"/>
        <v>342435.29411764705</v>
      </c>
      <c r="Z35" s="179">
        <f t="shared" si="12"/>
        <v>0</v>
      </c>
      <c r="AA35" s="170">
        <f>IFERROR(VLOOKUP(A35,#REF!,8,FALSE),0)</f>
        <v>0</v>
      </c>
      <c r="AB35" s="40">
        <f t="shared" si="13"/>
        <v>0</v>
      </c>
    </row>
    <row r="36" spans="1:28" s="170" customFormat="1" ht="15" customHeight="1" x14ac:dyDescent="0.25">
      <c r="A36" s="318">
        <v>52897</v>
      </c>
      <c r="B36" s="318">
        <v>52897</v>
      </c>
      <c r="C36" s="319" t="s">
        <v>611</v>
      </c>
      <c r="D36" s="319" t="s">
        <v>412</v>
      </c>
      <c r="E36" s="319">
        <v>1535652897</v>
      </c>
      <c r="F36" s="320">
        <v>42951</v>
      </c>
      <c r="G36" s="172">
        <v>42953</v>
      </c>
      <c r="H36" s="171">
        <v>6</v>
      </c>
      <c r="I36" s="321"/>
      <c r="J36" s="322"/>
      <c r="K36" s="321">
        <v>452497</v>
      </c>
      <c r="L36" s="321"/>
      <c r="M36" s="321"/>
      <c r="N36" s="321"/>
      <c r="O36" s="321">
        <v>461547</v>
      </c>
      <c r="P36" s="321"/>
      <c r="Q36" s="175">
        <f t="shared" si="8"/>
        <v>0</v>
      </c>
      <c r="R36" s="175">
        <f t="shared" si="9"/>
        <v>914044</v>
      </c>
      <c r="S36" s="173">
        <f>IF(H36=0,(Q36+R36/EERR!$D$2/1.19),(Q36+R36/EERR!$D$2/1.19)/H36)</f>
        <v>198.71067761514144</v>
      </c>
      <c r="T36" s="175">
        <f>R36+Q36*EERR!$D$2</f>
        <v>914044</v>
      </c>
      <c r="U36" s="170">
        <f>IFERROR(VLOOKUP(E36,Booking!$B$2:$R$100,16,FALSE),0)</f>
        <v>6</v>
      </c>
      <c r="V36" s="179">
        <f>SUMIF(Transbank!$A$2:$A$444,B36,Transbank!$L$2:$L$444)+(I36+M36)+(J36+N36)*EERR!$D$2</f>
        <v>914044</v>
      </c>
      <c r="W36" s="179">
        <f>V36/EERR!$D$2</f>
        <v>1418.7942381721098</v>
      </c>
      <c r="X36" s="179">
        <f t="shared" si="10"/>
        <v>0</v>
      </c>
      <c r="Y36" s="179">
        <f t="shared" si="11"/>
        <v>380249.57983193279</v>
      </c>
      <c r="Z36" s="179">
        <f t="shared" si="12"/>
        <v>0</v>
      </c>
      <c r="AA36" s="170">
        <f>IFERROR(VLOOKUP(A36,#REF!,8,FALSE),0)</f>
        <v>0</v>
      </c>
      <c r="AB36" s="40">
        <f t="shared" si="13"/>
        <v>0</v>
      </c>
    </row>
    <row r="37" spans="1:28" s="170" customFormat="1" ht="15" customHeight="1" x14ac:dyDescent="0.25">
      <c r="A37" s="318">
        <v>49016</v>
      </c>
      <c r="B37" s="318">
        <v>49016</v>
      </c>
      <c r="C37" s="319" t="s">
        <v>612</v>
      </c>
      <c r="D37" s="319" t="s">
        <v>412</v>
      </c>
      <c r="E37" s="319">
        <v>1734949016</v>
      </c>
      <c r="F37" s="320">
        <v>42958</v>
      </c>
      <c r="G37" s="172">
        <v>42963</v>
      </c>
      <c r="H37" s="171">
        <v>5</v>
      </c>
      <c r="I37" s="321"/>
      <c r="J37" s="322"/>
      <c r="K37" s="321">
        <v>652290</v>
      </c>
      <c r="L37" s="321"/>
      <c r="M37" s="321"/>
      <c r="N37" s="321"/>
      <c r="O37" s="321">
        <v>178788</v>
      </c>
      <c r="P37" s="321"/>
      <c r="Q37" s="175">
        <f t="shared" si="8"/>
        <v>0</v>
      </c>
      <c r="R37" s="175">
        <f t="shared" si="9"/>
        <v>831078</v>
      </c>
      <c r="S37" s="173">
        <f>IF(H37=0,(Q37+R37/EERR!$D$2/1.19),(Q37+R37/EERR!$D$2/1.19)/H37)</f>
        <v>216.80891405363838</v>
      </c>
      <c r="T37" s="175">
        <f>R37+Q37*EERR!$D$2</f>
        <v>831078</v>
      </c>
      <c r="U37" s="170">
        <f>IFERROR(VLOOKUP(E37,Booking!$B$2:$R$100,16,FALSE),0)</f>
        <v>5</v>
      </c>
      <c r="V37" s="179">
        <f>SUMIF(Transbank!$A$2:$A$444,B37,Transbank!$L$2:$L$444)+(I37+M37)+(J37+N37)*EERR!$D$2</f>
        <v>831078</v>
      </c>
      <c r="W37" s="179">
        <f>V37/EERR!$D$2</f>
        <v>1290.0130386191481</v>
      </c>
      <c r="X37" s="179">
        <f t="shared" si="10"/>
        <v>0</v>
      </c>
      <c r="Y37" s="179">
        <f t="shared" si="11"/>
        <v>548142.85714285716</v>
      </c>
      <c r="Z37" s="179">
        <f t="shared" si="12"/>
        <v>0</v>
      </c>
      <c r="AA37" s="170">
        <f>IFERROR(VLOOKUP(A37,#REF!,8,FALSE),0)</f>
        <v>0</v>
      </c>
      <c r="AB37" s="40">
        <f t="shared" si="13"/>
        <v>0</v>
      </c>
    </row>
    <row r="38" spans="1:28" s="170" customFormat="1" ht="15" customHeight="1" x14ac:dyDescent="0.25">
      <c r="A38" s="318">
        <v>52918</v>
      </c>
      <c r="B38" s="318">
        <v>52918</v>
      </c>
      <c r="C38" s="319" t="s">
        <v>613</v>
      </c>
      <c r="D38" s="319" t="s">
        <v>412</v>
      </c>
      <c r="E38" s="319">
        <v>2096152918</v>
      </c>
      <c r="F38" s="320">
        <v>42958</v>
      </c>
      <c r="G38" s="172">
        <v>42960</v>
      </c>
      <c r="H38" s="171">
        <v>2</v>
      </c>
      <c r="I38" s="321"/>
      <c r="J38" s="322"/>
      <c r="K38" s="321">
        <v>170170</v>
      </c>
      <c r="L38" s="321"/>
      <c r="M38" s="321"/>
      <c r="N38" s="321"/>
      <c r="O38" s="321">
        <v>172788</v>
      </c>
      <c r="P38" s="321"/>
      <c r="Q38" s="175">
        <f t="shared" si="8"/>
        <v>0</v>
      </c>
      <c r="R38" s="175">
        <f t="shared" si="9"/>
        <v>342958</v>
      </c>
      <c r="S38" s="173">
        <f>IF(H38=0,(Q38+R38/EERR!$D$2/1.19),(Q38+R38/EERR!$D$2/1.19)/H38)</f>
        <v>223.67440705327209</v>
      </c>
      <c r="T38" s="175">
        <f>R38+Q38*EERR!$D$2</f>
        <v>342958</v>
      </c>
      <c r="U38" s="170">
        <f>IFERROR(VLOOKUP(E38,Booking!$B$2:$R$100,16,FALSE),0)</f>
        <v>2</v>
      </c>
      <c r="V38" s="179">
        <f>SUMIF(Transbank!$A$2:$A$444,B38,Transbank!$L$2:$L$444)+(I38+M38)+(J38+N38)*EERR!$D$2</f>
        <v>342958</v>
      </c>
      <c r="W38" s="179">
        <f>V38/EERR!$D$2</f>
        <v>532.34508878678753</v>
      </c>
      <c r="X38" s="179">
        <f t="shared" si="10"/>
        <v>0</v>
      </c>
      <c r="Y38" s="179">
        <f t="shared" si="11"/>
        <v>143000</v>
      </c>
      <c r="Z38" s="179">
        <f t="shared" si="12"/>
        <v>0</v>
      </c>
      <c r="AA38" s="170">
        <f>IFERROR(VLOOKUP(A38,#REF!,8,FALSE),0)</f>
        <v>0</v>
      </c>
      <c r="AB38" s="40">
        <f t="shared" si="13"/>
        <v>0</v>
      </c>
    </row>
    <row r="39" spans="1:28" s="170" customFormat="1" x14ac:dyDescent="0.25">
      <c r="A39" s="318">
        <v>98804</v>
      </c>
      <c r="B39" s="318">
        <v>98804</v>
      </c>
      <c r="C39" s="319" t="s">
        <v>614</v>
      </c>
      <c r="D39" s="319" t="s">
        <v>412</v>
      </c>
      <c r="E39" s="319">
        <v>2065198804</v>
      </c>
      <c r="F39" s="320">
        <v>42962</v>
      </c>
      <c r="G39" s="172">
        <v>42966</v>
      </c>
      <c r="H39" s="171">
        <v>4</v>
      </c>
      <c r="I39" s="321"/>
      <c r="J39" s="322"/>
      <c r="K39" s="321">
        <v>451105</v>
      </c>
      <c r="L39" s="321"/>
      <c r="M39" s="321"/>
      <c r="N39" s="321"/>
      <c r="O39" s="321">
        <v>152456</v>
      </c>
      <c r="P39" s="321"/>
      <c r="Q39" s="175">
        <f t="shared" si="8"/>
        <v>0</v>
      </c>
      <c r="R39" s="175">
        <f t="shared" si="9"/>
        <v>603561</v>
      </c>
      <c r="S39" s="173">
        <f>IF(H39=0,(Q39+R39/EERR!$D$2/1.19),(Q39+R39/EERR!$D$2/1.19)/H39)</f>
        <v>196.81877780293789</v>
      </c>
      <c r="T39" s="175">
        <f>R39+Q39*EERR!$D$2</f>
        <v>603561</v>
      </c>
      <c r="U39" s="170">
        <f>IFERROR(VLOOKUP(E39,Booking!$B$2:$R$100,16,FALSE),0)</f>
        <v>4</v>
      </c>
      <c r="V39" s="179">
        <f>SUMIF(Transbank!$A$2:$A$444,B39,Transbank!$L$2:$L$444)+(I39+M39)+(J39+N39)*EERR!$D$2</f>
        <v>603561</v>
      </c>
      <c r="W39" s="179">
        <f>V39/EERR!$D$2</f>
        <v>936.85738234198436</v>
      </c>
      <c r="X39" s="179">
        <f t="shared" si="10"/>
        <v>0</v>
      </c>
      <c r="Y39" s="179">
        <f t="shared" si="11"/>
        <v>379079.83193277312</v>
      </c>
      <c r="Z39" s="179">
        <f t="shared" si="12"/>
        <v>0</v>
      </c>
      <c r="AA39" s="170">
        <f>IFERROR(VLOOKUP(A39,#REF!,8,FALSE),0)</f>
        <v>0</v>
      </c>
      <c r="AB39" s="40">
        <f t="shared" si="13"/>
        <v>0</v>
      </c>
    </row>
    <row r="40" spans="1:28" s="170" customFormat="1" ht="15" customHeight="1" x14ac:dyDescent="0.25">
      <c r="A40" s="318">
        <v>2556</v>
      </c>
      <c r="B40" s="318">
        <v>75642</v>
      </c>
      <c r="C40" s="319" t="s">
        <v>615</v>
      </c>
      <c r="D40" s="319" t="s">
        <v>412</v>
      </c>
      <c r="E40" s="319">
        <v>1716875642</v>
      </c>
      <c r="F40" s="320">
        <v>42969</v>
      </c>
      <c r="G40" s="172">
        <v>42976</v>
      </c>
      <c r="H40" s="171">
        <v>7</v>
      </c>
      <c r="I40" s="321"/>
      <c r="J40" s="322">
        <v>1170</v>
      </c>
      <c r="K40" s="321"/>
      <c r="L40" s="321"/>
      <c r="M40" s="321"/>
      <c r="N40" s="321"/>
      <c r="O40" s="321"/>
      <c r="P40" s="321">
        <v>195</v>
      </c>
      <c r="Q40" s="175">
        <f t="shared" si="8"/>
        <v>1365</v>
      </c>
      <c r="R40" s="175">
        <f t="shared" si="9"/>
        <v>0</v>
      </c>
      <c r="S40" s="173">
        <f>IF(H40=0,(Q40+R40/EERR!$D$2/1.19),(Q40+R40/EERR!$D$2/1.19)/H40)</f>
        <v>195</v>
      </c>
      <c r="T40" s="175">
        <f>R40+Q40*EERR!$D$2</f>
        <v>879387.6</v>
      </c>
      <c r="U40" s="170">
        <f>IFERROR(VLOOKUP(E40,Booking!$B$2:$R$100,16,FALSE),0)</f>
        <v>7</v>
      </c>
      <c r="V40" s="179">
        <f>SUMIF(Transbank!$A$2:$A$444,B40,Transbank!$L$2:$L$444)+(I40+M40)+(J40+N40)*EERR!$D$2</f>
        <v>882070.8</v>
      </c>
      <c r="W40" s="179">
        <f>V40/EERR!$D$2</f>
        <v>1369.1649074878928</v>
      </c>
      <c r="X40" s="179">
        <f t="shared" si="10"/>
        <v>2683.2000000000698</v>
      </c>
      <c r="Y40" s="179">
        <f t="shared" si="11"/>
        <v>0</v>
      </c>
      <c r="Z40" s="179">
        <f t="shared" si="12"/>
        <v>0</v>
      </c>
      <c r="AA40" s="170">
        <f>IFERROR(VLOOKUP(A40,#REF!,8,FALSE),0)</f>
        <v>0</v>
      </c>
      <c r="AB40" s="40">
        <f t="shared" si="13"/>
        <v>1365</v>
      </c>
    </row>
    <row r="41" spans="1:28" s="170" customFormat="1" ht="15" customHeight="1" x14ac:dyDescent="0.25">
      <c r="A41" s="318">
        <v>2562</v>
      </c>
      <c r="B41" s="318">
        <v>84142</v>
      </c>
      <c r="C41" s="319" t="s">
        <v>616</v>
      </c>
      <c r="D41" s="319" t="s">
        <v>412</v>
      </c>
      <c r="E41" s="319">
        <v>15477884142</v>
      </c>
      <c r="F41" s="320">
        <v>42971</v>
      </c>
      <c r="G41" s="172">
        <v>42975</v>
      </c>
      <c r="H41" s="335">
        <v>4</v>
      </c>
      <c r="I41" s="321"/>
      <c r="J41" s="322"/>
      <c r="K41" s="321"/>
      <c r="L41" s="321">
        <v>585</v>
      </c>
      <c r="M41" s="321"/>
      <c r="N41" s="321"/>
      <c r="O41" s="321"/>
      <c r="P41" s="321">
        <v>195</v>
      </c>
      <c r="Q41" s="175">
        <f t="shared" si="8"/>
        <v>780</v>
      </c>
      <c r="R41" s="175">
        <f t="shared" si="9"/>
        <v>0</v>
      </c>
      <c r="S41" s="173">
        <f>IF(H41=0,(Q41+R41/EERR!$D$2/1.19),(Q41+R41/EERR!$D$2/1.19)/H41)</f>
        <v>195</v>
      </c>
      <c r="T41" s="175">
        <f>R41+Q41*EERR!$D$2</f>
        <v>502507.2</v>
      </c>
      <c r="U41" s="170">
        <f>IFERROR(VLOOKUP(E41,Booking!$B$2:$R$100,16,FALSE),0)</f>
        <v>0</v>
      </c>
      <c r="V41" s="179">
        <f>SUMIF(Transbank!$A$2:$A$444,B41,Transbank!$L$2:$L$444)+(I41+M41)+(J41+N41)*EERR!$D$2</f>
        <v>502507.2</v>
      </c>
      <c r="W41" s="179">
        <f>V41/EERR!$D$2</f>
        <v>780</v>
      </c>
      <c r="X41" s="179">
        <f t="shared" si="10"/>
        <v>0</v>
      </c>
      <c r="Y41" s="179">
        <f t="shared" si="11"/>
        <v>0</v>
      </c>
      <c r="Z41" s="179">
        <f t="shared" si="12"/>
        <v>0</v>
      </c>
      <c r="AA41" s="170">
        <f>IFERROR(VLOOKUP(A41,#REF!,8,FALSE),0)</f>
        <v>0</v>
      </c>
      <c r="AB41" s="40">
        <f t="shared" si="13"/>
        <v>780</v>
      </c>
    </row>
    <row r="42" spans="1:28" s="170" customFormat="1" ht="15" customHeight="1" x14ac:dyDescent="0.25">
      <c r="A42" s="318">
        <v>2566</v>
      </c>
      <c r="B42" s="318">
        <v>9239</v>
      </c>
      <c r="C42" s="319" t="s">
        <v>617</v>
      </c>
      <c r="D42" s="319" t="s">
        <v>412</v>
      </c>
      <c r="E42" s="319">
        <v>1408409239</v>
      </c>
      <c r="F42" s="320">
        <v>42974</v>
      </c>
      <c r="G42" s="172">
        <v>42980</v>
      </c>
      <c r="H42" s="171">
        <v>6</v>
      </c>
      <c r="I42" s="321"/>
      <c r="J42" s="322">
        <v>975</v>
      </c>
      <c r="K42" s="321"/>
      <c r="L42" s="321"/>
      <c r="M42" s="321"/>
      <c r="N42" s="321"/>
      <c r="O42" s="321"/>
      <c r="P42" s="321">
        <v>195</v>
      </c>
      <c r="Q42" s="175">
        <f t="shared" si="8"/>
        <v>1170</v>
      </c>
      <c r="R42" s="175">
        <f t="shared" si="9"/>
        <v>0</v>
      </c>
      <c r="S42" s="173">
        <f>IF(H42=0,(Q42+R42/EERR!$D$2/1.19),(Q42+R42/EERR!$D$2/1.19)/H42)</f>
        <v>195</v>
      </c>
      <c r="T42" s="175">
        <f>R42+Q42*EERR!$D$2</f>
        <v>753760.8</v>
      </c>
      <c r="U42" s="170">
        <f>IFERROR(VLOOKUP(E42,Booking!$B$2:$R$100,16,FALSE),0)</f>
        <v>6</v>
      </c>
      <c r="V42" s="179">
        <f>SUMIF(Transbank!$A$2:$A$444,B42,Transbank!$L$2:$L$444)+(I42+M42)+(J42+N42)*EERR!$D$2</f>
        <v>753760.8</v>
      </c>
      <c r="W42" s="179">
        <f>V42/EERR!$D$2</f>
        <v>1170</v>
      </c>
      <c r="X42" s="179">
        <f t="shared" si="10"/>
        <v>0</v>
      </c>
      <c r="Y42" s="179">
        <f t="shared" si="11"/>
        <v>0</v>
      </c>
      <c r="Z42" s="179">
        <f t="shared" si="12"/>
        <v>0</v>
      </c>
      <c r="AA42" s="170">
        <f>IFERROR(VLOOKUP(A42,#REF!,8,FALSE),0)</f>
        <v>0</v>
      </c>
      <c r="AB42" s="40">
        <f t="shared" si="13"/>
        <v>1170</v>
      </c>
    </row>
    <row r="43" spans="1:28" s="170" customFormat="1" ht="15" customHeight="1" x14ac:dyDescent="0.25">
      <c r="A43" s="318">
        <v>2567</v>
      </c>
      <c r="B43" s="318">
        <v>68320</v>
      </c>
      <c r="C43" s="319" t="s">
        <v>618</v>
      </c>
      <c r="D43" s="319" t="s">
        <v>412</v>
      </c>
      <c r="E43" s="319">
        <v>185268320</v>
      </c>
      <c r="F43" s="320">
        <v>42974</v>
      </c>
      <c r="G43" s="172">
        <v>42980</v>
      </c>
      <c r="H43" s="335">
        <v>6</v>
      </c>
      <c r="I43" s="321"/>
      <c r="J43" s="322">
        <v>975</v>
      </c>
      <c r="K43" s="321"/>
      <c r="L43" s="321"/>
      <c r="M43" s="321"/>
      <c r="N43" s="321"/>
      <c r="O43" s="321"/>
      <c r="P43" s="321">
        <v>195</v>
      </c>
      <c r="Q43" s="175">
        <f t="shared" si="8"/>
        <v>1170</v>
      </c>
      <c r="R43" s="175">
        <f t="shared" si="9"/>
        <v>0</v>
      </c>
      <c r="S43" s="173">
        <f>IF(H43=0,(Q43+R43/EERR!$D$2/1.19),(Q43+R43/EERR!$D$2/1.19)/H43)</f>
        <v>195</v>
      </c>
      <c r="T43" s="175">
        <f>R43+Q43*EERR!$D$2</f>
        <v>753760.8</v>
      </c>
      <c r="U43" s="170">
        <f>IFERROR(VLOOKUP(E43,Booking!$B$2:$R$100,16,FALSE),0)</f>
        <v>0</v>
      </c>
      <c r="V43" s="179">
        <f>SUMIF(Transbank!$A$2:$A$444,B43,Transbank!$L$2:$L$444)+(I43+M43)+(J43+N43)*EERR!$D$2</f>
        <v>753760.8</v>
      </c>
      <c r="W43" s="179">
        <f>V43/EERR!$D$2</f>
        <v>1170</v>
      </c>
      <c r="X43" s="179">
        <f t="shared" si="10"/>
        <v>0</v>
      </c>
      <c r="Y43" s="179">
        <f t="shared" si="11"/>
        <v>0</v>
      </c>
      <c r="Z43" s="179">
        <f t="shared" si="12"/>
        <v>0</v>
      </c>
      <c r="AA43" s="170">
        <f>IFERROR(VLOOKUP(A43,#REF!,8,FALSE),0)</f>
        <v>0</v>
      </c>
      <c r="AB43" s="40">
        <f t="shared" si="13"/>
        <v>1170</v>
      </c>
    </row>
    <row r="44" spans="1:28" s="170" customFormat="1" ht="15" customHeight="1" x14ac:dyDescent="0.25">
      <c r="A44" s="318">
        <v>2568</v>
      </c>
      <c r="B44" s="318">
        <v>70451</v>
      </c>
      <c r="C44" s="319" t="s">
        <v>619</v>
      </c>
      <c r="D44" s="319" t="s">
        <v>412</v>
      </c>
      <c r="E44" s="319">
        <v>1342970451</v>
      </c>
      <c r="F44" s="320">
        <v>42974</v>
      </c>
      <c r="G44" s="320">
        <v>42976</v>
      </c>
      <c r="H44" s="319">
        <v>2</v>
      </c>
      <c r="I44" s="321"/>
      <c r="J44" s="322"/>
      <c r="K44" s="321"/>
      <c r="L44" s="321">
        <v>370</v>
      </c>
      <c r="M44" s="321"/>
      <c r="N44" s="321"/>
      <c r="O44" s="321"/>
      <c r="P44" s="321"/>
      <c r="Q44" s="175">
        <f t="shared" si="8"/>
        <v>370</v>
      </c>
      <c r="R44" s="175">
        <f t="shared" si="9"/>
        <v>0</v>
      </c>
      <c r="S44" s="173">
        <f>IF(H44=0,(Q44+R44/EERR!$D$2/1.19),(Q44+R44/EERR!$D$2/1.19)/H44)</f>
        <v>185</v>
      </c>
      <c r="T44" s="175">
        <f>R44+Q44*EERR!$D$2</f>
        <v>238368.80000000002</v>
      </c>
      <c r="U44" s="170">
        <f>IFERROR(VLOOKUP(E44,Booking!$B$2:$R$100,16,FALSE),0)</f>
        <v>2</v>
      </c>
      <c r="V44" s="179">
        <f>SUMIF(Transbank!$A$2:$A$444,B44,Transbank!$L$2:$L$444)+(I44+M44)+(J44+N44)*EERR!$D$2</f>
        <v>238368.80000000002</v>
      </c>
      <c r="W44" s="179">
        <f>V44/EERR!$D$2</f>
        <v>370</v>
      </c>
      <c r="X44" s="179">
        <f t="shared" si="10"/>
        <v>0</v>
      </c>
      <c r="Y44" s="179">
        <f t="shared" si="11"/>
        <v>0</v>
      </c>
      <c r="Z44" s="179">
        <f t="shared" si="12"/>
        <v>0</v>
      </c>
      <c r="AA44" s="170">
        <f>IFERROR(VLOOKUP(A44,#REF!,8,FALSE),0)</f>
        <v>0</v>
      </c>
      <c r="AB44" s="40">
        <f t="shared" si="13"/>
        <v>370</v>
      </c>
    </row>
    <row r="45" spans="1:28" s="170" customFormat="1" ht="15" customHeight="1" x14ac:dyDescent="0.25">
      <c r="A45" s="318">
        <v>2569</v>
      </c>
      <c r="B45" s="318">
        <v>83732</v>
      </c>
      <c r="C45" s="319" t="s">
        <v>620</v>
      </c>
      <c r="D45" s="319" t="s">
        <v>412</v>
      </c>
      <c r="E45" s="319">
        <v>2029183732</v>
      </c>
      <c r="F45" s="320">
        <v>42975</v>
      </c>
      <c r="G45" s="320">
        <v>42980</v>
      </c>
      <c r="H45" s="319">
        <v>5</v>
      </c>
      <c r="I45" s="321"/>
      <c r="J45" s="322"/>
      <c r="K45" s="321"/>
      <c r="L45" s="321">
        <v>702</v>
      </c>
      <c r="M45" s="321"/>
      <c r="N45" s="321"/>
      <c r="O45" s="321"/>
      <c r="P45" s="321">
        <v>175.5</v>
      </c>
      <c r="Q45" s="175">
        <f t="shared" si="8"/>
        <v>877.5</v>
      </c>
      <c r="R45" s="175">
        <f t="shared" si="9"/>
        <v>0</v>
      </c>
      <c r="S45" s="173">
        <f>IF(H45=0,(Q45+R45/EERR!$D$2/1.19),(Q45+R45/EERR!$D$2/1.19)/H45)</f>
        <v>175.5</v>
      </c>
      <c r="T45" s="175">
        <f>R45+Q45*EERR!$D$2</f>
        <v>565320.6</v>
      </c>
      <c r="U45" s="170">
        <f>IFERROR(VLOOKUP(E45,Booking!$B$2:$R$100,16,FALSE),0)</f>
        <v>5</v>
      </c>
      <c r="V45" s="179">
        <f>SUMIF(Transbank!$A$2:$A$444,B45,Transbank!$L$2:$L$444)+(I45+M45)+(J45+N45)*EERR!$D$2</f>
        <v>565642.72</v>
      </c>
      <c r="W45" s="179">
        <f>V45/EERR!$D$2</f>
        <v>878</v>
      </c>
      <c r="X45" s="179">
        <f t="shared" si="10"/>
        <v>322.11999999999534</v>
      </c>
      <c r="Y45" s="179">
        <f t="shared" si="11"/>
        <v>0</v>
      </c>
      <c r="Z45" s="179">
        <f t="shared" si="12"/>
        <v>0</v>
      </c>
      <c r="AA45" s="170">
        <f>IFERROR(VLOOKUP(A45,#REF!,8,FALSE),0)</f>
        <v>0</v>
      </c>
      <c r="AB45" s="40">
        <f t="shared" si="13"/>
        <v>877.5</v>
      </c>
    </row>
    <row r="46" spans="1:28" s="170" customFormat="1" x14ac:dyDescent="0.25">
      <c r="A46" s="318">
        <v>2573</v>
      </c>
      <c r="B46" s="318">
        <v>85310</v>
      </c>
      <c r="C46" s="319" t="s">
        <v>638</v>
      </c>
      <c r="D46" s="319" t="s">
        <v>374</v>
      </c>
      <c r="E46" s="319">
        <v>1933885310</v>
      </c>
      <c r="F46" s="320">
        <v>42978</v>
      </c>
      <c r="G46" s="320">
        <v>42983</v>
      </c>
      <c r="H46" s="319">
        <v>5</v>
      </c>
      <c r="I46" s="321"/>
      <c r="J46" s="322"/>
      <c r="K46" s="321"/>
      <c r="L46" s="321">
        <v>780</v>
      </c>
      <c r="M46" s="321"/>
      <c r="N46" s="321"/>
      <c r="O46" s="321"/>
      <c r="P46" s="321">
        <v>195</v>
      </c>
      <c r="Q46" s="175">
        <f t="shared" si="8"/>
        <v>975</v>
      </c>
      <c r="R46" s="175">
        <f t="shared" si="9"/>
        <v>0</v>
      </c>
      <c r="S46" s="173">
        <f>IF(H46=0,(Q46+R46/EERR!$D$2/1.19),(Q46+R46/EERR!$D$2/1.19)/H46)</f>
        <v>195</v>
      </c>
      <c r="T46" s="175">
        <f>R46+Q46*EERR!$D$2</f>
        <v>628134</v>
      </c>
      <c r="U46" s="170">
        <f>IFERROR(VLOOKUP(E46,Booking!$B$2:$R$100,16,FALSE),0)</f>
        <v>5</v>
      </c>
      <c r="V46" s="179">
        <f>SUMIF(Transbank!$A$2:$A$444,B46,Transbank!$L$2:$L$444)+(I46+M46)+(J46+N46)*EERR!$D$2</f>
        <v>628134</v>
      </c>
      <c r="W46" s="179">
        <f>V46/EERR!$D$2</f>
        <v>975</v>
      </c>
      <c r="X46" s="179">
        <f t="shared" si="10"/>
        <v>0</v>
      </c>
      <c r="Y46" s="179">
        <f t="shared" si="11"/>
        <v>0</v>
      </c>
      <c r="Z46" s="179">
        <f t="shared" si="12"/>
        <v>0</v>
      </c>
      <c r="AA46" s="170">
        <f>IFERROR(VLOOKUP(A46,#REF!,8,FALSE),0)</f>
        <v>0</v>
      </c>
      <c r="AB46" s="40">
        <f t="shared" si="13"/>
        <v>975</v>
      </c>
    </row>
    <row r="47" spans="1:28" s="170" customFormat="1" x14ac:dyDescent="0.25">
      <c r="A47" s="318"/>
      <c r="B47" s="318"/>
      <c r="C47" s="319"/>
      <c r="D47" s="319"/>
      <c r="E47" s="319"/>
      <c r="F47" s="320"/>
      <c r="G47" s="320"/>
      <c r="H47" s="319"/>
      <c r="I47" s="321"/>
      <c r="J47" s="322"/>
      <c r="K47" s="321"/>
      <c r="L47" s="321"/>
      <c r="M47" s="321"/>
      <c r="N47" s="321"/>
      <c r="O47" s="321"/>
      <c r="P47" s="321"/>
      <c r="Q47" s="175">
        <f t="shared" si="8"/>
        <v>0</v>
      </c>
      <c r="R47" s="175">
        <f t="shared" si="9"/>
        <v>0</v>
      </c>
      <c r="S47" s="173">
        <f>IF(H47=0,(Q47+R47/EERR!$D$2/1.19),(Q47+R47/EERR!$D$2/1.19)/H47)</f>
        <v>0</v>
      </c>
      <c r="T47" s="175">
        <f>R47+Q47*EERR!$D$2</f>
        <v>0</v>
      </c>
      <c r="U47" s="170">
        <f>IFERROR(VLOOKUP(E47,Booking!$B$2:$R$100,16,FALSE),0)</f>
        <v>0</v>
      </c>
      <c r="V47" s="179">
        <f>SUMIF(Transbank!$A$2:$A$444,B47,Transbank!$L$2:$L$444)+(I47+M47)+(J47+N47)*EERR!$D$2</f>
        <v>0</v>
      </c>
      <c r="W47" s="179">
        <f>V47/EERR!$D$2</f>
        <v>0</v>
      </c>
      <c r="X47" s="179">
        <f t="shared" si="10"/>
        <v>0</v>
      </c>
      <c r="Y47" s="179">
        <f t="shared" si="11"/>
        <v>0</v>
      </c>
      <c r="Z47" s="179">
        <f t="shared" si="12"/>
        <v>0</v>
      </c>
      <c r="AA47" s="170">
        <f>IFERROR(VLOOKUP(A47,#REF!,8,FALSE),0)</f>
        <v>0</v>
      </c>
      <c r="AB47" s="40">
        <f t="shared" si="13"/>
        <v>0</v>
      </c>
    </row>
    <row r="48" spans="1:28" s="170" customFormat="1" x14ac:dyDescent="0.25">
      <c r="A48" s="318"/>
      <c r="B48" s="318"/>
      <c r="C48" s="319"/>
      <c r="D48" s="319"/>
      <c r="E48" s="319"/>
      <c r="F48" s="320"/>
      <c r="G48" s="320"/>
      <c r="H48" s="319"/>
      <c r="I48" s="321"/>
      <c r="J48" s="322"/>
      <c r="K48" s="321"/>
      <c r="L48" s="321"/>
      <c r="M48" s="321"/>
      <c r="N48" s="321"/>
      <c r="O48" s="321"/>
      <c r="P48" s="321"/>
      <c r="Q48" s="175">
        <f t="shared" si="8"/>
        <v>0</v>
      </c>
      <c r="R48" s="175">
        <f t="shared" si="9"/>
        <v>0</v>
      </c>
      <c r="S48" s="173">
        <f>IF(H48=0,(Q48+R48/EERR!$D$2/1.19),(Q48+R48/EERR!$D$2/1.19)/H48)</f>
        <v>0</v>
      </c>
      <c r="T48" s="175">
        <f>R48+Q48*EERR!$D$2</f>
        <v>0</v>
      </c>
      <c r="U48" s="170">
        <f>IFERROR(VLOOKUP(E48,Booking!$B$2:$R$100,16,FALSE),0)</f>
        <v>0</v>
      </c>
      <c r="V48" s="179">
        <f>SUMIF(Transbank!$A$2:$A$444,B48,Transbank!$L$2:$L$444)+(I48+M48)+(J48+N48)*EERR!$D$2</f>
        <v>0</v>
      </c>
      <c r="W48" s="179">
        <f>V48/EERR!$D$2</f>
        <v>0</v>
      </c>
      <c r="X48" s="179">
        <f t="shared" si="10"/>
        <v>0</v>
      </c>
      <c r="Y48" s="179">
        <f t="shared" si="11"/>
        <v>0</v>
      </c>
      <c r="Z48" s="179">
        <f t="shared" si="12"/>
        <v>0</v>
      </c>
      <c r="AA48" s="170">
        <f>IFERROR(VLOOKUP(A48,#REF!,8,FALSE),0)</f>
        <v>0</v>
      </c>
      <c r="AB48" s="40">
        <f t="shared" si="13"/>
        <v>0</v>
      </c>
    </row>
    <row r="49" spans="1:28" s="170" customFormat="1" x14ac:dyDescent="0.25">
      <c r="A49" s="318"/>
      <c r="B49" s="318"/>
      <c r="C49" s="319"/>
      <c r="D49" s="319"/>
      <c r="E49" s="319"/>
      <c r="F49" s="320"/>
      <c r="G49" s="320"/>
      <c r="H49" s="319"/>
      <c r="I49" s="321"/>
      <c r="J49" s="322"/>
      <c r="K49" s="321"/>
      <c r="L49" s="321"/>
      <c r="M49" s="321"/>
      <c r="N49" s="321"/>
      <c r="O49" s="321"/>
      <c r="P49" s="321"/>
      <c r="Q49" s="175">
        <f t="shared" si="8"/>
        <v>0</v>
      </c>
      <c r="R49" s="175">
        <f t="shared" si="9"/>
        <v>0</v>
      </c>
      <c r="S49" s="173">
        <f>IF(H49=0,(Q49+R49/EERR!$D$2/1.19),(Q49+R49/EERR!$D$2/1.19)/H49)</f>
        <v>0</v>
      </c>
      <c r="T49" s="175">
        <f>R49+Q49*EERR!$D$2</f>
        <v>0</v>
      </c>
      <c r="U49" s="170">
        <f>IFERROR(VLOOKUP(E49,Booking!$B$2:$R$100,16,FALSE),0)</f>
        <v>0</v>
      </c>
      <c r="V49" s="179">
        <f>SUMIF(Transbank!$A$2:$A$444,B49,Transbank!$L$2:$L$444)+(I49+M49)+(J49+N49)*EERR!$D$2</f>
        <v>0</v>
      </c>
      <c r="W49" s="179">
        <f>V49/EERR!$D$2</f>
        <v>0</v>
      </c>
      <c r="X49" s="179">
        <f t="shared" si="10"/>
        <v>0</v>
      </c>
      <c r="Y49" s="179">
        <f t="shared" si="11"/>
        <v>0</v>
      </c>
      <c r="Z49" s="179">
        <f t="shared" si="12"/>
        <v>0</v>
      </c>
      <c r="AA49" s="170">
        <f>IFERROR(VLOOKUP(A49,#REF!,8,FALSE),0)</f>
        <v>0</v>
      </c>
      <c r="AB49" s="40">
        <f t="shared" si="13"/>
        <v>0</v>
      </c>
    </row>
    <row r="50" spans="1:28" s="170" customFormat="1" x14ac:dyDescent="0.25">
      <c r="A50" s="318"/>
      <c r="B50" s="318"/>
      <c r="C50" s="319"/>
      <c r="D50" s="319"/>
      <c r="E50" s="319"/>
      <c r="F50" s="320"/>
      <c r="G50" s="320"/>
      <c r="H50" s="319"/>
      <c r="I50" s="321"/>
      <c r="J50" s="322"/>
      <c r="K50" s="321"/>
      <c r="L50" s="321"/>
      <c r="M50" s="321"/>
      <c r="N50" s="321"/>
      <c r="O50" s="321"/>
      <c r="P50" s="321"/>
      <c r="Q50" s="175">
        <f t="shared" si="8"/>
        <v>0</v>
      </c>
      <c r="R50" s="175">
        <f t="shared" si="9"/>
        <v>0</v>
      </c>
      <c r="S50" s="173">
        <f>IF(H50=0,(Q50+R50/EERR!$D$2/1.19),(Q50+R50/EERR!$D$2/1.19)/H50)</f>
        <v>0</v>
      </c>
      <c r="T50" s="175">
        <f>R50+Q50*EERR!$D$2</f>
        <v>0</v>
      </c>
      <c r="U50" s="170">
        <f>IFERROR(VLOOKUP(E50,Booking!$B$2:$R$100,16,FALSE),0)</f>
        <v>0</v>
      </c>
      <c r="V50" s="179">
        <f>SUMIF(Transbank!$A$2:$A$444,B50,Transbank!$L$2:$L$444)+(I50+M50)+(J50+N50)*EERR!$D$2</f>
        <v>0</v>
      </c>
      <c r="W50" s="179">
        <f>V50/EERR!$D$2</f>
        <v>0</v>
      </c>
      <c r="X50" s="179">
        <f t="shared" si="10"/>
        <v>0</v>
      </c>
      <c r="Y50" s="179">
        <f t="shared" si="11"/>
        <v>0</v>
      </c>
      <c r="Z50" s="179">
        <f t="shared" si="12"/>
        <v>0</v>
      </c>
      <c r="AA50" s="170">
        <f>IFERROR(VLOOKUP(A50,#REF!,8,FALSE),0)</f>
        <v>0</v>
      </c>
      <c r="AB50" s="40">
        <f t="shared" si="13"/>
        <v>0</v>
      </c>
    </row>
    <row r="51" spans="1:28" s="170" customFormat="1" x14ac:dyDescent="0.25">
      <c r="A51" s="318"/>
      <c r="B51" s="318"/>
      <c r="C51" s="319"/>
      <c r="D51" s="319"/>
      <c r="E51" s="319"/>
      <c r="F51" s="320"/>
      <c r="G51" s="320"/>
      <c r="H51" s="319"/>
      <c r="I51" s="321"/>
      <c r="J51" s="322"/>
      <c r="K51" s="321"/>
      <c r="L51" s="321"/>
      <c r="M51" s="321"/>
      <c r="N51" s="321"/>
      <c r="O51" s="321"/>
      <c r="P51" s="321"/>
      <c r="Q51" s="175">
        <f t="shared" si="8"/>
        <v>0</v>
      </c>
      <c r="R51" s="175">
        <f t="shared" si="9"/>
        <v>0</v>
      </c>
      <c r="S51" s="173">
        <f>IF(H51=0,(Q51+R51/EERR!$D$2/1.19),(Q51+R51/EERR!$D$2/1.19)/H51)</f>
        <v>0</v>
      </c>
      <c r="T51" s="175">
        <f>R51+Q51*EERR!$D$2</f>
        <v>0</v>
      </c>
      <c r="U51" s="170">
        <f>IFERROR(VLOOKUP(E51,Booking!$B$2:$R$100,16,FALSE),0)</f>
        <v>0</v>
      </c>
      <c r="V51" s="179">
        <f>SUMIF(Transbank!$A$2:$A$444,B51,Transbank!$L$2:$L$444)+(I51+M51)+(J51+N51)*EERR!$D$2</f>
        <v>0</v>
      </c>
      <c r="W51" s="179">
        <f>V51/EERR!$D$2</f>
        <v>0</v>
      </c>
      <c r="X51" s="179">
        <f t="shared" si="10"/>
        <v>0</v>
      </c>
      <c r="Y51" s="179">
        <f t="shared" si="11"/>
        <v>0</v>
      </c>
      <c r="Z51" s="179">
        <f t="shared" si="12"/>
        <v>0</v>
      </c>
      <c r="AA51" s="170">
        <f>IFERROR(VLOOKUP(A51,#REF!,8,FALSE),0)</f>
        <v>0</v>
      </c>
      <c r="AB51" s="40">
        <f t="shared" si="13"/>
        <v>0</v>
      </c>
    </row>
    <row r="52" spans="1:28" s="170" customFormat="1" x14ac:dyDescent="0.25">
      <c r="A52" s="318"/>
      <c r="B52" s="318"/>
      <c r="C52" s="319"/>
      <c r="D52" s="319"/>
      <c r="E52" s="319"/>
      <c r="F52" s="320"/>
      <c r="G52" s="320"/>
      <c r="H52" s="323"/>
      <c r="I52" s="321"/>
      <c r="J52" s="322"/>
      <c r="K52" s="321"/>
      <c r="L52" s="321"/>
      <c r="M52" s="321"/>
      <c r="N52" s="321"/>
      <c r="O52" s="321"/>
      <c r="P52" s="321"/>
      <c r="Q52" s="175">
        <f t="shared" si="8"/>
        <v>0</v>
      </c>
      <c r="R52" s="175">
        <f t="shared" si="9"/>
        <v>0</v>
      </c>
      <c r="S52" s="173">
        <f>IF(H52=0,(Q52+R52/EERR!$D$2/1.19),(Q52+R52/EERR!$D$2/1.19)/H52)</f>
        <v>0</v>
      </c>
      <c r="T52" s="175">
        <f>R52+Q52*EERR!$D$2</f>
        <v>0</v>
      </c>
      <c r="U52" s="170">
        <f>IFERROR(VLOOKUP(E52,Booking!$B$2:$R$100,16,FALSE),0)</f>
        <v>0</v>
      </c>
      <c r="V52" s="179">
        <f>SUMIF(Transbank!$A$2:$A$444,B52,Transbank!$L$2:$L$444)+(I52+M52)+(J52+N52)*EERR!$D$2</f>
        <v>0</v>
      </c>
      <c r="W52" s="179">
        <f>V52/EERR!$D$2</f>
        <v>0</v>
      </c>
      <c r="X52" s="179">
        <f t="shared" si="10"/>
        <v>0</v>
      </c>
      <c r="Y52" s="179">
        <f t="shared" si="11"/>
        <v>0</v>
      </c>
      <c r="Z52" s="179">
        <f t="shared" si="12"/>
        <v>0</v>
      </c>
      <c r="AA52" s="170">
        <f>IFERROR(VLOOKUP(A52,#REF!,8,FALSE),0)</f>
        <v>0</v>
      </c>
      <c r="AB52" s="40">
        <f t="shared" si="13"/>
        <v>0</v>
      </c>
    </row>
    <row r="53" spans="1:28" s="170" customFormat="1" x14ac:dyDescent="0.25">
      <c r="A53" s="318"/>
      <c r="B53" s="318"/>
      <c r="C53" s="319"/>
      <c r="D53" s="319"/>
      <c r="E53" s="319"/>
      <c r="F53" s="320"/>
      <c r="G53" s="320"/>
      <c r="H53" s="319"/>
      <c r="I53" s="321"/>
      <c r="J53" s="322"/>
      <c r="K53" s="321"/>
      <c r="L53" s="321"/>
      <c r="M53" s="321"/>
      <c r="N53" s="321"/>
      <c r="O53" s="321"/>
      <c r="P53" s="321"/>
      <c r="Q53" s="175"/>
      <c r="R53" s="175"/>
      <c r="S53" s="173"/>
      <c r="T53" s="175"/>
      <c r="U53" s="170">
        <f>IFERROR(VLOOKUP(E53,Booking!$B$2:$R$100,16,FALSE),0)</f>
        <v>0</v>
      </c>
      <c r="V53" s="179">
        <f>SUMIF(Transbank!$A$2:$A$444,B53,Transbank!$L$2:$L$444)+(I53+M53)+(J53+N53)*EERR!$D$2</f>
        <v>0</v>
      </c>
      <c r="W53" s="179">
        <f>V53/EERR!$D$2</f>
        <v>0</v>
      </c>
      <c r="X53" s="179">
        <f t="shared" si="7"/>
        <v>0</v>
      </c>
      <c r="Y53" s="179">
        <f t="shared" si="4"/>
        <v>0</v>
      </c>
      <c r="Z53" s="179">
        <f t="shared" si="5"/>
        <v>0</v>
      </c>
      <c r="AA53" s="170">
        <f>IFERROR(VLOOKUP(A53,#REF!,8,FALSE),0)</f>
        <v>0</v>
      </c>
      <c r="AB53" s="40">
        <f t="shared" si="6"/>
        <v>0</v>
      </c>
    </row>
    <row r="54" spans="1:28" s="170" customFormat="1" x14ac:dyDescent="0.25">
      <c r="A54" s="318"/>
      <c r="B54" s="318"/>
      <c r="C54" s="319"/>
      <c r="D54" s="319"/>
      <c r="E54" s="319"/>
      <c r="F54" s="320"/>
      <c r="G54" s="320"/>
      <c r="H54" s="319"/>
      <c r="I54" s="321"/>
      <c r="J54" s="322"/>
      <c r="K54" s="321"/>
      <c r="L54" s="321"/>
      <c r="M54" s="321"/>
      <c r="N54" s="321"/>
      <c r="O54" s="321"/>
      <c r="P54" s="321"/>
      <c r="Q54" s="175"/>
      <c r="R54" s="175"/>
      <c r="S54" s="173"/>
      <c r="T54" s="175"/>
      <c r="U54" s="170">
        <f>IFERROR(VLOOKUP(E54,Booking!$B$2:$R$100,16,FALSE),0)</f>
        <v>0</v>
      </c>
      <c r="V54" s="179">
        <f>SUMIF(Transbank!$A$2:$A$444,B54,Transbank!$L$2:$L$444)+(I54+M54)+(J54+N54)*EERR!$D$2</f>
        <v>0</v>
      </c>
      <c r="W54" s="179">
        <f>V54/EERR!$D$2</f>
        <v>0</v>
      </c>
      <c r="X54" s="179">
        <f t="shared" si="7"/>
        <v>0</v>
      </c>
      <c r="Y54" s="179">
        <f t="shared" si="4"/>
        <v>0</v>
      </c>
      <c r="Z54" s="179">
        <f t="shared" si="5"/>
        <v>0</v>
      </c>
      <c r="AA54" s="170">
        <f>IFERROR(VLOOKUP(A54,#REF!,8,FALSE),0)</f>
        <v>0</v>
      </c>
      <c r="AB54" s="40">
        <f t="shared" si="6"/>
        <v>0</v>
      </c>
    </row>
    <row r="55" spans="1:28" s="170" customFormat="1" x14ac:dyDescent="0.25">
      <c r="A55" s="318"/>
      <c r="B55" s="318"/>
      <c r="C55" s="319"/>
      <c r="D55" s="319"/>
      <c r="E55" s="319"/>
      <c r="F55" s="320"/>
      <c r="G55" s="320"/>
      <c r="H55" s="319"/>
      <c r="I55" s="321"/>
      <c r="J55" s="322"/>
      <c r="K55" s="321"/>
      <c r="L55" s="321"/>
      <c r="M55" s="321"/>
      <c r="N55" s="321"/>
      <c r="O55" s="321"/>
      <c r="P55" s="321"/>
      <c r="Q55" s="175"/>
      <c r="R55" s="175"/>
      <c r="S55" s="173"/>
      <c r="T55" s="175"/>
      <c r="U55" s="170">
        <f>IFERROR(VLOOKUP(E55,Booking!$B$2:$R$100,16,FALSE),0)</f>
        <v>0</v>
      </c>
      <c r="V55" s="179">
        <f>SUMIF(Transbank!$A$2:$A$444,B55,Transbank!$L$2:$L$444)+(I55+M55)+(J55+N55)*EERR!$D$2</f>
        <v>0</v>
      </c>
      <c r="W55" s="179">
        <f>V55/EERR!$D$2</f>
        <v>0</v>
      </c>
      <c r="X55" s="179">
        <f t="shared" si="7"/>
        <v>0</v>
      </c>
      <c r="Y55" s="179">
        <f t="shared" si="4"/>
        <v>0</v>
      </c>
      <c r="Z55" s="179">
        <f t="shared" si="5"/>
        <v>0</v>
      </c>
      <c r="AA55" s="170">
        <f>IFERROR(VLOOKUP(A55,#REF!,8,FALSE),0)</f>
        <v>0</v>
      </c>
      <c r="AB55" s="40">
        <f t="shared" si="6"/>
        <v>0</v>
      </c>
    </row>
    <row r="56" spans="1:28" s="170" customFormat="1" x14ac:dyDescent="0.25">
      <c r="A56" s="318"/>
      <c r="B56" s="318"/>
      <c r="C56" s="319"/>
      <c r="D56" s="319"/>
      <c r="E56" s="319"/>
      <c r="F56" s="320"/>
      <c r="G56" s="320"/>
      <c r="H56" s="319"/>
      <c r="I56" s="321"/>
      <c r="J56" s="322"/>
      <c r="K56" s="321"/>
      <c r="L56" s="321"/>
      <c r="M56" s="321"/>
      <c r="N56" s="321"/>
      <c r="O56" s="321"/>
      <c r="P56" s="321"/>
      <c r="Q56" s="175"/>
      <c r="R56" s="175"/>
      <c r="S56" s="173"/>
      <c r="T56" s="175"/>
      <c r="U56" s="170">
        <f>IFERROR(VLOOKUP(E56,Booking!$B$2:$R$100,16,FALSE),0)</f>
        <v>0</v>
      </c>
      <c r="V56" s="179">
        <f>SUMIF(Transbank!$A$2:$A$444,B56,Transbank!$L$2:$L$444)+(I56+M56)+(J56+N56)*EERR!$D$2</f>
        <v>0</v>
      </c>
      <c r="W56" s="179">
        <f>V56/EERR!$D$2</f>
        <v>0</v>
      </c>
      <c r="X56" s="179">
        <f t="shared" si="7"/>
        <v>0</v>
      </c>
      <c r="Y56" s="179">
        <f t="shared" si="4"/>
        <v>0</v>
      </c>
      <c r="Z56" s="179">
        <f t="shared" si="5"/>
        <v>0</v>
      </c>
      <c r="AA56" s="170">
        <f>IFERROR(VLOOKUP(A56,#REF!,8,FALSE),0)</f>
        <v>0</v>
      </c>
      <c r="AB56" s="40">
        <f t="shared" si="6"/>
        <v>0</v>
      </c>
    </row>
    <row r="57" spans="1:28" x14ac:dyDescent="0.25">
      <c r="A57" s="302"/>
      <c r="B57" s="302"/>
      <c r="C57" s="302"/>
      <c r="D57" s="302"/>
      <c r="E57" s="302"/>
      <c r="F57" s="307"/>
      <c r="G57" s="307"/>
      <c r="H57" s="308">
        <f t="shared" ref="H57:N57" si="14">SUM(H3:H56)</f>
        <v>194</v>
      </c>
      <c r="I57" s="308">
        <f t="shared" si="14"/>
        <v>0</v>
      </c>
      <c r="J57" s="308">
        <f t="shared" si="14"/>
        <v>8802.5</v>
      </c>
      <c r="K57" s="308">
        <f t="shared" si="14"/>
        <v>3169431</v>
      </c>
      <c r="L57" s="308">
        <f t="shared" si="14"/>
        <v>15566.5</v>
      </c>
      <c r="M57" s="308">
        <f t="shared" si="14"/>
        <v>0</v>
      </c>
      <c r="N57" s="308">
        <f t="shared" si="14"/>
        <v>0</v>
      </c>
      <c r="O57" s="308"/>
      <c r="P57" s="308"/>
      <c r="Q57" s="308">
        <f>SUM(Q3:Q56)</f>
        <v>31508.5</v>
      </c>
      <c r="R57" s="308">
        <f>SUM(R3:R56)</f>
        <v>4436211</v>
      </c>
      <c r="S57" s="308">
        <f>IF(H57=0,(Q57+R57/EERR!$D$2/1.19),(Q57+R57/EERR!$D$2/1.19)/H57)</f>
        <v>192.24237720335816</v>
      </c>
      <c r="T57" s="308">
        <f>SUM(T3:T56)</f>
        <v>24735247.040000007</v>
      </c>
      <c r="U57" s="308"/>
      <c r="V57" s="308">
        <f>SUM(V3:V56)</f>
        <v>24942937.680000003</v>
      </c>
      <c r="W57" s="308"/>
      <c r="X57" s="179">
        <f t="shared" ref="X57:X108" si="15">+V57-T57</f>
        <v>207690.63999999687</v>
      </c>
      <c r="Y57" s="185"/>
      <c r="Z57" s="185"/>
      <c r="AA57" s="170"/>
      <c r="AB57" s="40"/>
    </row>
    <row r="58" spans="1:28" s="143" customFormat="1" x14ac:dyDescent="0.25">
      <c r="A58" s="318">
        <v>2540</v>
      </c>
      <c r="B58" s="318">
        <v>62638</v>
      </c>
      <c r="C58" s="319" t="s">
        <v>621</v>
      </c>
      <c r="D58" s="319" t="s">
        <v>622</v>
      </c>
      <c r="E58" s="319">
        <v>1762638</v>
      </c>
      <c r="F58" s="320">
        <v>42959</v>
      </c>
      <c r="G58" s="320">
        <v>42965</v>
      </c>
      <c r="H58" s="319">
        <v>6</v>
      </c>
      <c r="I58" s="321"/>
      <c r="J58" s="322">
        <v>973.8</v>
      </c>
      <c r="K58" s="321"/>
      <c r="L58" s="321"/>
      <c r="M58" s="321"/>
      <c r="N58" s="321"/>
      <c r="O58" s="321"/>
      <c r="P58" s="321">
        <v>209</v>
      </c>
      <c r="Q58" s="175">
        <f t="shared" ref="Q58" si="16">J58+L58+N58+P58</f>
        <v>1182.8</v>
      </c>
      <c r="R58" s="175">
        <f t="shared" ref="R58" si="17">K58+M58+I58+O58</f>
        <v>0</v>
      </c>
      <c r="S58" s="173">
        <f>IF(H58=0,(Q58+R58/EERR!$D$2/1.19),(Q58+R58/EERR!$D$2/1.19)/H58)</f>
        <v>197.13333333333333</v>
      </c>
      <c r="T58" s="175">
        <f>R58+Q58*EERR!$D$2</f>
        <v>762007.07199999993</v>
      </c>
      <c r="U58" s="170">
        <f>IFERROR(VLOOKUP(E58,Buuteeq!$A$2:$L$49,12,FALSE),0)</f>
        <v>6</v>
      </c>
      <c r="V58" s="179">
        <f>SUMIF(Transbank!$A$2:$A$444,B58,Transbank!$L$2:$L$444)+(I58+M58)+(J58+N58)*EERR!$D$2</f>
        <v>764882.91200000001</v>
      </c>
      <c r="W58" s="185">
        <f>V58/EERR!$D$2</f>
        <v>1187.2639264870236</v>
      </c>
      <c r="X58" s="179">
        <f t="shared" ref="X58:X68" si="18">+V58-T58</f>
        <v>2875.8400000000838</v>
      </c>
      <c r="Y58" s="185">
        <f t="shared" ref="Y58:Y68" si="19">(I58+K58+M58)/1.19</f>
        <v>0</v>
      </c>
      <c r="Z58" s="185">
        <f t="shared" ref="Z58:Z68" si="20">IF(AA58="b",(I58+K58+M58)*0.19,0)</f>
        <v>0</v>
      </c>
      <c r="AA58" s="170">
        <f>IFERROR(VLOOKUP(A58,#REF!,8,FALSE),0)</f>
        <v>0</v>
      </c>
      <c r="AB58" s="40">
        <f t="shared" ref="AB58:AB68" si="21">Q58-AA58</f>
        <v>1182.8</v>
      </c>
    </row>
    <row r="59" spans="1:28" s="170" customFormat="1" x14ac:dyDescent="0.25">
      <c r="A59" s="318">
        <v>2530</v>
      </c>
      <c r="B59" s="318">
        <v>64014</v>
      </c>
      <c r="C59" s="319" t="s">
        <v>623</v>
      </c>
      <c r="D59" s="319" t="s">
        <v>364</v>
      </c>
      <c r="E59" s="319">
        <v>1664014</v>
      </c>
      <c r="F59" s="320">
        <v>42953</v>
      </c>
      <c r="G59" s="320">
        <v>42958</v>
      </c>
      <c r="H59" s="319">
        <v>5</v>
      </c>
      <c r="I59" s="321"/>
      <c r="J59" s="322">
        <v>741</v>
      </c>
      <c r="K59" s="321"/>
      <c r="L59" s="321"/>
      <c r="M59" s="321"/>
      <c r="N59" s="321"/>
      <c r="O59" s="321"/>
      <c r="P59" s="321">
        <v>185.3</v>
      </c>
      <c r="Q59" s="175">
        <f t="shared" ref="Q59" si="22">J59+L59+N59+P59</f>
        <v>926.3</v>
      </c>
      <c r="R59" s="175">
        <f t="shared" ref="R59" si="23">K59+M59+I59+O59</f>
        <v>0</v>
      </c>
      <c r="S59" s="173">
        <f>IF(H59=0,(Q59+R59/EERR!$D$2/1.19),(Q59+R59/EERR!$D$2/1.19)/H59)</f>
        <v>185.26</v>
      </c>
      <c r="T59" s="175">
        <f>R59+Q59*EERR!$D$2</f>
        <v>596759.51199999999</v>
      </c>
      <c r="U59" s="170">
        <f>IFERROR(VLOOKUP(E59,Buuteeq!$A$2:$L$49,12,FALSE),0)</f>
        <v>5</v>
      </c>
      <c r="V59" s="179">
        <f>SUMIF(Transbank!$A$2:$A$444,B59,Transbank!$L$2:$L$444)+(I59+M59)+(J59+N59)*EERR!$D$2</f>
        <v>599111.84000000008</v>
      </c>
      <c r="W59" s="185">
        <f>V59/EERR!$D$2</f>
        <v>929.95132248851371</v>
      </c>
      <c r="X59" s="179">
        <f t="shared" si="18"/>
        <v>2352.3280000000959</v>
      </c>
      <c r="Y59" s="185">
        <f t="shared" si="19"/>
        <v>0</v>
      </c>
      <c r="Z59" s="185">
        <f t="shared" si="20"/>
        <v>0</v>
      </c>
      <c r="AA59" s="170">
        <f>IFERROR(VLOOKUP(A59,#REF!,8,FALSE),0)</f>
        <v>0</v>
      </c>
      <c r="AB59" s="40">
        <f t="shared" si="21"/>
        <v>926.3</v>
      </c>
    </row>
    <row r="60" spans="1:28" s="170" customFormat="1" x14ac:dyDescent="0.25">
      <c r="A60" s="318">
        <v>2536</v>
      </c>
      <c r="B60" s="318">
        <v>78665</v>
      </c>
      <c r="C60" s="319" t="s">
        <v>624</v>
      </c>
      <c r="D60" s="319" t="s">
        <v>364</v>
      </c>
      <c r="E60" s="319">
        <v>1678665</v>
      </c>
      <c r="F60" s="320">
        <v>42957</v>
      </c>
      <c r="G60" s="320">
        <v>42963</v>
      </c>
      <c r="H60" s="319">
        <v>12</v>
      </c>
      <c r="I60" s="321"/>
      <c r="J60" s="322"/>
      <c r="K60" s="321"/>
      <c r="L60" s="321">
        <v>2228</v>
      </c>
      <c r="M60" s="321"/>
      <c r="N60" s="321"/>
      <c r="O60" s="321"/>
      <c r="P60" s="321">
        <v>185.3</v>
      </c>
      <c r="Q60" s="175">
        <f t="shared" ref="Q60:Q65" si="24">J60+L60+N60+P60</f>
        <v>2413.3000000000002</v>
      </c>
      <c r="R60" s="175">
        <f t="shared" ref="R60:R65" si="25">K60+M60+I60+O60</f>
        <v>0</v>
      </c>
      <c r="S60" s="173">
        <f>IF(H60=0,(Q60+R60/EERR!$D$2/1.19),(Q60+R60/EERR!$D$2/1.19)/H60)</f>
        <v>201.10833333333335</v>
      </c>
      <c r="T60" s="175">
        <f>R60+Q60*EERR!$D$2</f>
        <v>1554744.3920000002</v>
      </c>
      <c r="U60" s="170">
        <f>IFERROR(VLOOKUP(E60,Buuteeq!$A$2:$L$49,12,FALSE),0)</f>
        <v>12</v>
      </c>
      <c r="V60" s="291">
        <f>SUMIF(Transbank!$A$2:$A$444,B60,Transbank!$L$2:$L$444)+(I60+M60)+(J60+N60)*EERR!$D$2</f>
        <v>1557096.72</v>
      </c>
      <c r="W60" s="185">
        <f>V60/EERR!$D$2</f>
        <v>2416.9513224885136</v>
      </c>
      <c r="X60" s="179">
        <f t="shared" ref="X60:X65" si="26">+V60-T60</f>
        <v>2352.3279999997467</v>
      </c>
      <c r="Y60" s="185">
        <f t="shared" ref="Y60:Y65" si="27">(I60+K60+M60)/1.19</f>
        <v>0</v>
      </c>
      <c r="Z60" s="185">
        <f t="shared" ref="Z60:Z65" si="28">IF(AA60="b",(I60+K60+M60)*0.19,0)</f>
        <v>0</v>
      </c>
      <c r="AA60" s="170">
        <f>IFERROR(VLOOKUP(A60,#REF!,8,FALSE),0)</f>
        <v>0</v>
      </c>
      <c r="AB60" s="40">
        <f t="shared" ref="AB60:AB65" si="29">Q60-AA60</f>
        <v>2413.3000000000002</v>
      </c>
    </row>
    <row r="61" spans="1:28" s="170" customFormat="1" x14ac:dyDescent="0.25">
      <c r="A61" s="318">
        <v>71570</v>
      </c>
      <c r="B61" s="318">
        <v>71570</v>
      </c>
      <c r="C61" s="319" t="s">
        <v>625</v>
      </c>
      <c r="D61" s="319" t="s">
        <v>364</v>
      </c>
      <c r="E61" s="171">
        <v>1771570</v>
      </c>
      <c r="F61" s="172">
        <v>42959</v>
      </c>
      <c r="G61" s="172">
        <v>42962</v>
      </c>
      <c r="H61" s="171">
        <v>3</v>
      </c>
      <c r="I61" s="173"/>
      <c r="J61" s="322"/>
      <c r="K61" s="321">
        <v>321830</v>
      </c>
      <c r="L61" s="321"/>
      <c r="M61" s="321"/>
      <c r="N61" s="321"/>
      <c r="O61" s="321">
        <v>163402</v>
      </c>
      <c r="P61" s="321"/>
      <c r="Q61" s="175">
        <f t="shared" si="24"/>
        <v>0</v>
      </c>
      <c r="R61" s="175">
        <f t="shared" si="25"/>
        <v>485232</v>
      </c>
      <c r="S61" s="173">
        <f>IF(H61=0,(Q61+R61/EERR!$D$2/1.19),(Q61+R61/EERR!$D$2/1.19)/H61)</f>
        <v>210.97623204255004</v>
      </c>
      <c r="T61" s="175">
        <f>R61+Q61*EERR!$D$2</f>
        <v>485232</v>
      </c>
      <c r="U61" s="170">
        <f>IFERROR(VLOOKUP(E61,Buuteeq!$A$2:$L$49,12,FALSE),0)</f>
        <v>3</v>
      </c>
      <c r="V61" s="179">
        <f>SUMIF(Transbank!$A$2:$A$444,B61,Transbank!$L$2:$L$444)+(I61+M61)+(J61+N61)*EERR!$D$2</f>
        <v>485232</v>
      </c>
      <c r="W61" s="185">
        <f>V61/EERR!$D$2</f>
        <v>753.18514839190368</v>
      </c>
      <c r="X61" s="179">
        <f t="shared" si="26"/>
        <v>0</v>
      </c>
      <c r="Y61" s="185">
        <f t="shared" si="27"/>
        <v>270445.37815126049</v>
      </c>
      <c r="Z61" s="185">
        <f t="shared" si="28"/>
        <v>0</v>
      </c>
      <c r="AA61" s="170">
        <f>IFERROR(VLOOKUP(A61,#REF!,8,FALSE),0)</f>
        <v>0</v>
      </c>
      <c r="AB61" s="40">
        <f t="shared" si="29"/>
        <v>0</v>
      </c>
    </row>
    <row r="62" spans="1:28" s="170" customFormat="1" x14ac:dyDescent="0.25">
      <c r="A62" s="318">
        <v>45417</v>
      </c>
      <c r="B62" s="318">
        <v>45417</v>
      </c>
      <c r="C62" s="319" t="s">
        <v>602</v>
      </c>
      <c r="D62" s="319" t="s">
        <v>364</v>
      </c>
      <c r="E62" s="171">
        <v>1845417</v>
      </c>
      <c r="F62" s="172">
        <v>42972</v>
      </c>
      <c r="G62" s="172">
        <v>42973</v>
      </c>
      <c r="H62" s="171">
        <v>1</v>
      </c>
      <c r="I62" s="173"/>
      <c r="J62" s="322"/>
      <c r="K62" s="321">
        <v>141527</v>
      </c>
      <c r="L62" s="321"/>
      <c r="M62" s="321"/>
      <c r="N62" s="321"/>
      <c r="O62" s="321"/>
      <c r="P62" s="321"/>
      <c r="Q62" s="175">
        <f t="shared" si="24"/>
        <v>0</v>
      </c>
      <c r="R62" s="175">
        <f t="shared" si="25"/>
        <v>141527</v>
      </c>
      <c r="S62" s="173">
        <f>IF(H62=0,(Q62+R62/EERR!$D$2/1.19),(Q62+R62/EERR!$D$2/1.19)/H62)</f>
        <v>184.60550742089958</v>
      </c>
      <c r="T62" s="175">
        <f>R62+Q62*EERR!$D$2</f>
        <v>141527</v>
      </c>
      <c r="U62" s="170">
        <f>IFERROR(VLOOKUP(E62,Buuteeq!$A$2:$L$49,12,FALSE),0)</f>
        <v>1</v>
      </c>
      <c r="V62" s="179">
        <f>SUMIF(Transbank!$A$2:$A$444,B62,Transbank!$L$2:$L$444)+(I62+M62)+(J62+N62)*EERR!$D$2</f>
        <v>141527</v>
      </c>
      <c r="W62" s="185">
        <f>V62/EERR!$D$2</f>
        <v>219.68055383087048</v>
      </c>
      <c r="X62" s="179">
        <f t="shared" si="26"/>
        <v>0</v>
      </c>
      <c r="Y62" s="185">
        <f t="shared" si="27"/>
        <v>118930.25210084034</v>
      </c>
      <c r="Z62" s="185">
        <f t="shared" si="28"/>
        <v>0</v>
      </c>
      <c r="AA62" s="170">
        <f>IFERROR(VLOOKUP(A62,#REF!,8,FALSE),0)</f>
        <v>0</v>
      </c>
      <c r="AB62" s="40">
        <f t="shared" si="29"/>
        <v>0</v>
      </c>
    </row>
    <row r="63" spans="1:28" s="170" customFormat="1" x14ac:dyDescent="0.25">
      <c r="A63" s="318">
        <v>2561</v>
      </c>
      <c r="B63" s="318">
        <v>13931</v>
      </c>
      <c r="C63" s="319" t="s">
        <v>599</v>
      </c>
      <c r="D63" s="319" t="s">
        <v>639</v>
      </c>
      <c r="E63" s="171">
        <v>11111</v>
      </c>
      <c r="F63" s="172">
        <v>42970</v>
      </c>
      <c r="G63" s="172">
        <v>42971</v>
      </c>
      <c r="H63" s="335">
        <v>1</v>
      </c>
      <c r="I63" s="173"/>
      <c r="J63" s="322"/>
      <c r="K63" s="321"/>
      <c r="L63" s="321">
        <v>195</v>
      </c>
      <c r="M63" s="321"/>
      <c r="N63" s="321"/>
      <c r="O63" s="321"/>
      <c r="P63" s="321"/>
      <c r="Q63" s="175">
        <f t="shared" si="24"/>
        <v>195</v>
      </c>
      <c r="R63" s="175">
        <f t="shared" si="25"/>
        <v>0</v>
      </c>
      <c r="S63" s="173">
        <f>IF(H63=0,(Q63+R63/EERR!$D$2/1.19),(Q63+R63/EERR!$D$2/1.19)/H63)</f>
        <v>195</v>
      </c>
      <c r="T63" s="175">
        <f>R63+Q63*EERR!$D$2</f>
        <v>125626.8</v>
      </c>
      <c r="U63" s="170">
        <f>IFERROR(VLOOKUP(E63,Buuteeq!$A$2:$L$49,12,FALSE),0)</f>
        <v>0</v>
      </c>
      <c r="V63" s="179"/>
      <c r="W63" s="185">
        <f>V63/EERR!$D$2</f>
        <v>0</v>
      </c>
      <c r="X63" s="179">
        <f t="shared" si="26"/>
        <v>-125626.8</v>
      </c>
      <c r="Y63" s="185">
        <f t="shared" si="27"/>
        <v>0</v>
      </c>
      <c r="Z63" s="185">
        <f t="shared" si="28"/>
        <v>0</v>
      </c>
      <c r="AA63" s="170">
        <f>IFERROR(VLOOKUP(A63,#REF!,8,FALSE),0)</f>
        <v>0</v>
      </c>
      <c r="AB63" s="40">
        <f t="shared" si="29"/>
        <v>195</v>
      </c>
    </row>
    <row r="64" spans="1:28" s="170" customFormat="1" x14ac:dyDescent="0.25">
      <c r="A64" s="318"/>
      <c r="B64" s="318"/>
      <c r="C64" s="319"/>
      <c r="D64" s="319"/>
      <c r="E64" s="171"/>
      <c r="F64" s="172"/>
      <c r="G64" s="172"/>
      <c r="H64" s="171"/>
      <c r="I64" s="173"/>
      <c r="J64" s="322"/>
      <c r="K64" s="321"/>
      <c r="L64" s="321"/>
      <c r="M64" s="321"/>
      <c r="N64" s="321"/>
      <c r="O64" s="321"/>
      <c r="P64" s="321"/>
      <c r="Q64" s="175">
        <f t="shared" si="24"/>
        <v>0</v>
      </c>
      <c r="R64" s="175">
        <f t="shared" si="25"/>
        <v>0</v>
      </c>
      <c r="S64" s="173">
        <f>IF(H64=0,(Q64+R64/EERR!$D$2/1.19),(Q64+R64/EERR!$D$2/1.19)/H64)</f>
        <v>0</v>
      </c>
      <c r="T64" s="175">
        <f>R64+Q64*EERR!$D$2</f>
        <v>0</v>
      </c>
      <c r="U64" s="170">
        <f>IFERROR(VLOOKUP(E64,Buuteeq!$A$2:$L$49,12,FALSE),0)</f>
        <v>0</v>
      </c>
      <c r="V64" s="179">
        <f>SUMIF(Transbank!$A$2:$A$444,B64,Transbank!$L$2:$L$444)+(I64+M64)+(J64+N64)*EERR!$D$2</f>
        <v>0</v>
      </c>
      <c r="W64" s="185">
        <f>V64/EERR!$D$2</f>
        <v>0</v>
      </c>
      <c r="X64" s="179">
        <f t="shared" si="26"/>
        <v>0</v>
      </c>
      <c r="Y64" s="185">
        <f t="shared" si="27"/>
        <v>0</v>
      </c>
      <c r="Z64" s="185">
        <f t="shared" si="28"/>
        <v>0</v>
      </c>
      <c r="AA64" s="170">
        <f>IFERROR(VLOOKUP(A64,#REF!,8,FALSE),0)</f>
        <v>0</v>
      </c>
      <c r="AB64" s="40">
        <f t="shared" si="29"/>
        <v>0</v>
      </c>
    </row>
    <row r="65" spans="1:28" s="170" customFormat="1" x14ac:dyDescent="0.25">
      <c r="A65" s="318"/>
      <c r="B65" s="318"/>
      <c r="C65" s="319"/>
      <c r="D65" s="319"/>
      <c r="E65" s="319"/>
      <c r="F65" s="320"/>
      <c r="G65" s="320"/>
      <c r="H65" s="319"/>
      <c r="I65" s="321"/>
      <c r="J65" s="322"/>
      <c r="K65" s="321"/>
      <c r="L65" s="321"/>
      <c r="M65" s="321"/>
      <c r="N65" s="321"/>
      <c r="O65" s="321"/>
      <c r="P65" s="321"/>
      <c r="Q65" s="175">
        <f t="shared" si="24"/>
        <v>0</v>
      </c>
      <c r="R65" s="175">
        <f t="shared" si="25"/>
        <v>0</v>
      </c>
      <c r="S65" s="173">
        <f>IF(H65=0,(Q65+R65/EERR!$D$2/1.19),(Q65+R65/EERR!$D$2/1.19)/H65)</f>
        <v>0</v>
      </c>
      <c r="T65" s="175">
        <f>R65+Q65*EERR!$D$2</f>
        <v>0</v>
      </c>
      <c r="U65" s="170">
        <f>IFERROR(VLOOKUP(E65,Buuteeq!$A$2:$L$49,12,FALSE),0)</f>
        <v>0</v>
      </c>
      <c r="V65" s="290">
        <f>SUMIF(Transbank!$A$2:$A$444,B65,Transbank!$L$2:$L$444)+(I65+M65)+(J65+N65)*EERR!$D$2</f>
        <v>0</v>
      </c>
      <c r="W65" s="185">
        <f>V65/EERR!$D$2</f>
        <v>0</v>
      </c>
      <c r="X65" s="179">
        <f t="shared" si="26"/>
        <v>0</v>
      </c>
      <c r="Y65" s="185">
        <f t="shared" si="27"/>
        <v>0</v>
      </c>
      <c r="Z65" s="185">
        <f t="shared" si="28"/>
        <v>0</v>
      </c>
      <c r="AA65" s="170">
        <f>IFERROR(VLOOKUP(A65,#REF!,8,FALSE),0)</f>
        <v>0</v>
      </c>
      <c r="AB65" s="40">
        <f t="shared" si="29"/>
        <v>0</v>
      </c>
    </row>
    <row r="66" spans="1:28" s="170" customFormat="1" x14ac:dyDescent="0.25">
      <c r="A66" s="318"/>
      <c r="B66" s="318"/>
      <c r="C66" s="319"/>
      <c r="D66" s="319"/>
      <c r="E66" s="319"/>
      <c r="F66" s="320"/>
      <c r="G66" s="320"/>
      <c r="H66" s="319"/>
      <c r="I66" s="321"/>
      <c r="J66" s="322"/>
      <c r="K66" s="321"/>
      <c r="L66" s="321"/>
      <c r="M66" s="321"/>
      <c r="N66" s="321"/>
      <c r="O66" s="321"/>
      <c r="P66" s="321"/>
      <c r="Q66" s="175"/>
      <c r="R66" s="175"/>
      <c r="S66" s="173"/>
      <c r="T66" s="175"/>
      <c r="U66" s="170">
        <f>IFERROR(VLOOKUP(E66,Buuteeq!$A$2:$L$49,12,FALSE),0)</f>
        <v>0</v>
      </c>
      <c r="V66" s="179">
        <f>SUMIF(Transbank!$A$2:$A$444,B66,Transbank!$L$2:$L$444)+(I66+M66)+(J66+N66)*EERR!$D$2</f>
        <v>0</v>
      </c>
      <c r="W66" s="185">
        <f>V66/EERR!$D$2</f>
        <v>0</v>
      </c>
      <c r="X66" s="179">
        <f t="shared" si="18"/>
        <v>0</v>
      </c>
      <c r="Y66" s="185">
        <f t="shared" si="19"/>
        <v>0</v>
      </c>
      <c r="Z66" s="185">
        <f t="shared" si="20"/>
        <v>0</v>
      </c>
      <c r="AA66" s="170">
        <f>IFERROR(VLOOKUP(A66,#REF!,8,FALSE),0)</f>
        <v>0</v>
      </c>
      <c r="AB66" s="40">
        <f t="shared" si="21"/>
        <v>0</v>
      </c>
    </row>
    <row r="67" spans="1:28" s="170" customFormat="1" x14ac:dyDescent="0.25">
      <c r="A67" s="318"/>
      <c r="B67" s="318"/>
      <c r="C67" s="319"/>
      <c r="D67" s="319"/>
      <c r="E67" s="319"/>
      <c r="F67" s="320"/>
      <c r="G67" s="320"/>
      <c r="H67" s="319"/>
      <c r="I67" s="321"/>
      <c r="J67" s="322"/>
      <c r="K67" s="321"/>
      <c r="L67" s="321"/>
      <c r="M67" s="321"/>
      <c r="N67" s="321"/>
      <c r="O67" s="321"/>
      <c r="P67" s="321"/>
      <c r="Q67" s="175"/>
      <c r="R67" s="175"/>
      <c r="S67" s="173"/>
      <c r="T67" s="175"/>
      <c r="U67" s="170">
        <f>IFERROR(VLOOKUP(E67,Buuteeq!$A$2:$L$49,12,FALSE),0)</f>
        <v>0</v>
      </c>
      <c r="V67" s="179">
        <f>SUMIF(Transbank!$A$2:$A$444,B67,Transbank!$L$2:$L$444)+(I67+M67)+(J67+N67)*EERR!$D$2</f>
        <v>0</v>
      </c>
      <c r="W67" s="185">
        <f>V67/EERR!$D$2</f>
        <v>0</v>
      </c>
      <c r="X67" s="179">
        <f t="shared" si="18"/>
        <v>0</v>
      </c>
      <c r="Y67" s="185">
        <f t="shared" si="19"/>
        <v>0</v>
      </c>
      <c r="Z67" s="185">
        <f t="shared" si="20"/>
        <v>0</v>
      </c>
      <c r="AA67" s="170">
        <f>IFERROR(VLOOKUP(A67,#REF!,8,FALSE),0)</f>
        <v>0</v>
      </c>
      <c r="AB67" s="40">
        <f t="shared" si="21"/>
        <v>0</v>
      </c>
    </row>
    <row r="68" spans="1:28" s="170" customFormat="1" x14ac:dyDescent="0.25">
      <c r="A68" s="318"/>
      <c r="B68" s="318"/>
      <c r="C68" s="319"/>
      <c r="D68" s="319"/>
      <c r="E68" s="319"/>
      <c r="F68" s="320"/>
      <c r="G68" s="320"/>
      <c r="H68" s="319"/>
      <c r="I68" s="321"/>
      <c r="J68" s="322"/>
      <c r="K68" s="321"/>
      <c r="L68" s="321"/>
      <c r="M68" s="321"/>
      <c r="N68" s="321"/>
      <c r="O68" s="321"/>
      <c r="P68" s="321"/>
      <c r="Q68" s="175"/>
      <c r="R68" s="175"/>
      <c r="S68" s="173"/>
      <c r="T68" s="175"/>
      <c r="U68" s="170">
        <f>IFERROR(VLOOKUP(E68,Buuteeq!$A$2:$L$49,12,FALSE),0)</f>
        <v>0</v>
      </c>
      <c r="V68" s="179">
        <f>SUMIF(Transbank!$A$2:$A$444,B68,Transbank!$L$2:$L$444)+(I68+M68)+(J68+N68)*EERR!$D$2</f>
        <v>0</v>
      </c>
      <c r="W68" s="185">
        <f>V68/EERR!$D$2</f>
        <v>0</v>
      </c>
      <c r="X68" s="179">
        <f t="shared" si="18"/>
        <v>0</v>
      </c>
      <c r="Y68" s="185">
        <f t="shared" si="19"/>
        <v>0</v>
      </c>
      <c r="Z68" s="185">
        <f t="shared" si="20"/>
        <v>0</v>
      </c>
      <c r="AA68" s="170">
        <f>IFERROR(VLOOKUP(A68,#REF!,8,FALSE),0)</f>
        <v>0</v>
      </c>
      <c r="AB68" s="40">
        <f t="shared" si="21"/>
        <v>0</v>
      </c>
    </row>
    <row r="69" spans="1:28" x14ac:dyDescent="0.25">
      <c r="A69" s="302"/>
      <c r="B69" s="302"/>
      <c r="C69" s="302"/>
      <c r="D69" s="302"/>
      <c r="E69" s="302"/>
      <c r="F69" s="307"/>
      <c r="G69" s="307"/>
      <c r="H69" s="308">
        <f t="shared" ref="H69:R69" si="30">SUM(H58:H68)</f>
        <v>28</v>
      </c>
      <c r="I69" s="308">
        <f t="shared" si="30"/>
        <v>0</v>
      </c>
      <c r="J69" s="308">
        <f t="shared" si="30"/>
        <v>1714.8</v>
      </c>
      <c r="K69" s="308">
        <f t="shared" si="30"/>
        <v>463357</v>
      </c>
      <c r="L69" s="308">
        <f t="shared" si="30"/>
        <v>2423</v>
      </c>
      <c r="M69" s="308">
        <f t="shared" si="30"/>
        <v>0</v>
      </c>
      <c r="N69" s="308">
        <f t="shared" si="30"/>
        <v>0</v>
      </c>
      <c r="O69" s="308">
        <f t="shared" si="30"/>
        <v>163402</v>
      </c>
      <c r="P69" s="308">
        <f t="shared" si="30"/>
        <v>579.6</v>
      </c>
      <c r="Q69" s="308">
        <f t="shared" si="30"/>
        <v>4717.3999999999996</v>
      </c>
      <c r="R69" s="308">
        <f t="shared" si="30"/>
        <v>626759</v>
      </c>
      <c r="S69" s="308">
        <f>IF(H69=0,(Q69+R69/EERR!$D$2/1.19),(Q69+R69/EERR!$D$2/1.19)/H69)</f>
        <v>197.67622155530535</v>
      </c>
      <c r="T69" s="308">
        <f>SUM(T58:T68)</f>
        <v>3665896.7759999996</v>
      </c>
      <c r="U69" s="308"/>
      <c r="V69" s="308">
        <f>SUM(V58:V68)</f>
        <v>3547850.4720000001</v>
      </c>
      <c r="W69" s="308"/>
      <c r="X69" s="179">
        <f t="shared" si="15"/>
        <v>-118046.30399999954</v>
      </c>
      <c r="Y69" s="185"/>
      <c r="Z69" s="185"/>
      <c r="AA69" s="170"/>
      <c r="AB69" s="40"/>
    </row>
    <row r="70" spans="1:28" x14ac:dyDescent="0.25">
      <c r="A70" s="318">
        <v>2534</v>
      </c>
      <c r="B70" s="318">
        <v>32487</v>
      </c>
      <c r="C70" s="319" t="s">
        <v>626</v>
      </c>
      <c r="D70" s="319" t="s">
        <v>374</v>
      </c>
      <c r="E70" s="319">
        <v>875332487</v>
      </c>
      <c r="F70" s="320">
        <v>42954</v>
      </c>
      <c r="G70" s="320">
        <v>42956</v>
      </c>
      <c r="H70" s="319">
        <v>2</v>
      </c>
      <c r="I70" s="321"/>
      <c r="J70" s="322">
        <v>175.5</v>
      </c>
      <c r="K70" s="321"/>
      <c r="L70" s="321"/>
      <c r="M70" s="321"/>
      <c r="N70" s="321"/>
      <c r="O70" s="321"/>
      <c r="P70" s="321">
        <v>175.5</v>
      </c>
      <c r="Q70" s="175">
        <f t="shared" ref="Q70" si="31">J70+L70+N70+P70</f>
        <v>351</v>
      </c>
      <c r="R70" s="175">
        <f t="shared" ref="R70" si="32">K70+M70+I70+O70</f>
        <v>0</v>
      </c>
      <c r="S70" s="173">
        <f>IF(H70=0,(Q70+R70/EERR!$D$2/1.19),(Q70+R70/EERR!$D$2/1.19)/H70)</f>
        <v>175.5</v>
      </c>
      <c r="T70" s="175">
        <f>R70+Q70*EERR!$D$2</f>
        <v>226128.24</v>
      </c>
      <c r="U70" s="170">
        <f>IFERROR(VLOOKUP(E70,Expedia!$A$5:$J$25,9,FALSE),0)</f>
        <v>2</v>
      </c>
      <c r="V70" s="291">
        <f>SUMIF(Transbank!$A$2:$A$444,B70,Transbank!$L$2:$L$444)+(I70+M70)+(J70+N70)*EERR!$D$2</f>
        <v>228872.12</v>
      </c>
      <c r="W70" s="179">
        <f>V70/EERR!$D$2</f>
        <v>355.25909598907236</v>
      </c>
      <c r="X70" s="179">
        <f t="shared" si="15"/>
        <v>2743.8800000000047</v>
      </c>
      <c r="Y70" s="179">
        <f t="shared" ref="Y70" si="33">(I70+K70+M70)/1.19</f>
        <v>0</v>
      </c>
      <c r="Z70" s="179">
        <f t="shared" ref="Z70" si="34">IF(AA70="b",(I70+K70+M70)*0.19,0)</f>
        <v>0</v>
      </c>
      <c r="AA70" s="170">
        <f>IFERROR(VLOOKUP(A70,#REF!,8,FALSE),0)</f>
        <v>0</v>
      </c>
      <c r="AB70" s="40">
        <f t="shared" ref="AB70" si="35">Q70-AA70</f>
        <v>351</v>
      </c>
    </row>
    <row r="71" spans="1:28" s="170" customFormat="1" x14ac:dyDescent="0.25">
      <c r="A71" s="318">
        <v>36071</v>
      </c>
      <c r="B71" s="318">
        <v>36071</v>
      </c>
      <c r="C71" s="319" t="s">
        <v>627</v>
      </c>
      <c r="D71" s="319" t="s">
        <v>374</v>
      </c>
      <c r="E71" s="319">
        <v>882836071</v>
      </c>
      <c r="F71" s="320">
        <v>42957</v>
      </c>
      <c r="G71" s="320">
        <v>42961</v>
      </c>
      <c r="H71" s="319">
        <v>4</v>
      </c>
      <c r="I71" s="321"/>
      <c r="J71" s="322"/>
      <c r="K71" s="321">
        <v>510510</v>
      </c>
      <c r="L71" s="321"/>
      <c r="M71" s="321"/>
      <c r="N71" s="321"/>
      <c r="O71" s="321">
        <v>135332</v>
      </c>
      <c r="P71" s="321"/>
      <c r="Q71" s="175">
        <f t="shared" ref="Q71" si="36">J71+L71+N71+P71</f>
        <v>0</v>
      </c>
      <c r="R71" s="175">
        <f t="shared" ref="R71" si="37">K71+M71+I71+O71</f>
        <v>645842</v>
      </c>
      <c r="S71" s="173">
        <f>IF(H71=0,(Q71+R71/EERR!$D$2/1.19),(Q71+R71/EERR!$D$2/1.19)/H71)</f>
        <v>210.60643927259218</v>
      </c>
      <c r="T71" s="175">
        <f>R71+Q71*EERR!$D$2</f>
        <v>645842</v>
      </c>
      <c r="U71" s="170">
        <f>IFERROR(VLOOKUP(E71,Expedia!$A$5:$J$25,9,FALSE),0)</f>
        <v>4</v>
      </c>
      <c r="V71" s="291">
        <f>SUMIF(Transbank!$A$2:$A$444,B71,Transbank!$L$2:$L$444)+(I71+M71)+(J71+N71)*EERR!$D$2</f>
        <v>645842</v>
      </c>
      <c r="W71" s="179">
        <f>V71/EERR!$D$2</f>
        <v>1002.4866509375388</v>
      </c>
      <c r="X71" s="179">
        <f t="shared" ref="X71" si="38">+V71-T71</f>
        <v>0</v>
      </c>
      <c r="Y71" s="179"/>
      <c r="Z71" s="179"/>
      <c r="AB71" s="40"/>
    </row>
    <row r="72" spans="1:28" s="170" customFormat="1" x14ac:dyDescent="0.25">
      <c r="A72" s="318">
        <v>2542</v>
      </c>
      <c r="B72" s="334">
        <v>95847</v>
      </c>
      <c r="C72" s="171" t="s">
        <v>628</v>
      </c>
      <c r="D72" s="171" t="s">
        <v>374</v>
      </c>
      <c r="E72" s="171">
        <v>884295847</v>
      </c>
      <c r="F72" s="172">
        <v>42960</v>
      </c>
      <c r="G72" s="172">
        <v>42961</v>
      </c>
      <c r="H72" s="171">
        <v>1</v>
      </c>
      <c r="I72" s="321"/>
      <c r="J72" s="322"/>
      <c r="K72" s="321"/>
      <c r="L72" s="321"/>
      <c r="M72" s="321"/>
      <c r="N72" s="321"/>
      <c r="O72" s="321"/>
      <c r="P72" s="321">
        <v>220</v>
      </c>
      <c r="Q72" s="175">
        <f t="shared" ref="Q72:Q85" si="39">J72+L72+N72+P72</f>
        <v>220</v>
      </c>
      <c r="R72" s="175">
        <f t="shared" ref="R72:R85" si="40">K72+M72+I72+O72</f>
        <v>0</v>
      </c>
      <c r="S72" s="173">
        <f>IF(H72=0,(Q72+R72/EERR!$D$2/1.19),(Q72+R72/EERR!$D$2/1.19)/H72)</f>
        <v>220</v>
      </c>
      <c r="T72" s="175">
        <f>R72+Q72*EERR!$D$2</f>
        <v>141732.79999999999</v>
      </c>
      <c r="U72" s="170">
        <f>IFERROR(VLOOKUP(E72,Expedia!$A$5:$J$25,9,FALSE),0)</f>
        <v>1</v>
      </c>
      <c r="V72" s="291">
        <f>SUMIF(Transbank!$A$2:$A$444,B72,Transbank!$L$2:$L$444)+(I72+M72)+(J72+N72)*EERR!$D$2</f>
        <v>146732.79999999999</v>
      </c>
      <c r="W72" s="179">
        <f>V72/EERR!$D$2</f>
        <v>227.7610828262759</v>
      </c>
      <c r="X72" s="179">
        <f t="shared" ref="X72:X85" si="41">+V72-T72</f>
        <v>5000</v>
      </c>
      <c r="Y72" s="179"/>
      <c r="Z72" s="179"/>
      <c r="AB72" s="40"/>
    </row>
    <row r="73" spans="1:28" s="170" customFormat="1" x14ac:dyDescent="0.25">
      <c r="A73" s="318">
        <v>2545</v>
      </c>
      <c r="B73" s="334">
        <v>59566</v>
      </c>
      <c r="C73" s="171" t="s">
        <v>629</v>
      </c>
      <c r="D73" s="171" t="s">
        <v>374</v>
      </c>
      <c r="E73" s="171">
        <v>867653566</v>
      </c>
      <c r="F73" s="172">
        <v>42962</v>
      </c>
      <c r="G73" s="172">
        <v>42965</v>
      </c>
      <c r="H73" s="335">
        <v>5</v>
      </c>
      <c r="I73" s="321"/>
      <c r="J73" s="322">
        <v>400</v>
      </c>
      <c r="K73" s="321"/>
      <c r="L73" s="321">
        <v>351</v>
      </c>
      <c r="M73" s="321"/>
      <c r="N73" s="321"/>
      <c r="O73" s="321"/>
      <c r="P73" s="321">
        <v>175.5</v>
      </c>
      <c r="Q73" s="175">
        <f t="shared" si="39"/>
        <v>926.5</v>
      </c>
      <c r="R73" s="175">
        <f t="shared" si="40"/>
        <v>0</v>
      </c>
      <c r="S73" s="173">
        <f>IF(H73=0,(Q73+R73/EERR!$D$2/1.19),(Q73+R73/EERR!$D$2/1.19)/H73)</f>
        <v>185.3</v>
      </c>
      <c r="T73" s="175">
        <f>R73+Q73*EERR!$D$2</f>
        <v>596888.36</v>
      </c>
      <c r="U73" s="170">
        <f>IFERROR(VLOOKUP(E73,Expedia!$A$5:$J$25,9,FALSE),0)</f>
        <v>3</v>
      </c>
      <c r="V73" s="291">
        <f>SUMIF(Transbank!$A$2:$A$444,B73,Transbank!$L$2:$L$444)+(I73+M73)+(J73+N73)*EERR!$D$2</f>
        <v>257696</v>
      </c>
      <c r="W73" s="179">
        <f>V73/EERR!$D$2</f>
        <v>400</v>
      </c>
      <c r="X73" s="179">
        <f t="shared" si="41"/>
        <v>-339192.36</v>
      </c>
      <c r="Y73" s="179"/>
      <c r="Z73" s="179"/>
      <c r="AB73" s="40"/>
    </row>
    <row r="74" spans="1:28" s="170" customFormat="1" x14ac:dyDescent="0.25">
      <c r="A74" s="318">
        <v>2527</v>
      </c>
      <c r="B74" s="334">
        <v>25005</v>
      </c>
      <c r="C74" s="171" t="s">
        <v>630</v>
      </c>
      <c r="D74" s="171" t="s">
        <v>374</v>
      </c>
      <c r="E74" s="171">
        <v>867525005</v>
      </c>
      <c r="F74" s="172">
        <v>42964</v>
      </c>
      <c r="G74" s="172">
        <v>42965</v>
      </c>
      <c r="H74" s="335">
        <v>1</v>
      </c>
      <c r="I74" s="321"/>
      <c r="J74" s="322"/>
      <c r="K74" s="321"/>
      <c r="L74" s="321"/>
      <c r="M74" s="321"/>
      <c r="N74" s="321"/>
      <c r="O74" s="321"/>
      <c r="P74" s="321">
        <v>195</v>
      </c>
      <c r="Q74" s="175">
        <f t="shared" ref="Q74:Q78" si="42">J74+L74+N74+P74</f>
        <v>195</v>
      </c>
      <c r="R74" s="175">
        <f t="shared" ref="R74:R78" si="43">K74+M74+I74+O74</f>
        <v>0</v>
      </c>
      <c r="S74" s="173">
        <f>IF(H74=0,(Q74+R74/EERR!$D$2/1.19),(Q74+R74/EERR!$D$2/1.19)/H74)</f>
        <v>195</v>
      </c>
      <c r="T74" s="175">
        <f>R74+Q74*EERR!$D$2</f>
        <v>125626.8</v>
      </c>
      <c r="U74" s="170">
        <f>IFERROR(VLOOKUP(E74,Expedia!$A$5:$J$25,9,FALSE),0)</f>
        <v>0</v>
      </c>
      <c r="V74" s="291">
        <f>SUMIF(Transbank!$A$2:$A$444,B74,Transbank!$L$2:$L$444)+(I74+M74)+(J74+N74)*EERR!$D$2</f>
        <v>128310</v>
      </c>
      <c r="W74" s="179">
        <f>V74/EERR!$D$2</f>
        <v>199.16490748789272</v>
      </c>
      <c r="X74" s="179">
        <f t="shared" ref="X74:X78" si="44">+V74-T74</f>
        <v>2683.1999999999971</v>
      </c>
      <c r="Y74" s="179"/>
      <c r="Z74" s="179"/>
      <c r="AB74" s="40"/>
    </row>
    <row r="75" spans="1:28" s="170" customFormat="1" x14ac:dyDescent="0.25">
      <c r="A75" s="318">
        <v>2550</v>
      </c>
      <c r="B75" s="334">
        <v>48024</v>
      </c>
      <c r="C75" s="171" t="s">
        <v>631</v>
      </c>
      <c r="D75" s="171" t="s">
        <v>374</v>
      </c>
      <c r="E75" s="171">
        <v>850448024</v>
      </c>
      <c r="F75" s="172">
        <v>42966</v>
      </c>
      <c r="G75" s="172">
        <v>42969</v>
      </c>
      <c r="H75" s="171">
        <v>3</v>
      </c>
      <c r="I75" s="321"/>
      <c r="J75" s="322"/>
      <c r="K75" s="321"/>
      <c r="L75" s="321">
        <v>351</v>
      </c>
      <c r="M75" s="321"/>
      <c r="N75" s="321"/>
      <c r="O75" s="321"/>
      <c r="P75" s="321">
        <v>175</v>
      </c>
      <c r="Q75" s="175">
        <f t="shared" si="42"/>
        <v>526</v>
      </c>
      <c r="R75" s="175">
        <f t="shared" si="43"/>
        <v>0</v>
      </c>
      <c r="S75" s="173">
        <f>IF(H75=0,(Q75+R75/EERR!$D$2/1.19),(Q75+R75/EERR!$D$2/1.19)/H75)</f>
        <v>175.33333333333334</v>
      </c>
      <c r="T75" s="175">
        <f>R75+Q75*EERR!$D$2</f>
        <v>338870.24</v>
      </c>
      <c r="U75" s="170">
        <f>IFERROR(VLOOKUP(E75,Expedia!$A$5:$J$25,9,FALSE),0)</f>
        <v>3</v>
      </c>
      <c r="V75" s="291">
        <f>SUMIF(Transbank!$A$2:$A$444,B75,Transbank!$L$2:$L$444)+(I75+M75)+(J75+N75)*EERR!$D$2</f>
        <v>341922.48</v>
      </c>
      <c r="W75" s="179">
        <f>V75/EERR!$D$2</f>
        <v>530.73773748913447</v>
      </c>
      <c r="X75" s="179">
        <f t="shared" si="44"/>
        <v>3052.2399999999907</v>
      </c>
      <c r="Y75" s="179"/>
      <c r="Z75" s="179"/>
      <c r="AB75" s="40"/>
    </row>
    <row r="76" spans="1:28" s="170" customFormat="1" x14ac:dyDescent="0.25">
      <c r="A76" s="318">
        <v>2557</v>
      </c>
      <c r="B76" s="318">
        <v>74211</v>
      </c>
      <c r="C76" s="319" t="s">
        <v>632</v>
      </c>
      <c r="D76" s="319" t="s">
        <v>374</v>
      </c>
      <c r="E76" s="319">
        <v>869674211</v>
      </c>
      <c r="F76" s="320">
        <v>42970</v>
      </c>
      <c r="G76" s="320">
        <v>42971</v>
      </c>
      <c r="H76" s="319">
        <v>1</v>
      </c>
      <c r="I76" s="321"/>
      <c r="J76" s="322"/>
      <c r="K76" s="321"/>
      <c r="L76" s="321"/>
      <c r="M76" s="321"/>
      <c r="N76" s="321"/>
      <c r="O76" s="321"/>
      <c r="P76" s="321">
        <v>195</v>
      </c>
      <c r="Q76" s="175">
        <f t="shared" si="42"/>
        <v>195</v>
      </c>
      <c r="R76" s="175">
        <f t="shared" si="43"/>
        <v>0</v>
      </c>
      <c r="S76" s="173">
        <f>IF(H76=0,(Q76+R76/EERR!$D$2/1.19),(Q76+R76/EERR!$D$2/1.19)/H76)</f>
        <v>195</v>
      </c>
      <c r="T76" s="175">
        <f>R76+Q76*EERR!$D$2</f>
        <v>125626.8</v>
      </c>
      <c r="U76" s="170">
        <f>IFERROR(VLOOKUP(E76,Expedia!$A$5:$J$25,9,FALSE),0)</f>
        <v>1</v>
      </c>
      <c r="V76" s="291">
        <f>SUMIF(Transbank!$A$2:$A$444,B76,Transbank!$L$2:$L$444)+(I76+M76)+(J76+N76)*EERR!$D$2</f>
        <v>128310</v>
      </c>
      <c r="W76" s="179">
        <f>V76/EERR!$D$2</f>
        <v>199.16490748789272</v>
      </c>
      <c r="X76" s="179">
        <f t="shared" si="44"/>
        <v>2683.1999999999971</v>
      </c>
      <c r="Y76" s="179"/>
      <c r="Z76" s="179"/>
      <c r="AB76" s="40"/>
    </row>
    <row r="77" spans="1:28" s="170" customFormat="1" x14ac:dyDescent="0.25">
      <c r="A77" s="318">
        <v>2558</v>
      </c>
      <c r="B77" s="318">
        <v>25903</v>
      </c>
      <c r="C77" s="319" t="s">
        <v>633</v>
      </c>
      <c r="D77" s="319" t="s">
        <v>374</v>
      </c>
      <c r="E77" s="319">
        <v>856625903</v>
      </c>
      <c r="F77" s="320">
        <v>42970</v>
      </c>
      <c r="G77" s="320">
        <v>42976</v>
      </c>
      <c r="H77" s="319">
        <v>6</v>
      </c>
      <c r="I77" s="321"/>
      <c r="J77" s="322"/>
      <c r="K77" s="321"/>
      <c r="L77" s="321">
        <v>877.5</v>
      </c>
      <c r="M77" s="321"/>
      <c r="N77" s="321"/>
      <c r="O77" s="321"/>
      <c r="P77" s="321">
        <v>175.5</v>
      </c>
      <c r="Q77" s="175">
        <f t="shared" si="42"/>
        <v>1053</v>
      </c>
      <c r="R77" s="175">
        <f t="shared" si="43"/>
        <v>0</v>
      </c>
      <c r="S77" s="173">
        <f>IF(H77=0,(Q77+R77/EERR!$D$2/1.19),(Q77+R77/EERR!$D$2/1.19)/H77)</f>
        <v>175.5</v>
      </c>
      <c r="T77" s="175">
        <f>R77+Q77*EERR!$D$2</f>
        <v>678384.72</v>
      </c>
      <c r="U77" s="170">
        <f>IFERROR(VLOOKUP(E77,Expedia!$A$5:$J$25,9,FALSE),0)</f>
        <v>6</v>
      </c>
      <c r="V77" s="291">
        <f>SUMIF(Transbank!$A$2:$A$444,B77,Transbank!$L$2:$L$444)+(I77+M77)+(J77+N77)*EERR!$D$2</f>
        <v>681450.72</v>
      </c>
      <c r="W77" s="179">
        <f>V77/EERR!$D$2</f>
        <v>1057.7590959890724</v>
      </c>
      <c r="X77" s="179">
        <f t="shared" si="44"/>
        <v>3066</v>
      </c>
      <c r="Y77" s="179"/>
      <c r="Z77" s="179"/>
      <c r="AB77" s="40"/>
    </row>
    <row r="78" spans="1:28" s="170" customFormat="1" x14ac:dyDescent="0.25">
      <c r="A78" s="318">
        <v>2560</v>
      </c>
      <c r="B78" s="318">
        <v>6404</v>
      </c>
      <c r="C78" s="319" t="s">
        <v>634</v>
      </c>
      <c r="D78" s="319" t="s">
        <v>374</v>
      </c>
      <c r="E78" s="319">
        <v>843106404</v>
      </c>
      <c r="F78" s="320">
        <v>42971</v>
      </c>
      <c r="G78" s="320">
        <v>42976</v>
      </c>
      <c r="H78" s="319">
        <v>5</v>
      </c>
      <c r="I78" s="321"/>
      <c r="J78" s="322">
        <v>780</v>
      </c>
      <c r="K78" s="321"/>
      <c r="L78" s="321"/>
      <c r="M78" s="321"/>
      <c r="N78" s="321"/>
      <c r="O78" s="321"/>
      <c r="P78" s="321">
        <v>195</v>
      </c>
      <c r="Q78" s="175">
        <f t="shared" si="42"/>
        <v>975</v>
      </c>
      <c r="R78" s="175">
        <f t="shared" si="43"/>
        <v>0</v>
      </c>
      <c r="S78" s="173">
        <f>IF(H78=0,(Q78+R78/EERR!$D$2/1.19),(Q78+R78/EERR!$D$2/1.19)/H78)</f>
        <v>195</v>
      </c>
      <c r="T78" s="175">
        <f>R78+Q78*EERR!$D$2</f>
        <v>628134</v>
      </c>
      <c r="U78" s="170">
        <f>IFERROR(VLOOKUP(E78,Expedia!$A$5:$J$25,9,FALSE),0)</f>
        <v>5</v>
      </c>
      <c r="V78" s="291">
        <f>SUMIF(Transbank!$A$2:$A$444,B78,Transbank!$L$2:$L$444)+(I78+M78)+(J78+N78)*EERR!$D$2</f>
        <v>628134</v>
      </c>
      <c r="W78" s="179">
        <f>V78/EERR!$D$2</f>
        <v>975</v>
      </c>
      <c r="X78" s="179">
        <f t="shared" si="44"/>
        <v>0</v>
      </c>
      <c r="Y78" s="179"/>
      <c r="Z78" s="179"/>
      <c r="AB78" s="40"/>
    </row>
    <row r="79" spans="1:28" s="170" customFormat="1" x14ac:dyDescent="0.25">
      <c r="A79" s="318">
        <v>2563</v>
      </c>
      <c r="B79" s="318">
        <v>80597</v>
      </c>
      <c r="C79" s="319" t="s">
        <v>635</v>
      </c>
      <c r="D79" s="319" t="s">
        <v>374</v>
      </c>
      <c r="E79" s="319">
        <v>843980597</v>
      </c>
      <c r="F79" s="320">
        <v>42972</v>
      </c>
      <c r="G79" s="320">
        <v>42975</v>
      </c>
      <c r="H79" s="319">
        <v>3</v>
      </c>
      <c r="I79" s="321"/>
      <c r="J79" s="322"/>
      <c r="K79" s="321"/>
      <c r="L79" s="321">
        <v>351</v>
      </c>
      <c r="M79" s="321"/>
      <c r="N79" s="321"/>
      <c r="O79" s="321"/>
      <c r="P79" s="321">
        <v>175.5</v>
      </c>
      <c r="Q79" s="175">
        <f t="shared" si="39"/>
        <v>526.5</v>
      </c>
      <c r="R79" s="175">
        <f t="shared" si="40"/>
        <v>0</v>
      </c>
      <c r="S79" s="173">
        <f>IF(H79=0,(Q79+R79/EERR!$D$2/1.19),(Q79+R79/EERR!$D$2/1.19)/H79)</f>
        <v>175.5</v>
      </c>
      <c r="T79" s="175">
        <f>R79+Q79*EERR!$D$2</f>
        <v>339192.36</v>
      </c>
      <c r="U79" s="170">
        <f>IFERROR(VLOOKUP(E79,Expedia!$A$5:$J$25,9,FALSE),0)</f>
        <v>3</v>
      </c>
      <c r="V79" s="291">
        <f>SUMIF(Transbank!$A$2:$A$444,B79,Transbank!$L$2:$L$444)+(I79+M79)+(J79+N79)*EERR!$D$2</f>
        <v>339514.48</v>
      </c>
      <c r="W79" s="179">
        <f>V79/EERR!$D$2</f>
        <v>527</v>
      </c>
      <c r="X79" s="179">
        <f t="shared" si="41"/>
        <v>322.11999999999534</v>
      </c>
      <c r="Y79" s="179"/>
      <c r="Z79" s="179"/>
      <c r="AB79" s="40"/>
    </row>
    <row r="80" spans="1:28" s="170" customFormat="1" x14ac:dyDescent="0.25">
      <c r="A80" s="334">
        <v>2564</v>
      </c>
      <c r="B80" s="334">
        <v>320</v>
      </c>
      <c r="C80" s="171" t="s">
        <v>636</v>
      </c>
      <c r="D80" s="171" t="s">
        <v>374</v>
      </c>
      <c r="E80" s="171">
        <v>893400320</v>
      </c>
      <c r="F80" s="172">
        <v>42972</v>
      </c>
      <c r="G80" s="172">
        <v>42975</v>
      </c>
      <c r="H80" s="171">
        <v>3</v>
      </c>
      <c r="I80" s="321"/>
      <c r="J80" s="322"/>
      <c r="K80" s="321"/>
      <c r="L80" s="321">
        <v>390</v>
      </c>
      <c r="M80" s="321"/>
      <c r="N80" s="321"/>
      <c r="O80" s="321"/>
      <c r="P80" s="321">
        <v>195</v>
      </c>
      <c r="Q80" s="175">
        <f t="shared" si="39"/>
        <v>585</v>
      </c>
      <c r="R80" s="175">
        <f t="shared" si="40"/>
        <v>0</v>
      </c>
      <c r="S80" s="173">
        <f>IF(H80=0,(Q80+R80/EERR!$D$2/1.19),(Q80+R80/EERR!$D$2/1.19)/H80)</f>
        <v>195</v>
      </c>
      <c r="T80" s="175">
        <f>R80+Q80*EERR!$D$2</f>
        <v>376880.4</v>
      </c>
      <c r="U80" s="170">
        <f>IFERROR(VLOOKUP(E80,Expedia!$A$5:$J$25,9,FALSE),0)</f>
        <v>3</v>
      </c>
      <c r="V80" s="291">
        <f>SUMIF(Transbank!$A$2:$A$444,B80,Transbank!$L$2:$L$444)+(I80+M80)+(J80+N80)*EERR!$D$2</f>
        <v>376880.4</v>
      </c>
      <c r="W80" s="179">
        <f>V80/EERR!$D$2</f>
        <v>585</v>
      </c>
      <c r="X80" s="179">
        <f t="shared" si="41"/>
        <v>0</v>
      </c>
      <c r="Y80" s="179"/>
      <c r="Z80" s="179"/>
      <c r="AB80" s="40"/>
    </row>
    <row r="81" spans="1:28" s="170" customFormat="1" x14ac:dyDescent="0.25">
      <c r="A81" s="334">
        <v>2572</v>
      </c>
      <c r="B81" s="334">
        <v>93251</v>
      </c>
      <c r="C81" s="171" t="s">
        <v>637</v>
      </c>
      <c r="D81" s="171" t="s">
        <v>374</v>
      </c>
      <c r="E81" s="171">
        <v>868193251</v>
      </c>
      <c r="F81" s="172">
        <v>42978</v>
      </c>
      <c r="G81" s="172">
        <v>42983</v>
      </c>
      <c r="H81" s="171">
        <v>5</v>
      </c>
      <c r="I81" s="321"/>
      <c r="J81" s="322"/>
      <c r="K81" s="321"/>
      <c r="L81" s="321">
        <v>780</v>
      </c>
      <c r="M81" s="321"/>
      <c r="N81" s="321"/>
      <c r="O81" s="321"/>
      <c r="P81" s="321">
        <v>195</v>
      </c>
      <c r="Q81" s="175">
        <f t="shared" si="39"/>
        <v>975</v>
      </c>
      <c r="R81" s="175">
        <f t="shared" si="40"/>
        <v>0</v>
      </c>
      <c r="S81" s="173">
        <f>IF(H81=0,(Q81+R81/EERR!$D$2/1.19),(Q81+R81/EERR!$D$2/1.19)/H81)</f>
        <v>195</v>
      </c>
      <c r="T81" s="175">
        <f>R81+Q81*EERR!$D$2</f>
        <v>628134</v>
      </c>
      <c r="U81" s="170">
        <f>IFERROR(VLOOKUP(E81,Expedia!$A$5:$J$25,9,FALSE),0)</f>
        <v>5</v>
      </c>
      <c r="V81" s="291">
        <f>SUMIF(Transbank!$A$2:$A$444,B81,Transbank!$L$2:$L$444)+(I81+M81)+(J81+N81)*EERR!$D$2</f>
        <v>628134</v>
      </c>
      <c r="W81" s="179">
        <f>V81/EERR!$D$2</f>
        <v>975</v>
      </c>
      <c r="X81" s="179">
        <f t="shared" si="41"/>
        <v>0</v>
      </c>
      <c r="Y81" s="179"/>
      <c r="Z81" s="179"/>
      <c r="AB81" s="40"/>
    </row>
    <row r="82" spans="1:28" s="170" customFormat="1" x14ac:dyDescent="0.25">
      <c r="A82" s="336"/>
      <c r="B82" s="336"/>
      <c r="C82" s="335"/>
      <c r="D82" s="335"/>
      <c r="E82" s="335"/>
      <c r="F82" s="337"/>
      <c r="G82" s="337"/>
      <c r="H82" s="335"/>
      <c r="I82" s="321"/>
      <c r="J82" s="322"/>
      <c r="K82" s="321"/>
      <c r="L82" s="321"/>
      <c r="M82" s="321"/>
      <c r="N82" s="321"/>
      <c r="O82" s="321"/>
      <c r="P82" s="321"/>
      <c r="Q82" s="175">
        <f t="shared" si="39"/>
        <v>0</v>
      </c>
      <c r="R82" s="175">
        <f t="shared" si="40"/>
        <v>0</v>
      </c>
      <c r="S82" s="173">
        <f>IF(H82=0,(Q82+R82/EERR!$D$2/1.19),(Q82+R82/EERR!$D$2/1.19)/H82)</f>
        <v>0</v>
      </c>
      <c r="T82" s="175">
        <f>R82+Q82*EERR!$D$2</f>
        <v>0</v>
      </c>
      <c r="U82" s="170">
        <f>IFERROR(VLOOKUP(E82,Expedia!$A$5:$J$25,9,FALSE),0)</f>
        <v>0</v>
      </c>
      <c r="V82" s="291">
        <f>SUMIF(Transbank!$A$2:$A$444,B82,Transbank!$L$2:$L$444)+(I82+M82)+(J82+N82)*EERR!$D$2</f>
        <v>0</v>
      </c>
      <c r="W82" s="179">
        <f>V82/EERR!$D$2</f>
        <v>0</v>
      </c>
      <c r="X82" s="179">
        <f t="shared" si="41"/>
        <v>0</v>
      </c>
      <c r="Y82" s="179"/>
      <c r="Z82" s="179"/>
      <c r="AB82" s="40"/>
    </row>
    <row r="83" spans="1:28" s="170" customFormat="1" x14ac:dyDescent="0.25">
      <c r="A83" s="334"/>
      <c r="B83" s="334"/>
      <c r="C83" s="171"/>
      <c r="D83" s="171"/>
      <c r="E83" s="171"/>
      <c r="F83" s="172"/>
      <c r="G83" s="172"/>
      <c r="H83" s="171"/>
      <c r="I83" s="321"/>
      <c r="J83" s="322"/>
      <c r="K83" s="321"/>
      <c r="L83" s="321"/>
      <c r="M83" s="321"/>
      <c r="N83" s="321"/>
      <c r="O83" s="321"/>
      <c r="P83" s="321"/>
      <c r="Q83" s="175">
        <f t="shared" si="39"/>
        <v>0</v>
      </c>
      <c r="R83" s="175">
        <f t="shared" si="40"/>
        <v>0</v>
      </c>
      <c r="S83" s="173">
        <f>IF(H83=0,(Q83+R83/EERR!$D$2/1.19),(Q83+R83/EERR!$D$2/1.19)/H83)</f>
        <v>0</v>
      </c>
      <c r="T83" s="175">
        <f>R83+Q83*EERR!$D$2</f>
        <v>0</v>
      </c>
      <c r="U83" s="170">
        <f>IFERROR(VLOOKUP(E83,Expedia!$A$5:$J$25,10,FALSE),0)</f>
        <v>0</v>
      </c>
      <c r="V83" s="291">
        <f>SUMIF(Transbank!$A$2:$A$444,B83,Transbank!$L$2:$L$444)+(I83+M83)+(J83+N83)*EERR!$D$2</f>
        <v>0</v>
      </c>
      <c r="W83" s="179">
        <f>V83/EERR!$D$2</f>
        <v>0</v>
      </c>
      <c r="X83" s="179">
        <f t="shared" si="41"/>
        <v>0</v>
      </c>
      <c r="Y83" s="179"/>
      <c r="Z83" s="179"/>
      <c r="AB83" s="40"/>
    </row>
    <row r="84" spans="1:28" s="170" customFormat="1" x14ac:dyDescent="0.25">
      <c r="A84" s="334"/>
      <c r="B84" s="334"/>
      <c r="C84" s="171"/>
      <c r="D84" s="171"/>
      <c r="E84" s="171"/>
      <c r="F84" s="172"/>
      <c r="G84" s="172"/>
      <c r="H84" s="171"/>
      <c r="I84" s="321"/>
      <c r="J84" s="322"/>
      <c r="K84" s="321"/>
      <c r="L84" s="321"/>
      <c r="M84" s="321"/>
      <c r="N84" s="321"/>
      <c r="O84" s="321"/>
      <c r="P84" s="321"/>
      <c r="Q84" s="175">
        <f t="shared" si="39"/>
        <v>0</v>
      </c>
      <c r="R84" s="175">
        <f t="shared" si="40"/>
        <v>0</v>
      </c>
      <c r="S84" s="173">
        <f>IF(H84=0,(Q84+R84/EERR!$D$2/1.19),(Q84+R84/EERR!$D$2/1.19)/H84)</f>
        <v>0</v>
      </c>
      <c r="T84" s="175">
        <f>R84+Q84*EERR!$D$2</f>
        <v>0</v>
      </c>
      <c r="U84" s="170">
        <f>IFERROR(VLOOKUP(E84,Expedia!$A$5:$J$25,10,FALSE),0)</f>
        <v>0</v>
      </c>
      <c r="V84" s="291">
        <f>SUMIF(Transbank!$A$2:$A$444,B84,Transbank!$L$2:$L$444)+(I84+M84)+(J84+N84)*EERR!$D$2</f>
        <v>0</v>
      </c>
      <c r="W84" s="179">
        <f>V84/EERR!$D$2</f>
        <v>0</v>
      </c>
      <c r="X84" s="179">
        <f t="shared" si="41"/>
        <v>0</v>
      </c>
      <c r="Y84" s="179"/>
      <c r="Z84" s="179"/>
      <c r="AB84" s="40"/>
    </row>
    <row r="85" spans="1:28" s="170" customFormat="1" x14ac:dyDescent="0.25">
      <c r="A85" s="318"/>
      <c r="B85" s="318"/>
      <c r="C85" s="319"/>
      <c r="D85" s="319"/>
      <c r="E85" s="319"/>
      <c r="F85" s="320"/>
      <c r="G85" s="320"/>
      <c r="H85" s="319"/>
      <c r="I85" s="321"/>
      <c r="J85" s="322"/>
      <c r="K85" s="321"/>
      <c r="L85" s="321"/>
      <c r="M85" s="321"/>
      <c r="N85" s="321"/>
      <c r="O85" s="321"/>
      <c r="P85" s="321"/>
      <c r="Q85" s="175">
        <f t="shared" si="39"/>
        <v>0</v>
      </c>
      <c r="R85" s="175">
        <f t="shared" si="40"/>
        <v>0</v>
      </c>
      <c r="S85" s="173">
        <f>IF(H85=0,(Q85+R85/EERR!$D$2/1.19),(Q85+R85/EERR!$D$2/1.19)/H85)</f>
        <v>0</v>
      </c>
      <c r="T85" s="175">
        <f>R85+Q85*EERR!$D$2</f>
        <v>0</v>
      </c>
      <c r="U85" s="170">
        <f>IFERROR(VLOOKUP(E85,Expedia!$A$5:$J$25,10,FALSE),0)</f>
        <v>0</v>
      </c>
      <c r="V85" s="291">
        <f>SUMIF(Transbank!$A$2:$A$444,B85,Transbank!$L$2:$L$444)+(I85+M85)+(J85+N85)*EERR!$D$2</f>
        <v>0</v>
      </c>
      <c r="W85" s="179">
        <f>V85/EERR!$D$2</f>
        <v>0</v>
      </c>
      <c r="X85" s="179">
        <f t="shared" si="41"/>
        <v>0</v>
      </c>
      <c r="Y85" s="179"/>
      <c r="Z85" s="179"/>
      <c r="AB85" s="40"/>
    </row>
    <row r="86" spans="1:28" s="170" customFormat="1" x14ac:dyDescent="0.25">
      <c r="A86" s="318"/>
      <c r="B86" s="318"/>
      <c r="C86" s="319"/>
      <c r="D86" s="319"/>
      <c r="E86" s="319"/>
      <c r="F86" s="320"/>
      <c r="G86" s="320"/>
      <c r="H86" s="319"/>
      <c r="I86" s="321"/>
      <c r="J86" s="322"/>
      <c r="K86" s="321"/>
      <c r="L86" s="321"/>
      <c r="M86" s="321"/>
      <c r="N86" s="321"/>
      <c r="O86" s="321"/>
      <c r="P86" s="321"/>
      <c r="Q86" s="175"/>
      <c r="R86" s="175"/>
      <c r="S86" s="173"/>
      <c r="T86" s="175"/>
      <c r="U86" s="170">
        <f>IFERROR(VLOOKUP(E86,Expedia!$A$5:$J$25,10,FALSE),0)</f>
        <v>0</v>
      </c>
      <c r="V86" s="179">
        <f>SUMIF(Transbank!$A$2:$A$444,B86,Transbank!$L$2:$L$444)+(I86+M86)+(J86+N86)*EERR!$D$2</f>
        <v>0</v>
      </c>
      <c r="W86" s="179">
        <f>V86/EERR!$D$2</f>
        <v>0</v>
      </c>
      <c r="X86" s="179">
        <f t="shared" si="15"/>
        <v>0</v>
      </c>
      <c r="Y86" s="179">
        <f t="shared" ref="Y86" si="45">(I86+K86+M86)/1.19</f>
        <v>0</v>
      </c>
      <c r="Z86" s="179">
        <f t="shared" ref="Z86" si="46">IF(AA86="b",(I86+K86+M86)*0.19,0)</f>
        <v>0</v>
      </c>
      <c r="AA86" s="170">
        <f>IFERROR(VLOOKUP(A86,#REF!,8,FALSE),0)</f>
        <v>0</v>
      </c>
      <c r="AB86" s="40"/>
    </row>
    <row r="87" spans="1:28" x14ac:dyDescent="0.25">
      <c r="A87" s="302"/>
      <c r="B87" s="302"/>
      <c r="C87" s="302"/>
      <c r="D87" s="302"/>
      <c r="E87" s="302"/>
      <c r="F87" s="303"/>
      <c r="G87" s="303"/>
      <c r="H87" s="302">
        <f t="shared" ref="H87:N87" si="47">SUM(H70:H86)</f>
        <v>39</v>
      </c>
      <c r="I87" s="302">
        <f t="shared" si="47"/>
        <v>0</v>
      </c>
      <c r="J87" s="302">
        <f t="shared" si="47"/>
        <v>1355.5</v>
      </c>
      <c r="K87" s="302">
        <f t="shared" si="47"/>
        <v>510510</v>
      </c>
      <c r="L87" s="302">
        <f t="shared" si="47"/>
        <v>3100.5</v>
      </c>
      <c r="M87" s="302">
        <f t="shared" si="47"/>
        <v>0</v>
      </c>
      <c r="N87" s="302">
        <f t="shared" si="47"/>
        <v>0</v>
      </c>
      <c r="O87" s="302"/>
      <c r="P87" s="302"/>
      <c r="Q87" s="308">
        <f>SUM(Q70:Q86)</f>
        <v>6528</v>
      </c>
      <c r="R87" s="308">
        <f>SUM(R70:R86)</f>
        <v>645842</v>
      </c>
      <c r="S87" s="308">
        <f>IF(H87=0,(Q87+R87/EERR!$D$2/1.19),(Q87+R87/EERR!$D$2/1.19)/H87)</f>
        <v>188.98527582282995</v>
      </c>
      <c r="T87" s="308">
        <f>SUM(T70:T86)</f>
        <v>4851440.72</v>
      </c>
      <c r="U87" s="308"/>
      <c r="V87" s="308">
        <f>SUM(V70:V86)</f>
        <v>4531799</v>
      </c>
      <c r="W87" s="308"/>
      <c r="X87" s="179">
        <f t="shared" si="15"/>
        <v>-319641.71999999974</v>
      </c>
      <c r="Y87" s="179"/>
      <c r="Z87" s="179"/>
      <c r="AA87" s="170"/>
      <c r="AB87" s="170"/>
    </row>
    <row r="88" spans="1:28" s="170" customFormat="1" x14ac:dyDescent="0.25">
      <c r="A88" s="171"/>
      <c r="B88" s="171"/>
      <c r="C88" s="171"/>
      <c r="D88" s="171"/>
      <c r="E88" s="171"/>
      <c r="F88" s="172"/>
      <c r="G88" s="172"/>
      <c r="H88" s="171"/>
      <c r="I88" s="173"/>
      <c r="J88" s="174"/>
      <c r="K88" s="173"/>
      <c r="L88" s="173"/>
      <c r="M88" s="173"/>
      <c r="N88" s="173"/>
      <c r="O88" s="173"/>
      <c r="P88" s="173"/>
      <c r="Q88" s="175"/>
      <c r="R88" s="175"/>
      <c r="S88" s="173">
        <f>IF(H88=0,(Q88+R88/EERR!$D$2/1.19),(Q88+R88/EERR!$D$2/1.19)/H88)</f>
        <v>0</v>
      </c>
      <c r="T88" s="171"/>
      <c r="V88" s="179"/>
      <c r="W88" s="179"/>
      <c r="X88" s="179">
        <f t="shared" si="15"/>
        <v>0</v>
      </c>
      <c r="Y88" s="179"/>
      <c r="Z88" s="179"/>
    </row>
    <row r="89" spans="1:28" x14ac:dyDescent="0.25">
      <c r="A89" s="309"/>
      <c r="B89" s="309"/>
      <c r="C89" s="309"/>
      <c r="D89" s="309"/>
      <c r="E89" s="309"/>
      <c r="F89" s="310"/>
      <c r="G89" s="310"/>
      <c r="H89" s="309"/>
      <c r="I89" s="311"/>
      <c r="J89" s="312"/>
      <c r="K89" s="311"/>
      <c r="L89" s="311"/>
      <c r="M89" s="311"/>
      <c r="N89" s="311"/>
      <c r="O89" s="311"/>
      <c r="P89" s="311"/>
      <c r="Q89" s="313"/>
      <c r="R89" s="313">
        <f t="shared" ref="R89" si="48">K89+M89+I89</f>
        <v>0</v>
      </c>
      <c r="S89" s="311">
        <f>IF(H89=0,(Q89+R89/EERR!$D$2/1.19),(Q89+R89/EERR!$D$2/1.19)/H89)</f>
        <v>0</v>
      </c>
      <c r="T89" s="309"/>
      <c r="V89" s="179">
        <f>IF((K89+L89)&gt;0,SUMIF(Transbank!$A$2:$A$220,Agosto!A89,Transbank!$L$2:$L$220),I89+(J89+Agosto!N89)*EERR!$D$2+Agosto!M89)</f>
        <v>0</v>
      </c>
      <c r="W89" s="179">
        <f>V89/EERR!$D$2</f>
        <v>0</v>
      </c>
      <c r="X89" s="179">
        <f t="shared" si="15"/>
        <v>0</v>
      </c>
      <c r="Y89" s="179">
        <f t="shared" ref="Y89" si="49">(I89+K89+M89)/1.19</f>
        <v>0</v>
      </c>
      <c r="Z89" s="179">
        <f t="shared" ref="Z89" si="50">IF(AA89="b",(I89+K89+M89)*0.19,0)</f>
        <v>0</v>
      </c>
      <c r="AA89" s="170"/>
      <c r="AB89" s="170"/>
    </row>
    <row r="90" spans="1:28" x14ac:dyDescent="0.25">
      <c r="A90" s="302"/>
      <c r="B90" s="302"/>
      <c r="C90" s="302"/>
      <c r="D90" s="302"/>
      <c r="E90" s="302"/>
      <c r="F90" s="303"/>
      <c r="G90" s="303"/>
      <c r="H90" s="308">
        <f t="shared" ref="H90:R90" si="51">SUM(H89:H89)</f>
        <v>0</v>
      </c>
      <c r="I90" s="308">
        <f t="shared" si="51"/>
        <v>0</v>
      </c>
      <c r="J90" s="308">
        <f t="shared" si="51"/>
        <v>0</v>
      </c>
      <c r="K90" s="308">
        <f t="shared" si="51"/>
        <v>0</v>
      </c>
      <c r="L90" s="308">
        <f>SUM(L88:L89)</f>
        <v>0</v>
      </c>
      <c r="M90" s="308">
        <f t="shared" si="51"/>
        <v>0</v>
      </c>
      <c r="N90" s="308">
        <f t="shared" si="51"/>
        <v>0</v>
      </c>
      <c r="O90" s="308"/>
      <c r="P90" s="308"/>
      <c r="Q90" s="308">
        <f t="shared" si="51"/>
        <v>0</v>
      </c>
      <c r="R90" s="308">
        <f t="shared" si="51"/>
        <v>0</v>
      </c>
      <c r="S90" s="314"/>
      <c r="T90" s="308"/>
      <c r="U90" s="302"/>
      <c r="V90" s="315"/>
      <c r="W90" s="315"/>
      <c r="X90" s="179">
        <f t="shared" si="15"/>
        <v>0</v>
      </c>
      <c r="Y90" s="179"/>
      <c r="Z90" s="179"/>
      <c r="AA90" s="170"/>
      <c r="AB90" s="170"/>
    </row>
    <row r="91" spans="1:28" x14ac:dyDescent="0.25">
      <c r="A91" s="302"/>
      <c r="B91" s="302"/>
      <c r="C91" s="316"/>
      <c r="D91" s="316"/>
      <c r="E91" s="316"/>
      <c r="F91" s="317">
        <f>F57+F69+F87</f>
        <v>0</v>
      </c>
      <c r="G91" s="317">
        <f>G57+G69+G87</f>
        <v>0</v>
      </c>
      <c r="H91" s="317">
        <f t="shared" ref="H91:Q91" si="52">H57+H69+H87+H90</f>
        <v>261</v>
      </c>
      <c r="I91" s="317">
        <f t="shared" si="52"/>
        <v>0</v>
      </c>
      <c r="J91" s="317">
        <f t="shared" si="52"/>
        <v>11872.8</v>
      </c>
      <c r="K91" s="317">
        <f t="shared" si="52"/>
        <v>4143298</v>
      </c>
      <c r="L91" s="317">
        <f t="shared" si="52"/>
        <v>21090</v>
      </c>
      <c r="M91" s="317">
        <f t="shared" si="52"/>
        <v>0</v>
      </c>
      <c r="N91" s="317">
        <f t="shared" si="52"/>
        <v>0</v>
      </c>
      <c r="O91" s="317">
        <f t="shared" si="52"/>
        <v>163402</v>
      </c>
      <c r="P91" s="317">
        <f t="shared" si="52"/>
        <v>579.6</v>
      </c>
      <c r="Q91" s="317">
        <f t="shared" si="52"/>
        <v>42753.9</v>
      </c>
      <c r="R91" s="317">
        <f>(R57+R69+R87+R90)/1.19</f>
        <v>4797321.0084033618</v>
      </c>
      <c r="S91" s="317">
        <f>(S57*H57+S69*H69+S87*H87)/H91</f>
        <v>192.33862505015483</v>
      </c>
      <c r="T91" s="317">
        <f>T57+T69+T87</f>
        <v>33252584.536000006</v>
      </c>
      <c r="U91" s="302"/>
      <c r="V91" s="315">
        <f>V57+V69+V87</f>
        <v>33022587.152000003</v>
      </c>
      <c r="W91" s="315"/>
      <c r="X91" s="179">
        <f t="shared" si="15"/>
        <v>-229997.38400000334</v>
      </c>
      <c r="Y91" s="179"/>
      <c r="Z91" s="179"/>
      <c r="AA91" s="170"/>
      <c r="AB91" s="170"/>
    </row>
    <row r="92" spans="1:28" x14ac:dyDescent="0.25">
      <c r="A92" s="302"/>
      <c r="B92" s="302"/>
      <c r="C92" s="302"/>
      <c r="D92" s="302"/>
      <c r="E92" s="302"/>
      <c r="F92" s="308"/>
      <c r="G92" s="308"/>
      <c r="H92" s="308"/>
      <c r="I92" s="308">
        <f>(I91)/EERR!$D$2</f>
        <v>0</v>
      </c>
      <c r="J92" s="308">
        <f>J91</f>
        <v>11872.8</v>
      </c>
      <c r="K92" s="308">
        <f>(K91)/EERR!$D$2</f>
        <v>6431.2957903886745</v>
      </c>
      <c r="L92" s="308">
        <f>L91</f>
        <v>21090</v>
      </c>
      <c r="M92" s="308">
        <f>(M91)/EERR!$D$2</f>
        <v>0</v>
      </c>
      <c r="N92" s="308">
        <f>(N91)/EERR!$D$2</f>
        <v>0</v>
      </c>
      <c r="O92" s="308"/>
      <c r="P92" s="308"/>
      <c r="Q92" s="308">
        <f>Q91+Q90</f>
        <v>42753.9</v>
      </c>
      <c r="R92" s="308">
        <f>(R91)/EERR!D2</f>
        <v>7446.4811380904039</v>
      </c>
      <c r="S92" s="308">
        <f>S91+S90</f>
        <v>192.33862505015483</v>
      </c>
      <c r="T92" s="308">
        <f>T91+T90</f>
        <v>33252584.536000006</v>
      </c>
      <c r="U92" s="308">
        <f>SUM(I92:T92)</f>
        <v>33342371.351553537</v>
      </c>
      <c r="V92" s="302"/>
      <c r="W92" s="302"/>
      <c r="X92" s="179">
        <f t="shared" si="15"/>
        <v>-33252584.536000006</v>
      </c>
      <c r="Y92" s="170"/>
      <c r="Z92" s="170"/>
      <c r="AA92" s="170"/>
      <c r="AB92" s="170"/>
    </row>
    <row r="93" spans="1:28" x14ac:dyDescent="0.25">
      <c r="H93" s="276">
        <f>H91/310</f>
        <v>0.84193548387096773</v>
      </c>
      <c r="J93" s="39"/>
      <c r="Q93" s="326">
        <f>SUM(Q92:R92)</f>
        <v>50200.381138090408</v>
      </c>
      <c r="R93" s="326"/>
      <c r="X93" s="179">
        <f t="shared" si="15"/>
        <v>0</v>
      </c>
      <c r="Y93" s="170"/>
      <c r="Z93" s="170"/>
      <c r="AA93" s="170"/>
      <c r="AB93" s="170"/>
    </row>
    <row r="94" spans="1:28" x14ac:dyDescent="0.25">
      <c r="B94" s="170">
        <v>823423187</v>
      </c>
      <c r="J94" s="36"/>
      <c r="Q94" s="327">
        <f>Q93*EERR!D2</f>
        <v>32341093.544403367</v>
      </c>
      <c r="R94" s="327">
        <f>Q93*EERR!D2</f>
        <v>32341093.544403367</v>
      </c>
      <c r="X94" s="179">
        <f t="shared" si="15"/>
        <v>0</v>
      </c>
      <c r="Y94" s="170"/>
      <c r="Z94" s="170"/>
      <c r="AA94" s="170"/>
      <c r="AB94" s="170"/>
    </row>
    <row r="95" spans="1:28" x14ac:dyDescent="0.25">
      <c r="I95" s="115">
        <f>I91/1.19</f>
        <v>0</v>
      </c>
      <c r="J95" s="36"/>
      <c r="W95" s="170">
        <f>36000*620</f>
        <v>22320000</v>
      </c>
      <c r="X95" s="179">
        <f t="shared" si="15"/>
        <v>0</v>
      </c>
      <c r="Y95" s="170"/>
      <c r="Z95" s="170"/>
      <c r="AA95" s="170"/>
      <c r="AB95" s="170"/>
    </row>
    <row r="96" spans="1:28" x14ac:dyDescent="0.25">
      <c r="E96" s="37" t="s">
        <v>279</v>
      </c>
      <c r="F96" s="37" t="s">
        <v>280</v>
      </c>
      <c r="G96" s="37" t="s">
        <v>6</v>
      </c>
      <c r="H96" s="37" t="s">
        <v>68</v>
      </c>
      <c r="I96" s="37" t="s">
        <v>69</v>
      </c>
      <c r="J96" s="36"/>
      <c r="Q96" s="40">
        <f>Q91*689</f>
        <v>29457437.100000001</v>
      </c>
      <c r="R96" s="40">
        <f>R91*0.19</f>
        <v>911490.99159663869</v>
      </c>
      <c r="X96" s="179">
        <f t="shared" si="15"/>
        <v>0</v>
      </c>
    </row>
    <row r="97" spans="3:24" x14ac:dyDescent="0.25">
      <c r="C97" s="30" t="s">
        <v>66</v>
      </c>
      <c r="D97" s="30"/>
      <c r="E97" s="31">
        <f>'BCI '!H173</f>
        <v>-858700</v>
      </c>
      <c r="F97" s="275">
        <f>'BCI '!H174</f>
        <v>-11873</v>
      </c>
      <c r="G97" s="38"/>
      <c r="H97" s="31">
        <f>(I92+J92)*EERR!D2</f>
        <v>7648932.6719999993</v>
      </c>
      <c r="I97" s="42">
        <f>H97/EERR!$D$2</f>
        <v>11872.8</v>
      </c>
      <c r="J97" s="36"/>
      <c r="X97" s="179">
        <f t="shared" si="15"/>
        <v>0</v>
      </c>
    </row>
    <row r="98" spans="3:24" x14ac:dyDescent="0.25">
      <c r="C98" s="30" t="s">
        <v>65</v>
      </c>
      <c r="D98" s="30"/>
      <c r="E98" s="30"/>
      <c r="F98" s="31"/>
      <c r="G98" s="38"/>
      <c r="H98" s="31">
        <f>+M92*EERR!D2</f>
        <v>0</v>
      </c>
      <c r="I98" s="42">
        <f>H98/EERR!$D$2</f>
        <v>0</v>
      </c>
      <c r="J98" s="36"/>
      <c r="X98" s="179">
        <f t="shared" si="15"/>
        <v>0</v>
      </c>
    </row>
    <row r="99" spans="3:24" x14ac:dyDescent="0.25">
      <c r="C99" s="30" t="s">
        <v>67</v>
      </c>
      <c r="D99" s="30"/>
      <c r="E99" s="30"/>
      <c r="F99" s="31"/>
      <c r="G99" s="38"/>
      <c r="H99" s="31"/>
      <c r="I99" s="42">
        <f>H99*EERR!$D$2</f>
        <v>0</v>
      </c>
      <c r="J99" s="36"/>
      <c r="X99" s="179">
        <f t="shared" si="15"/>
        <v>0</v>
      </c>
    </row>
    <row r="100" spans="3:24" x14ac:dyDescent="0.25">
      <c r="C100" s="79" t="s">
        <v>116</v>
      </c>
      <c r="D100" s="79"/>
      <c r="E100" s="79"/>
      <c r="F100" s="81"/>
      <c r="G100" s="81">
        <f>(G102+G103)*EERR!D2+G105+G106</f>
        <v>26182464.760000002</v>
      </c>
      <c r="H100" s="81">
        <f>(K92+L92)*EERR!D2</f>
        <v>17730319.600000001</v>
      </c>
      <c r="I100" s="82"/>
      <c r="J100" s="36"/>
      <c r="W100" s="170">
        <f>635/190</f>
        <v>3.3421052631578947</v>
      </c>
      <c r="X100" s="179">
        <f t="shared" si="15"/>
        <v>0</v>
      </c>
    </row>
    <row r="101" spans="3:24" x14ac:dyDescent="0.25">
      <c r="C101" s="79"/>
      <c r="D101" s="79"/>
      <c r="E101" s="79"/>
      <c r="F101" s="81"/>
      <c r="G101" s="81">
        <f>SUM(G97:G100)</f>
        <v>26182464.760000002</v>
      </c>
      <c r="H101" s="81">
        <f>SUM(H97:H100)</f>
        <v>25379252.272</v>
      </c>
      <c r="I101" s="81">
        <f>SUM(I97:I100)</f>
        <v>11872.8</v>
      </c>
      <c r="J101" s="36"/>
      <c r="X101" s="179">
        <f t="shared" si="15"/>
        <v>0</v>
      </c>
    </row>
    <row r="102" spans="3:24" x14ac:dyDescent="0.25">
      <c r="C102" s="35" t="s">
        <v>114</v>
      </c>
      <c r="D102" s="35"/>
      <c r="E102" s="35"/>
      <c r="F102" s="31"/>
      <c r="G102" s="38">
        <f>Transbank!J440</f>
        <v>31599</v>
      </c>
      <c r="H102" s="31"/>
      <c r="I102" s="42"/>
      <c r="J102" s="36"/>
      <c r="X102" s="179">
        <f t="shared" si="15"/>
        <v>0</v>
      </c>
    </row>
    <row r="103" spans="3:24" x14ac:dyDescent="0.25">
      <c r="C103" s="35" t="s">
        <v>117</v>
      </c>
      <c r="D103" s="35"/>
      <c r="E103" s="35"/>
      <c r="F103" s="43"/>
      <c r="G103" s="38">
        <f>[1]Transbank!J83</f>
        <v>0</v>
      </c>
      <c r="H103" s="35"/>
      <c r="I103" s="54"/>
      <c r="J103" s="34"/>
      <c r="T103" s="34">
        <f>SUMIF(Transbank!$A$2:$A$444,B68,Transbank!$L$2:$L$444)</f>
        <v>0</v>
      </c>
      <c r="X103" s="179">
        <f t="shared" si="15"/>
        <v>0</v>
      </c>
    </row>
    <row r="104" spans="3:24" x14ac:dyDescent="0.25">
      <c r="C104" s="79" t="s">
        <v>118</v>
      </c>
      <c r="D104" s="79"/>
      <c r="E104" s="79"/>
      <c r="F104" s="80"/>
      <c r="G104" s="80">
        <f>SUM(G102:G103)</f>
        <v>31599</v>
      </c>
      <c r="H104" s="80">
        <f>L91</f>
        <v>21090</v>
      </c>
      <c r="I104" s="80">
        <f t="shared" ref="I104" si="53">SUM(I102:I103)</f>
        <v>0</v>
      </c>
      <c r="J104" s="34"/>
      <c r="X104" s="179">
        <f t="shared" si="15"/>
        <v>0</v>
      </c>
    </row>
    <row r="105" spans="3:24" x14ac:dyDescent="0.25">
      <c r="C105" s="35" t="s">
        <v>115</v>
      </c>
      <c r="D105" s="92"/>
      <c r="E105" s="92"/>
      <c r="F105" s="83"/>
      <c r="G105" s="84">
        <f>Transbank!I440</f>
        <v>5825125</v>
      </c>
      <c r="H105" s="84"/>
      <c r="I105" s="85">
        <f>H100/EERR!$D$2</f>
        <v>27521.295790388678</v>
      </c>
      <c r="J105" s="34"/>
      <c r="X105" s="179">
        <f t="shared" si="15"/>
        <v>0</v>
      </c>
    </row>
    <row r="106" spans="3:24" x14ac:dyDescent="0.25">
      <c r="C106" s="35" t="s">
        <v>119</v>
      </c>
      <c r="D106" s="35"/>
      <c r="E106" s="35"/>
      <c r="F106" s="43"/>
      <c r="G106" s="38">
        <f>[1]Transbank!I83</f>
        <v>0</v>
      </c>
      <c r="H106" s="35"/>
      <c r="I106" s="54"/>
      <c r="J106" s="34"/>
      <c r="X106" s="179">
        <f t="shared" si="15"/>
        <v>0</v>
      </c>
    </row>
    <row r="107" spans="3:24" ht="15.75" thickBot="1" x14ac:dyDescent="0.3">
      <c r="C107" s="139" t="s">
        <v>120</v>
      </c>
      <c r="D107" s="139"/>
      <c r="E107" s="79"/>
      <c r="F107" s="80"/>
      <c r="G107" s="80">
        <f>SUM(G105:G106)</f>
        <v>5825125</v>
      </c>
      <c r="H107" s="80">
        <f>K91</f>
        <v>4143298</v>
      </c>
      <c r="I107" s="80">
        <f t="shared" ref="I107" si="54">SUM(I105:I106)</f>
        <v>27521.295790388678</v>
      </c>
      <c r="J107" s="34"/>
      <c r="X107" s="179">
        <f t="shared" si="15"/>
        <v>0</v>
      </c>
    </row>
    <row r="108" spans="3:24" ht="16.5" thickBot="1" x14ac:dyDescent="0.3">
      <c r="C108" s="140" t="s">
        <v>138</v>
      </c>
      <c r="D108" s="141">
        <f>(I91+K91)*0.19</f>
        <v>787226.62</v>
      </c>
      <c r="H108" s="37"/>
      <c r="I108" s="40"/>
      <c r="J108" s="34"/>
      <c r="X108" s="179">
        <f t="shared" si="15"/>
        <v>0</v>
      </c>
    </row>
    <row r="109" spans="3:24" ht="12.75" x14ac:dyDescent="0.2">
      <c r="J109" s="34"/>
    </row>
    <row r="110" spans="3:24" ht="12.75" x14ac:dyDescent="0.2">
      <c r="J110" s="34"/>
    </row>
    <row r="111" spans="3:24" ht="12.75" x14ac:dyDescent="0.2">
      <c r="J111" s="34"/>
    </row>
    <row r="112" spans="3:24" ht="12.75" x14ac:dyDescent="0.2">
      <c r="J112" s="34"/>
    </row>
    <row r="113" spans="10:10" ht="12.75" x14ac:dyDescent="0.2">
      <c r="J113" s="34"/>
    </row>
    <row r="114" spans="10:10" ht="12.75" x14ac:dyDescent="0.2">
      <c r="J114" s="34"/>
    </row>
    <row r="115" spans="10:10" ht="12.75" x14ac:dyDescent="0.2">
      <c r="J115" s="34"/>
    </row>
    <row r="116" spans="10:10" ht="12.75" x14ac:dyDescent="0.2">
      <c r="J116" s="34"/>
    </row>
    <row r="117" spans="10:10" ht="12.75" x14ac:dyDescent="0.2">
      <c r="J117" s="34"/>
    </row>
    <row r="118" spans="10:10" ht="12.75" x14ac:dyDescent="0.2">
      <c r="J118" s="34"/>
    </row>
    <row r="119" spans="10:10" ht="12.75" x14ac:dyDescent="0.2">
      <c r="J119" s="34"/>
    </row>
    <row r="120" spans="10:10" ht="12.75" x14ac:dyDescent="0.2">
      <c r="J120" s="34"/>
    </row>
    <row r="121" spans="10:10" ht="12.75" x14ac:dyDescent="0.2">
      <c r="J121" s="34"/>
    </row>
    <row r="122" spans="10:10" ht="12.75" x14ac:dyDescent="0.2">
      <c r="J122" s="34"/>
    </row>
    <row r="123" spans="10:10" ht="12.75" x14ac:dyDescent="0.2">
      <c r="J123" s="34"/>
    </row>
    <row r="124" spans="10:10" ht="12.75" x14ac:dyDescent="0.2">
      <c r="J124" s="34"/>
    </row>
    <row r="125" spans="10:10" ht="12.75" x14ac:dyDescent="0.2">
      <c r="J125" s="34"/>
    </row>
    <row r="126" spans="10:10" ht="12.75" x14ac:dyDescent="0.2">
      <c r="J126" s="34"/>
    </row>
    <row r="127" spans="10:10" ht="12.75" x14ac:dyDescent="0.2">
      <c r="J127" s="34"/>
    </row>
    <row r="128" spans="10:10" ht="12.75" x14ac:dyDescent="0.2">
      <c r="J128" s="34"/>
    </row>
    <row r="129" spans="10:10" ht="12.75" x14ac:dyDescent="0.2">
      <c r="J129" s="34"/>
    </row>
    <row r="130" spans="10:10" ht="12.75" x14ac:dyDescent="0.2">
      <c r="J130" s="34"/>
    </row>
    <row r="131" spans="10:10" ht="12.75" x14ac:dyDescent="0.2">
      <c r="J131" s="34"/>
    </row>
    <row r="132" spans="10:10" ht="12.75" x14ac:dyDescent="0.2">
      <c r="J132" s="34"/>
    </row>
    <row r="133" spans="10:10" ht="12.75" x14ac:dyDescent="0.2">
      <c r="J133" s="34"/>
    </row>
    <row r="134" spans="10:10" ht="12.75" x14ac:dyDescent="0.2">
      <c r="J134" s="34"/>
    </row>
    <row r="135" spans="10:10" ht="12.75" x14ac:dyDescent="0.2">
      <c r="J135" s="34"/>
    </row>
    <row r="136" spans="10:10" ht="12.75" x14ac:dyDescent="0.2">
      <c r="J136" s="34"/>
    </row>
    <row r="137" spans="10:10" ht="12.75" x14ac:dyDescent="0.2">
      <c r="J137" s="34"/>
    </row>
    <row r="138" spans="10:10" ht="12.75" x14ac:dyDescent="0.2">
      <c r="J138" s="34"/>
    </row>
    <row r="139" spans="10:10" ht="12.75" x14ac:dyDescent="0.2">
      <c r="J139" s="34"/>
    </row>
    <row r="140" spans="10:10" ht="12.75" x14ac:dyDescent="0.2">
      <c r="J140" s="34"/>
    </row>
    <row r="141" spans="10:10" ht="12.75" x14ac:dyDescent="0.2">
      <c r="J141" s="34"/>
    </row>
    <row r="142" spans="10:10" ht="12.75" x14ac:dyDescent="0.2">
      <c r="J142" s="34"/>
    </row>
    <row r="143" spans="10:10" ht="12.75" x14ac:dyDescent="0.2">
      <c r="J143" s="34"/>
    </row>
    <row r="144" spans="10:10" ht="12.75" x14ac:dyDescent="0.2">
      <c r="J144" s="34"/>
    </row>
    <row r="145" spans="10:10" ht="12.75" x14ac:dyDescent="0.2">
      <c r="J145" s="34"/>
    </row>
    <row r="146" spans="10:10" ht="12.75" x14ac:dyDescent="0.2">
      <c r="J146" s="34"/>
    </row>
    <row r="147" spans="10:10" ht="12.75" x14ac:dyDescent="0.2">
      <c r="J147" s="34"/>
    </row>
    <row r="148" spans="10:10" ht="12.75" x14ac:dyDescent="0.2">
      <c r="J148" s="34"/>
    </row>
    <row r="149" spans="10:10" ht="12.75" x14ac:dyDescent="0.2">
      <c r="J149" s="34"/>
    </row>
    <row r="150" spans="10:10" ht="12.75" x14ac:dyDescent="0.2">
      <c r="J150" s="34"/>
    </row>
    <row r="151" spans="10:10" ht="12.75" x14ac:dyDescent="0.2">
      <c r="J151" s="34"/>
    </row>
    <row r="152" spans="10:10" ht="12.75" x14ac:dyDescent="0.2">
      <c r="J152" s="34"/>
    </row>
    <row r="153" spans="10:10" ht="12.75" x14ac:dyDescent="0.2">
      <c r="J153" s="34"/>
    </row>
    <row r="154" spans="10:10" ht="12.75" x14ac:dyDescent="0.2">
      <c r="J154" s="34"/>
    </row>
    <row r="155" spans="10:10" ht="12.75" x14ac:dyDescent="0.2">
      <c r="J155" s="34"/>
    </row>
    <row r="156" spans="10:10" ht="12.75" x14ac:dyDescent="0.2">
      <c r="J156" s="34"/>
    </row>
    <row r="157" spans="10:10" ht="12.75" x14ac:dyDescent="0.2">
      <c r="J157" s="34"/>
    </row>
    <row r="158" spans="10:10" ht="12.75" x14ac:dyDescent="0.2">
      <c r="J158" s="34"/>
    </row>
    <row r="159" spans="10:10" ht="12.75" x14ac:dyDescent="0.2">
      <c r="J159" s="34"/>
    </row>
    <row r="160" spans="10:10" ht="12.75" x14ac:dyDescent="0.2">
      <c r="J160" s="34"/>
    </row>
    <row r="161" spans="10:10" ht="12.75" x14ac:dyDescent="0.2">
      <c r="J161" s="34"/>
    </row>
    <row r="162" spans="10:10" ht="12.75" x14ac:dyDescent="0.2">
      <c r="J162" s="34"/>
    </row>
    <row r="163" spans="10:10" ht="12.75" x14ac:dyDescent="0.2">
      <c r="J163" s="34"/>
    </row>
    <row r="164" spans="10:10" ht="12.75" x14ac:dyDescent="0.2">
      <c r="J164" s="34"/>
    </row>
    <row r="165" spans="10:10" ht="12.75" x14ac:dyDescent="0.2">
      <c r="J165" s="34"/>
    </row>
    <row r="166" spans="10:10" ht="12.75" x14ac:dyDescent="0.2">
      <c r="J166" s="34"/>
    </row>
    <row r="167" spans="10:10" ht="12.75" x14ac:dyDescent="0.2">
      <c r="J167" s="34"/>
    </row>
    <row r="168" spans="10:10" ht="12.75" x14ac:dyDescent="0.2">
      <c r="J168" s="34"/>
    </row>
    <row r="169" spans="10:10" ht="12.75" x14ac:dyDescent="0.2">
      <c r="J169" s="34"/>
    </row>
    <row r="170" spans="10:10" ht="12.75" x14ac:dyDescent="0.2">
      <c r="J170" s="34"/>
    </row>
    <row r="171" spans="10:10" ht="12.75" x14ac:dyDescent="0.2">
      <c r="J171" s="34"/>
    </row>
    <row r="172" spans="10:10" ht="12.75" x14ac:dyDescent="0.2">
      <c r="J172" s="34"/>
    </row>
    <row r="173" spans="10:10" ht="12.75" x14ac:dyDescent="0.2">
      <c r="J173" s="34"/>
    </row>
    <row r="174" spans="10:10" ht="12.75" x14ac:dyDescent="0.2">
      <c r="J174" s="34"/>
    </row>
  </sheetData>
  <autoFilter ref="A2:T92"/>
  <sortState ref="A3:AA38">
    <sortCondition ref="F3:F38"/>
  </sortState>
  <mergeCells count="6">
    <mergeCell ref="Q93:R93"/>
    <mergeCell ref="Q94:R94"/>
    <mergeCell ref="I1:J1"/>
    <mergeCell ref="K1:L1"/>
    <mergeCell ref="M1:N1"/>
    <mergeCell ref="O1:P1"/>
  </mergeCells>
  <conditionalFormatting sqref="U3:U56 U88 U58:U68 U70:U86">
    <cfRule type="expression" dxfId="1" priority="4">
      <formula>IF(H3=U3,0,1)</formula>
    </cfRule>
  </conditionalFormatting>
  <conditionalFormatting sqref="U58:U68">
    <cfRule type="expression" dxfId="0" priority="1">
      <formula>IF(H58=U58,0,1)</formula>
    </cfRule>
  </conditionalFormatting>
  <pageMargins left="0.7" right="0.7" top="0.75" bottom="0.75" header="0.3" footer="0.3"/>
  <pageSetup paperSize="122" scale="2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V106"/>
  <sheetViews>
    <sheetView workbookViewId="0"/>
  </sheetViews>
  <sheetFormatPr baseColWidth="10" defaultColWidth="11.28515625" defaultRowHeight="15.75" x14ac:dyDescent="0.25"/>
  <cols>
    <col min="1" max="1" width="0.85546875" style="144" customWidth="1"/>
    <col min="2" max="2" width="20.7109375" style="144" customWidth="1"/>
    <col min="3" max="3" width="21.140625" style="91" customWidth="1"/>
    <col min="4" max="4" width="25.7109375" style="91" customWidth="1"/>
    <col min="5" max="5" width="18.28515625" style="88" customWidth="1"/>
    <col min="6" max="7" width="16.28515625" style="88" customWidth="1"/>
    <col min="8" max="10" width="8.85546875" style="88" customWidth="1"/>
    <col min="11" max="12" width="17.28515625" style="179" customWidth="1"/>
    <col min="13" max="13" width="15.85546875" style="179" customWidth="1"/>
    <col min="14" max="14" width="9" style="88" customWidth="1"/>
    <col min="15" max="15" width="12.7109375" style="88" bestFit="1" customWidth="1"/>
    <col min="16" max="16" width="8.140625" style="88" customWidth="1"/>
    <col min="17" max="17" width="12.28515625" style="88" customWidth="1"/>
    <col min="18" max="18" width="16.7109375" style="88" customWidth="1"/>
    <col min="19" max="19" width="6.85546875" style="144" customWidth="1"/>
    <col min="20" max="16384" width="11.28515625" style="144"/>
  </cols>
  <sheetData>
    <row r="1" spans="2:22" x14ac:dyDescent="0.25">
      <c r="B1" s="144" t="s">
        <v>331</v>
      </c>
      <c r="C1" s="91" t="s">
        <v>332</v>
      </c>
      <c r="D1" s="91" t="s">
        <v>333</v>
      </c>
      <c r="E1" s="88" t="s">
        <v>334</v>
      </c>
      <c r="F1" s="88" t="s">
        <v>335</v>
      </c>
      <c r="G1" s="88" t="s">
        <v>336</v>
      </c>
      <c r="H1" s="88" t="s">
        <v>337</v>
      </c>
      <c r="I1" s="88" t="s">
        <v>338</v>
      </c>
      <c r="J1" s="88" t="s">
        <v>339</v>
      </c>
      <c r="K1" s="179" t="s">
        <v>340</v>
      </c>
      <c r="L1" s="179" t="s">
        <v>341</v>
      </c>
      <c r="M1" s="179" t="s">
        <v>342</v>
      </c>
      <c r="N1" s="88" t="s">
        <v>53</v>
      </c>
      <c r="O1" s="88" t="s">
        <v>72</v>
      </c>
      <c r="P1" s="88" t="s">
        <v>75</v>
      </c>
      <c r="Q1" s="88" t="s">
        <v>73</v>
      </c>
      <c r="R1" s="88" t="s">
        <v>74</v>
      </c>
    </row>
    <row r="2" spans="2:22" ht="15" x14ac:dyDescent="0.25">
      <c r="B2" s="116">
        <v>1105196407</v>
      </c>
      <c r="C2" s="116" t="s">
        <v>640</v>
      </c>
      <c r="D2" s="116" t="s">
        <v>641</v>
      </c>
      <c r="E2" s="288">
        <v>42950</v>
      </c>
      <c r="F2" s="288">
        <v>42951</v>
      </c>
      <c r="G2" s="288">
        <v>42870.931273148148</v>
      </c>
      <c r="H2" s="116" t="s">
        <v>276</v>
      </c>
      <c r="I2" s="116">
        <v>2</v>
      </c>
      <c r="J2" s="116">
        <v>4</v>
      </c>
      <c r="K2" s="237">
        <v>390</v>
      </c>
      <c r="L2" s="237">
        <v>15</v>
      </c>
      <c r="M2" s="237">
        <v>58.5</v>
      </c>
      <c r="N2" s="88">
        <f>(F2-E2)</f>
        <v>1</v>
      </c>
      <c r="O2" s="89">
        <f t="shared" ref="O2" si="0">K2/N2/P2*IF(H2="ok",1,0)</f>
        <v>195</v>
      </c>
      <c r="P2" s="88">
        <f>I2</f>
        <v>2</v>
      </c>
      <c r="Q2" s="88">
        <f>N2*P2</f>
        <v>2</v>
      </c>
      <c r="R2" s="89">
        <f t="shared" ref="R2" si="1">O2*Q2</f>
        <v>390</v>
      </c>
      <c r="S2" s="144">
        <f>ROUND(K2/195,0)</f>
        <v>2</v>
      </c>
      <c r="T2" s="144">
        <f>K2*0.15</f>
        <v>58.5</v>
      </c>
      <c r="U2" s="144">
        <f>SUMIF(Agosto!$E$3:$E$89,B2,Agosto!$H$3:$H$89)</f>
        <v>2</v>
      </c>
      <c r="V2" s="144">
        <f>Q2-U2</f>
        <v>0</v>
      </c>
    </row>
    <row r="3" spans="2:22" ht="15" x14ac:dyDescent="0.25">
      <c r="B3" s="116">
        <v>1199987377</v>
      </c>
      <c r="C3" s="116" t="s">
        <v>642</v>
      </c>
      <c r="D3" s="116" t="s">
        <v>643</v>
      </c>
      <c r="E3" s="288">
        <v>42951</v>
      </c>
      <c r="F3" s="288">
        <v>42956</v>
      </c>
      <c r="G3" s="288">
        <v>42899.202557870369</v>
      </c>
      <c r="H3" s="116" t="s">
        <v>276</v>
      </c>
      <c r="I3" s="116">
        <v>1</v>
      </c>
      <c r="J3" s="116">
        <v>2</v>
      </c>
      <c r="K3" s="237">
        <v>975</v>
      </c>
      <c r="L3" s="237">
        <v>14</v>
      </c>
      <c r="M3" s="237">
        <v>136.5</v>
      </c>
      <c r="N3" s="88">
        <f t="shared" ref="N3:N44" si="2">(F3-E3)</f>
        <v>5</v>
      </c>
      <c r="O3" s="89">
        <f t="shared" ref="O3:O28" si="3">K3/N3/P3*IF(H3="ok",1,0)</f>
        <v>195</v>
      </c>
      <c r="P3" s="88">
        <f t="shared" ref="P3:P50" si="4">I3</f>
        <v>1</v>
      </c>
      <c r="Q3" s="88">
        <f t="shared" ref="Q3:Q44" si="5">N3*P3</f>
        <v>5</v>
      </c>
      <c r="R3" s="89">
        <f t="shared" ref="R3:R28" si="6">O3*Q3</f>
        <v>975</v>
      </c>
      <c r="S3" s="144">
        <f t="shared" ref="S3:S28" si="7">ROUND(K3/195,0)</f>
        <v>5</v>
      </c>
      <c r="T3" s="144">
        <f t="shared" ref="T3:T44" si="8">K3*0.15</f>
        <v>146.25</v>
      </c>
      <c r="U3" s="144">
        <f>SUMIF(Agosto!$E$3:$E$89,B3,Agosto!$H$3:$H$89)</f>
        <v>5</v>
      </c>
      <c r="V3" s="255">
        <f t="shared" ref="V3:V44" si="9">Q3-U3</f>
        <v>0</v>
      </c>
    </row>
    <row r="4" spans="2:22" ht="15" x14ac:dyDescent="0.25">
      <c r="B4" s="116">
        <v>1535652897</v>
      </c>
      <c r="C4" s="116" t="s">
        <v>644</v>
      </c>
      <c r="D4" s="116" t="s">
        <v>645</v>
      </c>
      <c r="E4" s="288">
        <v>42951</v>
      </c>
      <c r="F4" s="288">
        <v>42953</v>
      </c>
      <c r="G4" s="288">
        <v>42886.025381944448</v>
      </c>
      <c r="H4" s="116" t="s">
        <v>276</v>
      </c>
      <c r="I4" s="116">
        <v>3</v>
      </c>
      <c r="J4" s="116">
        <v>6</v>
      </c>
      <c r="K4" s="237">
        <v>1170</v>
      </c>
      <c r="L4" s="237">
        <v>15</v>
      </c>
      <c r="M4" s="237">
        <v>175.5</v>
      </c>
      <c r="N4" s="88">
        <f t="shared" si="2"/>
        <v>2</v>
      </c>
      <c r="O4" s="89">
        <f t="shared" si="3"/>
        <v>195</v>
      </c>
      <c r="P4" s="88">
        <f t="shared" si="4"/>
        <v>3</v>
      </c>
      <c r="Q4" s="88">
        <f t="shared" si="5"/>
        <v>6</v>
      </c>
      <c r="R4" s="89">
        <f t="shared" si="6"/>
        <v>1170</v>
      </c>
      <c r="S4" s="144">
        <f t="shared" si="7"/>
        <v>6</v>
      </c>
      <c r="T4" s="144">
        <f t="shared" si="8"/>
        <v>175.5</v>
      </c>
      <c r="U4" s="144">
        <f>SUMIF(Agosto!$E$3:$E$89,B4,Agosto!$H$3:$H$89)</f>
        <v>6</v>
      </c>
      <c r="V4" s="144">
        <f t="shared" si="9"/>
        <v>0</v>
      </c>
    </row>
    <row r="5" spans="2:22" ht="15" x14ac:dyDescent="0.25">
      <c r="B5" s="116">
        <v>1763382717</v>
      </c>
      <c r="C5" s="116" t="s">
        <v>646</v>
      </c>
      <c r="D5" s="116" t="s">
        <v>647</v>
      </c>
      <c r="E5" s="288">
        <v>42951</v>
      </c>
      <c r="F5" s="288">
        <v>42957</v>
      </c>
      <c r="G5" s="288">
        <v>42841.014814814815</v>
      </c>
      <c r="H5" s="116" t="s">
        <v>276</v>
      </c>
      <c r="I5" s="116">
        <v>1</v>
      </c>
      <c r="J5" s="116">
        <v>2</v>
      </c>
      <c r="K5" s="237">
        <v>1053</v>
      </c>
      <c r="L5" s="237">
        <v>15</v>
      </c>
      <c r="M5" s="237">
        <v>157.94999999999999</v>
      </c>
      <c r="N5" s="88">
        <f t="shared" si="2"/>
        <v>6</v>
      </c>
      <c r="O5" s="89">
        <f t="shared" si="3"/>
        <v>175.5</v>
      </c>
      <c r="P5" s="88">
        <f t="shared" si="4"/>
        <v>1</v>
      </c>
      <c r="Q5" s="88">
        <f t="shared" si="5"/>
        <v>6</v>
      </c>
      <c r="R5" s="89">
        <f t="shared" si="6"/>
        <v>1053</v>
      </c>
      <c r="S5" s="144">
        <f t="shared" si="7"/>
        <v>5</v>
      </c>
      <c r="T5" s="144">
        <f t="shared" si="8"/>
        <v>157.94999999999999</v>
      </c>
      <c r="U5" s="144">
        <f>SUMIF(Agosto!$E$3:$E$89,B5,Agosto!$H$3:$H$89)</f>
        <v>6</v>
      </c>
      <c r="V5" s="144">
        <f t="shared" si="9"/>
        <v>0</v>
      </c>
    </row>
    <row r="6" spans="2:22" ht="15" x14ac:dyDescent="0.25">
      <c r="B6" s="116">
        <v>1905658649</v>
      </c>
      <c r="C6" s="116" t="s">
        <v>648</v>
      </c>
      <c r="D6" s="116" t="s">
        <v>649</v>
      </c>
      <c r="E6" s="288">
        <v>42951</v>
      </c>
      <c r="F6" s="288">
        <v>42953</v>
      </c>
      <c r="G6" s="289">
        <v>42944.289733796293</v>
      </c>
      <c r="H6" s="116" t="s">
        <v>276</v>
      </c>
      <c r="I6" s="116">
        <v>1</v>
      </c>
      <c r="J6" s="116">
        <v>2</v>
      </c>
      <c r="K6" s="237">
        <v>351</v>
      </c>
      <c r="L6" s="237">
        <v>14</v>
      </c>
      <c r="M6" s="237">
        <v>49.14</v>
      </c>
      <c r="N6" s="88">
        <f t="shared" si="2"/>
        <v>2</v>
      </c>
      <c r="O6" s="89">
        <f t="shared" si="3"/>
        <v>175.5</v>
      </c>
      <c r="P6" s="88">
        <f t="shared" si="4"/>
        <v>1</v>
      </c>
      <c r="Q6" s="88">
        <f t="shared" si="5"/>
        <v>2</v>
      </c>
      <c r="R6" s="89">
        <f t="shared" si="6"/>
        <v>351</v>
      </c>
      <c r="S6" s="144">
        <f t="shared" si="7"/>
        <v>2</v>
      </c>
      <c r="T6" s="144">
        <f t="shared" si="8"/>
        <v>52.65</v>
      </c>
      <c r="U6" s="144">
        <f>SUMIF(Agosto!$E$3:$E$89,B6,Agosto!$H$3:$H$89)</f>
        <v>2</v>
      </c>
      <c r="V6" s="144">
        <f t="shared" si="9"/>
        <v>0</v>
      </c>
    </row>
    <row r="7" spans="2:22" ht="15" x14ac:dyDescent="0.25">
      <c r="B7" s="116">
        <v>2097167801</v>
      </c>
      <c r="C7" s="116" t="s">
        <v>650</v>
      </c>
      <c r="D7" s="116"/>
      <c r="E7" s="288">
        <v>42952</v>
      </c>
      <c r="F7" s="288">
        <v>42958</v>
      </c>
      <c r="G7" s="289">
        <v>42889.236076388886</v>
      </c>
      <c r="H7" s="116" t="s">
        <v>276</v>
      </c>
      <c r="I7" s="116">
        <v>1</v>
      </c>
      <c r="J7" s="116">
        <v>2</v>
      </c>
      <c r="K7" s="237">
        <v>1053</v>
      </c>
      <c r="L7" s="237">
        <v>14</v>
      </c>
      <c r="M7" s="237">
        <v>147.41999999999999</v>
      </c>
      <c r="N7" s="88">
        <f t="shared" si="2"/>
        <v>6</v>
      </c>
      <c r="O7" s="89">
        <f t="shared" si="3"/>
        <v>175.5</v>
      </c>
      <c r="P7" s="88">
        <f t="shared" si="4"/>
        <v>1</v>
      </c>
      <c r="Q7" s="88">
        <f t="shared" si="5"/>
        <v>6</v>
      </c>
      <c r="R7" s="89">
        <f t="shared" si="6"/>
        <v>1053</v>
      </c>
      <c r="S7" s="144">
        <f t="shared" si="7"/>
        <v>5</v>
      </c>
      <c r="T7" s="144">
        <f t="shared" si="8"/>
        <v>157.94999999999999</v>
      </c>
      <c r="U7" s="144">
        <f>SUMIF(Agosto!$E$3:$E$89,B7,Agosto!$H$3:$H$89)</f>
        <v>6</v>
      </c>
      <c r="V7" s="144">
        <f t="shared" si="9"/>
        <v>0</v>
      </c>
    </row>
    <row r="8" spans="2:22" ht="15" x14ac:dyDescent="0.25">
      <c r="B8" s="116">
        <v>1234178620</v>
      </c>
      <c r="C8" s="116" t="s">
        <v>651</v>
      </c>
      <c r="D8" s="116" t="s">
        <v>652</v>
      </c>
      <c r="E8" s="288">
        <v>42953</v>
      </c>
      <c r="F8" s="288">
        <v>42958</v>
      </c>
      <c r="G8" s="289">
        <v>42843.262199074074</v>
      </c>
      <c r="H8" s="116" t="s">
        <v>276</v>
      </c>
      <c r="I8" s="116">
        <v>1</v>
      </c>
      <c r="J8" s="116">
        <v>2</v>
      </c>
      <c r="K8" s="237">
        <v>975</v>
      </c>
      <c r="L8" s="237">
        <v>15</v>
      </c>
      <c r="M8" s="237">
        <v>146.25</v>
      </c>
      <c r="N8" s="88">
        <f t="shared" si="2"/>
        <v>5</v>
      </c>
      <c r="O8" s="89">
        <f t="shared" si="3"/>
        <v>195</v>
      </c>
      <c r="P8" s="88">
        <f t="shared" si="4"/>
        <v>1</v>
      </c>
      <c r="Q8" s="88">
        <f t="shared" si="5"/>
        <v>5</v>
      </c>
      <c r="R8" s="89">
        <f t="shared" si="6"/>
        <v>975</v>
      </c>
      <c r="S8" s="144">
        <f t="shared" si="7"/>
        <v>5</v>
      </c>
      <c r="T8" s="144">
        <f t="shared" si="8"/>
        <v>146.25</v>
      </c>
      <c r="U8" s="144">
        <f>SUMIF(Agosto!$E$3:$E$89,B8,Agosto!$H$3:$H$89)</f>
        <v>5</v>
      </c>
      <c r="V8" s="144">
        <f t="shared" si="9"/>
        <v>0</v>
      </c>
    </row>
    <row r="9" spans="2:22" ht="14.45" x14ac:dyDescent="0.3">
      <c r="B9" s="116">
        <v>1582206986</v>
      </c>
      <c r="C9" s="116" t="s">
        <v>640</v>
      </c>
      <c r="D9" s="116" t="s">
        <v>653</v>
      </c>
      <c r="E9" s="288">
        <v>42953</v>
      </c>
      <c r="F9" s="288">
        <v>42957</v>
      </c>
      <c r="G9" s="289">
        <v>42870.935162037036</v>
      </c>
      <c r="H9" s="116" t="s">
        <v>276</v>
      </c>
      <c r="I9" s="116">
        <v>2</v>
      </c>
      <c r="J9" s="116">
        <v>4</v>
      </c>
      <c r="K9" s="237">
        <v>1560</v>
      </c>
      <c r="L9" s="237">
        <v>15</v>
      </c>
      <c r="M9" s="237">
        <v>234</v>
      </c>
      <c r="N9" s="88">
        <f t="shared" si="2"/>
        <v>4</v>
      </c>
      <c r="O9" s="89">
        <f t="shared" si="3"/>
        <v>195</v>
      </c>
      <c r="P9" s="88">
        <f t="shared" si="4"/>
        <v>2</v>
      </c>
      <c r="Q9" s="88">
        <f t="shared" si="5"/>
        <v>8</v>
      </c>
      <c r="R9" s="89">
        <f t="shared" si="6"/>
        <v>1560</v>
      </c>
      <c r="S9" s="144">
        <f t="shared" si="7"/>
        <v>8</v>
      </c>
      <c r="T9" s="144">
        <f t="shared" si="8"/>
        <v>234</v>
      </c>
      <c r="U9" s="144">
        <f>SUMIF(Agosto!$E$3:$E$89,B9,Agosto!$H$3:$H$89)</f>
        <v>8</v>
      </c>
      <c r="V9" s="144">
        <f t="shared" si="9"/>
        <v>0</v>
      </c>
    </row>
    <row r="10" spans="2:22" ht="15" x14ac:dyDescent="0.25">
      <c r="B10" s="116">
        <v>1883984997</v>
      </c>
      <c r="C10" s="116" t="s">
        <v>654</v>
      </c>
      <c r="D10" s="116" t="s">
        <v>655</v>
      </c>
      <c r="E10" s="288">
        <v>42953</v>
      </c>
      <c r="F10" s="288">
        <v>42956</v>
      </c>
      <c r="G10" s="289">
        <v>42890.936319444445</v>
      </c>
      <c r="H10" s="116" t="s">
        <v>276</v>
      </c>
      <c r="I10" s="116">
        <v>1</v>
      </c>
      <c r="J10" s="116">
        <v>2</v>
      </c>
      <c r="K10" s="237">
        <v>585</v>
      </c>
      <c r="L10" s="237">
        <v>14</v>
      </c>
      <c r="M10" s="237">
        <v>81.900000000000006</v>
      </c>
      <c r="N10" s="88">
        <f t="shared" si="2"/>
        <v>3</v>
      </c>
      <c r="O10" s="89">
        <f t="shared" ref="O10:O25" si="10">K10/N10/P10*IF(H10="ok",1,0)</f>
        <v>195</v>
      </c>
      <c r="P10" s="88">
        <f t="shared" si="4"/>
        <v>1</v>
      </c>
      <c r="Q10" s="88">
        <f t="shared" si="5"/>
        <v>3</v>
      </c>
      <c r="R10" s="89">
        <f t="shared" ref="R10:R25" si="11">O10*Q10</f>
        <v>585</v>
      </c>
      <c r="S10" s="144">
        <f t="shared" ref="S10:S25" si="12">ROUND(K10/195,0)</f>
        <v>3</v>
      </c>
      <c r="T10" s="144">
        <f t="shared" si="8"/>
        <v>87.75</v>
      </c>
      <c r="U10" s="144">
        <f>SUMIF(Agosto!$E$3:$E$89,B10,Agosto!$H$3:$H$89)</f>
        <v>3</v>
      </c>
      <c r="V10" s="144">
        <f t="shared" si="9"/>
        <v>0</v>
      </c>
    </row>
    <row r="11" spans="2:22" ht="15" x14ac:dyDescent="0.25">
      <c r="B11" s="116">
        <v>2083966393</v>
      </c>
      <c r="C11" s="116" t="s">
        <v>656</v>
      </c>
      <c r="D11" s="116" t="s">
        <v>657</v>
      </c>
      <c r="E11" s="288">
        <v>42956</v>
      </c>
      <c r="F11" s="288">
        <v>42959</v>
      </c>
      <c r="G11" s="289">
        <v>42928.616574074076</v>
      </c>
      <c r="H11" s="116" t="s">
        <v>276</v>
      </c>
      <c r="I11" s="116">
        <v>3</v>
      </c>
      <c r="J11" s="116">
        <v>6</v>
      </c>
      <c r="K11" s="237">
        <v>1830</v>
      </c>
      <c r="L11" s="237">
        <v>14</v>
      </c>
      <c r="M11" s="237">
        <v>256.2</v>
      </c>
      <c r="N11" s="88">
        <f t="shared" si="2"/>
        <v>3</v>
      </c>
      <c r="O11" s="89">
        <f t="shared" si="10"/>
        <v>203.33333333333334</v>
      </c>
      <c r="P11" s="88">
        <f t="shared" si="4"/>
        <v>3</v>
      </c>
      <c r="Q11" s="88">
        <f t="shared" si="5"/>
        <v>9</v>
      </c>
      <c r="R11" s="89">
        <f t="shared" si="11"/>
        <v>1830</v>
      </c>
      <c r="S11" s="144">
        <f t="shared" si="12"/>
        <v>9</v>
      </c>
      <c r="T11" s="144">
        <f t="shared" si="8"/>
        <v>274.5</v>
      </c>
      <c r="U11" s="144">
        <f>SUMIF(Agosto!$E$3:$E$89,B11,Agosto!$H$3:$H$89)</f>
        <v>9</v>
      </c>
      <c r="V11" s="144">
        <f t="shared" si="9"/>
        <v>0</v>
      </c>
    </row>
    <row r="12" spans="2:22" ht="15" x14ac:dyDescent="0.25">
      <c r="B12" s="116">
        <v>1411678231</v>
      </c>
      <c r="C12" s="116" t="s">
        <v>658</v>
      </c>
      <c r="D12" s="116" t="s">
        <v>659</v>
      </c>
      <c r="E12" s="288">
        <v>42958</v>
      </c>
      <c r="F12" s="288">
        <v>42959</v>
      </c>
      <c r="G12" s="289">
        <v>42957.957905092589</v>
      </c>
      <c r="H12" s="116" t="s">
        <v>276</v>
      </c>
      <c r="I12" s="116">
        <v>1</v>
      </c>
      <c r="J12" s="116">
        <v>2</v>
      </c>
      <c r="K12" s="237">
        <v>220</v>
      </c>
      <c r="L12" s="237">
        <v>14</v>
      </c>
      <c r="M12" s="237">
        <v>30.8</v>
      </c>
      <c r="N12" s="88">
        <f t="shared" si="2"/>
        <v>1</v>
      </c>
      <c r="O12" s="89">
        <f t="shared" si="10"/>
        <v>220</v>
      </c>
      <c r="P12" s="88">
        <f t="shared" si="4"/>
        <v>1</v>
      </c>
      <c r="Q12" s="88">
        <f t="shared" si="5"/>
        <v>1</v>
      </c>
      <c r="R12" s="89">
        <f t="shared" si="11"/>
        <v>220</v>
      </c>
      <c r="S12" s="144">
        <f t="shared" si="12"/>
        <v>1</v>
      </c>
      <c r="T12" s="144">
        <f t="shared" si="8"/>
        <v>33</v>
      </c>
      <c r="U12" s="144">
        <f>SUMIF(Agosto!$E$3:$E$89,B12,Agosto!$H$3:$H$89)</f>
        <v>1</v>
      </c>
      <c r="V12" s="144">
        <f t="shared" si="9"/>
        <v>0</v>
      </c>
    </row>
    <row r="13" spans="2:22" ht="15" x14ac:dyDescent="0.25">
      <c r="B13" s="116">
        <v>1734949016</v>
      </c>
      <c r="C13" s="116" t="s">
        <v>660</v>
      </c>
      <c r="D13" s="116" t="s">
        <v>661</v>
      </c>
      <c r="E13" s="288">
        <v>42958</v>
      </c>
      <c r="F13" s="288">
        <v>42963</v>
      </c>
      <c r="G13" s="289">
        <v>42923.822094907409</v>
      </c>
      <c r="H13" s="116" t="s">
        <v>276</v>
      </c>
      <c r="I13" s="116">
        <v>1</v>
      </c>
      <c r="J13" s="116">
        <v>2</v>
      </c>
      <c r="K13" s="237">
        <v>1075</v>
      </c>
      <c r="L13" s="237">
        <v>14</v>
      </c>
      <c r="M13" s="237">
        <v>150.5</v>
      </c>
      <c r="N13" s="88">
        <f>(F13-E13)</f>
        <v>5</v>
      </c>
      <c r="O13" s="89">
        <f t="shared" si="10"/>
        <v>215</v>
      </c>
      <c r="P13" s="88">
        <f t="shared" si="4"/>
        <v>1</v>
      </c>
      <c r="Q13" s="88">
        <f t="shared" si="5"/>
        <v>5</v>
      </c>
      <c r="R13" s="89">
        <f t="shared" si="11"/>
        <v>1075</v>
      </c>
      <c r="S13" s="144">
        <f t="shared" si="12"/>
        <v>6</v>
      </c>
      <c r="T13" s="144">
        <f t="shared" si="8"/>
        <v>161.25</v>
      </c>
      <c r="U13" s="144">
        <f>SUMIF(Agosto!$E$3:$E$89,B13,Agosto!$H$3:$H$89)</f>
        <v>5</v>
      </c>
      <c r="V13" s="144">
        <f t="shared" si="9"/>
        <v>0</v>
      </c>
    </row>
    <row r="14" spans="2:22" ht="15" x14ac:dyDescent="0.25">
      <c r="B14" s="116">
        <v>2096152918</v>
      </c>
      <c r="C14" s="116" t="s">
        <v>662</v>
      </c>
      <c r="D14" s="116" t="s">
        <v>663</v>
      </c>
      <c r="E14" s="288">
        <v>42958</v>
      </c>
      <c r="F14" s="288">
        <v>42960</v>
      </c>
      <c r="G14" s="289">
        <v>42929.191666666666</v>
      </c>
      <c r="H14" s="116" t="s">
        <v>276</v>
      </c>
      <c r="I14" s="116">
        <v>1</v>
      </c>
      <c r="J14" s="116">
        <v>2</v>
      </c>
      <c r="K14" s="237">
        <v>440</v>
      </c>
      <c r="L14" s="237">
        <v>14</v>
      </c>
      <c r="M14" s="237">
        <v>61.6</v>
      </c>
      <c r="N14" s="88">
        <f t="shared" si="2"/>
        <v>2</v>
      </c>
      <c r="O14" s="89">
        <f t="shared" si="10"/>
        <v>220</v>
      </c>
      <c r="P14" s="88">
        <f t="shared" si="4"/>
        <v>1</v>
      </c>
      <c r="Q14" s="88">
        <f t="shared" si="5"/>
        <v>2</v>
      </c>
      <c r="R14" s="89">
        <f t="shared" si="11"/>
        <v>440</v>
      </c>
      <c r="S14" s="144">
        <f t="shared" si="12"/>
        <v>2</v>
      </c>
      <c r="T14" s="144">
        <f t="shared" si="8"/>
        <v>66</v>
      </c>
      <c r="U14" s="144">
        <f>SUMIF(Agosto!$E$3:$E$89,B14,Agosto!$H$3:$H$89)</f>
        <v>2</v>
      </c>
      <c r="V14" s="144">
        <f t="shared" si="9"/>
        <v>0</v>
      </c>
    </row>
    <row r="15" spans="2:22" ht="15" x14ac:dyDescent="0.25">
      <c r="B15" s="116">
        <v>1722403416</v>
      </c>
      <c r="C15" s="116" t="s">
        <v>664</v>
      </c>
      <c r="D15" s="116" t="s">
        <v>665</v>
      </c>
      <c r="E15" s="288">
        <v>42959</v>
      </c>
      <c r="F15" s="288">
        <v>42960</v>
      </c>
      <c r="G15" s="289">
        <v>42891.618587962963</v>
      </c>
      <c r="H15" s="116" t="s">
        <v>276</v>
      </c>
      <c r="I15" s="116">
        <v>2</v>
      </c>
      <c r="J15" s="116">
        <v>4</v>
      </c>
      <c r="K15" s="237">
        <v>440</v>
      </c>
      <c r="L15" s="237">
        <v>14</v>
      </c>
      <c r="M15" s="237">
        <v>61.6</v>
      </c>
      <c r="N15" s="88">
        <f t="shared" si="2"/>
        <v>1</v>
      </c>
      <c r="O15" s="89">
        <f t="shared" si="10"/>
        <v>220</v>
      </c>
      <c r="P15" s="88">
        <f t="shared" si="4"/>
        <v>2</v>
      </c>
      <c r="Q15" s="88">
        <f t="shared" si="5"/>
        <v>2</v>
      </c>
      <c r="R15" s="89">
        <f t="shared" si="11"/>
        <v>440</v>
      </c>
      <c r="S15" s="144">
        <f t="shared" si="12"/>
        <v>2</v>
      </c>
      <c r="T15" s="144">
        <f t="shared" si="8"/>
        <v>66</v>
      </c>
      <c r="U15" s="144">
        <f>SUMIF(Agosto!$E$3:$E$89,B15,Agosto!$H$3:$H$89)</f>
        <v>2</v>
      </c>
      <c r="V15" s="144">
        <f t="shared" si="9"/>
        <v>0</v>
      </c>
    </row>
    <row r="16" spans="2:22" ht="15" x14ac:dyDescent="0.25">
      <c r="B16" s="116">
        <v>1973042605</v>
      </c>
      <c r="C16" s="116" t="s">
        <v>666</v>
      </c>
      <c r="D16" s="116" t="s">
        <v>667</v>
      </c>
      <c r="E16" s="288">
        <v>42959</v>
      </c>
      <c r="F16" s="288">
        <v>42969</v>
      </c>
      <c r="G16" s="289">
        <v>42920.849849537037</v>
      </c>
      <c r="H16" s="116" t="s">
        <v>276</v>
      </c>
      <c r="I16" s="116">
        <v>1</v>
      </c>
      <c r="J16" s="116">
        <v>2</v>
      </c>
      <c r="K16" s="237">
        <v>2025</v>
      </c>
      <c r="L16" s="237">
        <v>14</v>
      </c>
      <c r="M16" s="237">
        <v>283.5</v>
      </c>
      <c r="N16" s="88">
        <f t="shared" si="2"/>
        <v>10</v>
      </c>
      <c r="O16" s="89">
        <f t="shared" si="10"/>
        <v>202.5</v>
      </c>
      <c r="P16" s="88">
        <f t="shared" si="4"/>
        <v>1</v>
      </c>
      <c r="Q16" s="88">
        <f t="shared" si="5"/>
        <v>10</v>
      </c>
      <c r="R16" s="89">
        <f t="shared" si="11"/>
        <v>2025</v>
      </c>
      <c r="S16" s="144">
        <f t="shared" si="12"/>
        <v>10</v>
      </c>
      <c r="T16" s="144">
        <f t="shared" si="8"/>
        <v>303.75</v>
      </c>
      <c r="U16" s="144">
        <f>SUMIF(Agosto!$E$3:$E$89,B16,Agosto!$H$3:$H$89)</f>
        <v>10</v>
      </c>
      <c r="V16" s="144">
        <f t="shared" si="9"/>
        <v>0</v>
      </c>
    </row>
    <row r="17" spans="2:22" ht="15" x14ac:dyDescent="0.25">
      <c r="B17" s="116">
        <v>1812138497</v>
      </c>
      <c r="C17" s="116" t="s">
        <v>668</v>
      </c>
      <c r="D17" s="116" t="s">
        <v>669</v>
      </c>
      <c r="E17" s="288">
        <v>42960</v>
      </c>
      <c r="F17" s="288">
        <v>42965</v>
      </c>
      <c r="G17" s="289">
        <v>42892.671944444446</v>
      </c>
      <c r="H17" s="116" t="s">
        <v>276</v>
      </c>
      <c r="I17" s="116">
        <v>1</v>
      </c>
      <c r="J17" s="116">
        <v>2</v>
      </c>
      <c r="K17" s="237">
        <v>1025</v>
      </c>
      <c r="L17" s="237">
        <v>14</v>
      </c>
      <c r="M17" s="237">
        <v>143.5</v>
      </c>
      <c r="N17" s="88">
        <f t="shared" si="2"/>
        <v>5</v>
      </c>
      <c r="O17" s="89">
        <f t="shared" si="10"/>
        <v>205</v>
      </c>
      <c r="P17" s="88">
        <f t="shared" si="4"/>
        <v>1</v>
      </c>
      <c r="Q17" s="88">
        <f t="shared" si="5"/>
        <v>5</v>
      </c>
      <c r="R17" s="89">
        <f t="shared" si="11"/>
        <v>1025</v>
      </c>
      <c r="S17" s="144">
        <f t="shared" si="12"/>
        <v>5</v>
      </c>
      <c r="T17" s="144">
        <f t="shared" si="8"/>
        <v>153.75</v>
      </c>
      <c r="U17" s="144">
        <f>SUMIF(Agosto!$E$3:$E$89,B17,Agosto!$H$3:$H$89)</f>
        <v>5</v>
      </c>
      <c r="V17" s="144">
        <f t="shared" si="9"/>
        <v>0</v>
      </c>
    </row>
    <row r="18" spans="2:22" ht="15" x14ac:dyDescent="0.25">
      <c r="B18" s="116">
        <v>2004404042</v>
      </c>
      <c r="C18" s="116" t="s">
        <v>670</v>
      </c>
      <c r="D18" s="116" t="s">
        <v>671</v>
      </c>
      <c r="E18" s="288">
        <v>42961</v>
      </c>
      <c r="F18" s="288">
        <v>42967</v>
      </c>
      <c r="G18" s="289">
        <v>42800.946296296293</v>
      </c>
      <c r="H18" s="116" t="s">
        <v>276</v>
      </c>
      <c r="I18" s="116">
        <v>1</v>
      </c>
      <c r="J18" s="116">
        <v>2</v>
      </c>
      <c r="K18" s="237">
        <v>1195</v>
      </c>
      <c r="L18" s="237">
        <v>15</v>
      </c>
      <c r="M18" s="237">
        <v>179.25</v>
      </c>
      <c r="N18" s="88">
        <f t="shared" si="2"/>
        <v>6</v>
      </c>
      <c r="O18" s="89">
        <f t="shared" si="10"/>
        <v>199.16666666666666</v>
      </c>
      <c r="P18" s="88">
        <f t="shared" si="4"/>
        <v>1</v>
      </c>
      <c r="Q18" s="88">
        <f t="shared" si="5"/>
        <v>6</v>
      </c>
      <c r="R18" s="89">
        <f t="shared" si="11"/>
        <v>1195</v>
      </c>
      <c r="S18" s="144">
        <f t="shared" si="12"/>
        <v>6</v>
      </c>
      <c r="T18" s="144">
        <f t="shared" si="8"/>
        <v>179.25</v>
      </c>
      <c r="U18" s="144">
        <f>SUMIF(Agosto!$E$3:$E$89,B18,Agosto!$H$3:$H$89)</f>
        <v>6</v>
      </c>
      <c r="V18" s="144">
        <f t="shared" si="9"/>
        <v>0</v>
      </c>
    </row>
    <row r="19" spans="2:22" ht="15" x14ac:dyDescent="0.25">
      <c r="B19" s="116">
        <v>1558997042</v>
      </c>
      <c r="C19" s="116" t="s">
        <v>672</v>
      </c>
      <c r="D19" s="116" t="s">
        <v>673</v>
      </c>
      <c r="E19" s="288">
        <v>42962</v>
      </c>
      <c r="F19" s="288">
        <v>42965</v>
      </c>
      <c r="G19" s="289">
        <v>42892.51599537037</v>
      </c>
      <c r="H19" s="116" t="s">
        <v>276</v>
      </c>
      <c r="I19" s="116">
        <v>1</v>
      </c>
      <c r="J19" s="116">
        <v>2</v>
      </c>
      <c r="K19" s="237">
        <v>585</v>
      </c>
      <c r="L19" s="237">
        <v>14</v>
      </c>
      <c r="M19" s="237">
        <v>81.900000000000006</v>
      </c>
      <c r="N19" s="88">
        <f t="shared" si="2"/>
        <v>3</v>
      </c>
      <c r="O19" s="89">
        <f t="shared" si="10"/>
        <v>195</v>
      </c>
      <c r="P19" s="88">
        <f t="shared" si="4"/>
        <v>1</v>
      </c>
      <c r="Q19" s="88">
        <f t="shared" si="5"/>
        <v>3</v>
      </c>
      <c r="R19" s="89">
        <f t="shared" si="11"/>
        <v>585</v>
      </c>
      <c r="S19" s="144">
        <f t="shared" si="12"/>
        <v>3</v>
      </c>
      <c r="T19" s="144">
        <f t="shared" si="8"/>
        <v>87.75</v>
      </c>
      <c r="U19" s="144">
        <f>SUMIF(Agosto!$E$3:$E$89,B19,Agosto!$H$3:$H$89)</f>
        <v>3</v>
      </c>
      <c r="V19" s="144">
        <f t="shared" si="9"/>
        <v>0</v>
      </c>
    </row>
    <row r="20" spans="2:22" ht="15" x14ac:dyDescent="0.25">
      <c r="B20" s="116">
        <v>2065198804</v>
      </c>
      <c r="C20" s="116" t="s">
        <v>674</v>
      </c>
      <c r="D20" s="116" t="s">
        <v>675</v>
      </c>
      <c r="E20" s="288">
        <v>42962</v>
      </c>
      <c r="F20" s="288">
        <v>42966</v>
      </c>
      <c r="G20" s="289">
        <v>42892.871180555558</v>
      </c>
      <c r="H20" s="116" t="s">
        <v>276</v>
      </c>
      <c r="I20" s="116">
        <v>1</v>
      </c>
      <c r="J20" s="116">
        <v>2</v>
      </c>
      <c r="K20" s="237">
        <v>780</v>
      </c>
      <c r="L20" s="237">
        <v>14</v>
      </c>
      <c r="M20" s="237">
        <v>109.2</v>
      </c>
      <c r="N20" s="88">
        <f t="shared" si="2"/>
        <v>4</v>
      </c>
      <c r="O20" s="89">
        <f t="shared" si="10"/>
        <v>195</v>
      </c>
      <c r="P20" s="88">
        <f t="shared" si="4"/>
        <v>1</v>
      </c>
      <c r="Q20" s="88">
        <f t="shared" si="5"/>
        <v>4</v>
      </c>
      <c r="R20" s="89">
        <f t="shared" si="11"/>
        <v>780</v>
      </c>
      <c r="S20" s="144">
        <f t="shared" si="12"/>
        <v>4</v>
      </c>
      <c r="T20" s="144">
        <f t="shared" si="8"/>
        <v>117</v>
      </c>
      <c r="U20" s="144">
        <f>SUMIF(Agosto!$E$3:$E$89,B20,Agosto!$H$3:$H$89)</f>
        <v>4</v>
      </c>
      <c r="V20" s="144">
        <f t="shared" si="9"/>
        <v>0</v>
      </c>
    </row>
    <row r="21" spans="2:22" ht="15" x14ac:dyDescent="0.25">
      <c r="B21" s="116">
        <v>1156708872</v>
      </c>
      <c r="C21" s="116" t="s">
        <v>676</v>
      </c>
      <c r="D21" s="116" t="s">
        <v>677</v>
      </c>
      <c r="E21" s="288">
        <v>42964</v>
      </c>
      <c r="F21" s="288">
        <v>42970</v>
      </c>
      <c r="G21" s="289">
        <v>42938.979664351849</v>
      </c>
      <c r="H21" s="116" t="s">
        <v>276</v>
      </c>
      <c r="I21" s="116">
        <v>1</v>
      </c>
      <c r="J21" s="116">
        <v>2</v>
      </c>
      <c r="K21" s="237">
        <v>1170</v>
      </c>
      <c r="L21" s="237">
        <v>14</v>
      </c>
      <c r="M21" s="237">
        <v>163.80000000000001</v>
      </c>
      <c r="N21" s="88">
        <f t="shared" si="2"/>
        <v>6</v>
      </c>
      <c r="O21" s="89">
        <f t="shared" si="10"/>
        <v>195</v>
      </c>
      <c r="P21" s="88">
        <f t="shared" si="4"/>
        <v>1</v>
      </c>
      <c r="Q21" s="88">
        <f t="shared" si="5"/>
        <v>6</v>
      </c>
      <c r="R21" s="89">
        <f t="shared" si="11"/>
        <v>1170</v>
      </c>
      <c r="S21" s="144">
        <f t="shared" si="12"/>
        <v>6</v>
      </c>
      <c r="T21" s="144">
        <f t="shared" si="8"/>
        <v>175.5</v>
      </c>
      <c r="U21" s="144">
        <f>SUMIF(Agosto!$E$3:$E$89,B21,Agosto!$H$3:$H$89)</f>
        <v>6</v>
      </c>
      <c r="V21" s="144">
        <f t="shared" si="9"/>
        <v>0</v>
      </c>
    </row>
    <row r="22" spans="2:22" ht="15" x14ac:dyDescent="0.25">
      <c r="B22" s="116">
        <v>1084021710</v>
      </c>
      <c r="C22" s="116" t="s">
        <v>678</v>
      </c>
      <c r="D22" s="116" t="s">
        <v>679</v>
      </c>
      <c r="E22" s="288">
        <v>42965</v>
      </c>
      <c r="F22" s="288">
        <v>42969</v>
      </c>
      <c r="G22" s="289">
        <v>42948.651921296296</v>
      </c>
      <c r="H22" s="116" t="s">
        <v>276</v>
      </c>
      <c r="I22" s="116">
        <v>1</v>
      </c>
      <c r="J22" s="116">
        <v>2</v>
      </c>
      <c r="K22" s="237">
        <v>702</v>
      </c>
      <c r="L22" s="237">
        <v>14</v>
      </c>
      <c r="M22" s="237">
        <v>98.28</v>
      </c>
      <c r="N22" s="88">
        <f t="shared" si="2"/>
        <v>4</v>
      </c>
      <c r="O22" s="89">
        <f t="shared" si="10"/>
        <v>175.5</v>
      </c>
      <c r="P22" s="88">
        <f t="shared" si="4"/>
        <v>1</v>
      </c>
      <c r="Q22" s="88">
        <f t="shared" si="5"/>
        <v>4</v>
      </c>
      <c r="R22" s="89">
        <f t="shared" si="11"/>
        <v>702</v>
      </c>
      <c r="S22" s="144">
        <f t="shared" si="12"/>
        <v>4</v>
      </c>
      <c r="T22" s="144">
        <f t="shared" si="8"/>
        <v>105.3</v>
      </c>
      <c r="U22" s="144">
        <f>SUMIF(Agosto!$E$3:$E$89,B22,Agosto!$H$3:$H$89)</f>
        <v>4</v>
      </c>
      <c r="V22" s="144">
        <f t="shared" si="9"/>
        <v>0</v>
      </c>
    </row>
    <row r="23" spans="2:22" ht="15" x14ac:dyDescent="0.25">
      <c r="B23" s="116">
        <v>1331695557</v>
      </c>
      <c r="C23" s="116" t="s">
        <v>680</v>
      </c>
      <c r="D23" s="116" t="s">
        <v>681</v>
      </c>
      <c r="E23" s="288">
        <v>42965</v>
      </c>
      <c r="F23" s="288">
        <v>42968</v>
      </c>
      <c r="G23" s="289">
        <v>42949.896666666667</v>
      </c>
      <c r="H23" s="116" t="s">
        <v>276</v>
      </c>
      <c r="I23" s="116">
        <v>1</v>
      </c>
      <c r="J23" s="116">
        <v>2</v>
      </c>
      <c r="K23" s="237">
        <v>585</v>
      </c>
      <c r="L23" s="237">
        <v>14</v>
      </c>
      <c r="M23" s="237">
        <v>81.900000000000006</v>
      </c>
      <c r="N23" s="88">
        <f t="shared" si="2"/>
        <v>3</v>
      </c>
      <c r="O23" s="89">
        <f t="shared" si="10"/>
        <v>195</v>
      </c>
      <c r="P23" s="88">
        <f t="shared" si="4"/>
        <v>1</v>
      </c>
      <c r="Q23" s="88">
        <f t="shared" si="5"/>
        <v>3</v>
      </c>
      <c r="R23" s="89">
        <f t="shared" si="11"/>
        <v>585</v>
      </c>
      <c r="S23" s="144">
        <f t="shared" si="12"/>
        <v>3</v>
      </c>
      <c r="T23" s="144">
        <f t="shared" si="8"/>
        <v>87.75</v>
      </c>
      <c r="U23" s="144">
        <f>SUMIF(Agosto!$E$3:$E$89,B23,Agosto!$H$3:$H$89)</f>
        <v>3</v>
      </c>
      <c r="V23" s="144">
        <f t="shared" si="9"/>
        <v>0</v>
      </c>
    </row>
    <row r="24" spans="2:22" ht="15" x14ac:dyDescent="0.25">
      <c r="B24" s="116">
        <v>1321621577</v>
      </c>
      <c r="C24" s="116" t="s">
        <v>682</v>
      </c>
      <c r="D24" s="116" t="s">
        <v>683</v>
      </c>
      <c r="E24" s="288">
        <v>42966</v>
      </c>
      <c r="F24" s="288">
        <v>42967</v>
      </c>
      <c r="G24" s="289">
        <v>42964.698055555556</v>
      </c>
      <c r="H24" s="116" t="s">
        <v>276</v>
      </c>
      <c r="I24" s="116">
        <v>1</v>
      </c>
      <c r="J24" s="116">
        <v>1</v>
      </c>
      <c r="K24" s="237">
        <v>195</v>
      </c>
      <c r="L24" s="237">
        <v>14</v>
      </c>
      <c r="M24" s="237">
        <v>27.3</v>
      </c>
      <c r="N24" s="88">
        <f t="shared" si="2"/>
        <v>1</v>
      </c>
      <c r="O24" s="89">
        <f t="shared" si="10"/>
        <v>195</v>
      </c>
      <c r="P24" s="88">
        <f t="shared" si="4"/>
        <v>1</v>
      </c>
      <c r="Q24" s="88">
        <f t="shared" si="5"/>
        <v>1</v>
      </c>
      <c r="R24" s="89">
        <f t="shared" si="11"/>
        <v>195</v>
      </c>
      <c r="S24" s="144">
        <f t="shared" si="12"/>
        <v>1</v>
      </c>
      <c r="T24" s="144">
        <f t="shared" si="8"/>
        <v>29.25</v>
      </c>
      <c r="U24" s="144">
        <f>SUMIF(Agosto!$E$3:$E$89,B24,Agosto!$H$3:$H$89)</f>
        <v>1</v>
      </c>
      <c r="V24" s="144">
        <f t="shared" si="9"/>
        <v>0</v>
      </c>
    </row>
    <row r="25" spans="2:22" ht="15" x14ac:dyDescent="0.25">
      <c r="B25" s="116">
        <v>1419000291</v>
      </c>
      <c r="C25" s="116" t="s">
        <v>684</v>
      </c>
      <c r="D25" s="116" t="s">
        <v>685</v>
      </c>
      <c r="E25" s="288">
        <v>42966</v>
      </c>
      <c r="F25" s="288">
        <v>42970</v>
      </c>
      <c r="G25" s="289">
        <v>42890.508796296293</v>
      </c>
      <c r="H25" s="116" t="s">
        <v>276</v>
      </c>
      <c r="I25" s="116">
        <v>1</v>
      </c>
      <c r="J25" s="116">
        <v>2</v>
      </c>
      <c r="K25" s="237">
        <v>780</v>
      </c>
      <c r="L25" s="237">
        <v>14</v>
      </c>
      <c r="M25" s="237">
        <v>109.2</v>
      </c>
      <c r="N25" s="88">
        <f t="shared" si="2"/>
        <v>4</v>
      </c>
      <c r="O25" s="89">
        <f t="shared" si="10"/>
        <v>195</v>
      </c>
      <c r="P25" s="88">
        <f t="shared" si="4"/>
        <v>1</v>
      </c>
      <c r="Q25" s="88">
        <f t="shared" si="5"/>
        <v>4</v>
      </c>
      <c r="R25" s="89">
        <f t="shared" si="11"/>
        <v>780</v>
      </c>
      <c r="S25" s="144">
        <f t="shared" si="12"/>
        <v>4</v>
      </c>
      <c r="T25" s="144">
        <f t="shared" si="8"/>
        <v>117</v>
      </c>
      <c r="U25" s="144">
        <f>SUMIF(Agosto!$E$3:$E$89,B25,Agosto!$H$3:$H$89)</f>
        <v>4</v>
      </c>
      <c r="V25" s="144">
        <f t="shared" si="9"/>
        <v>0</v>
      </c>
    </row>
    <row r="26" spans="2:22" ht="15" x14ac:dyDescent="0.25">
      <c r="B26" s="116">
        <v>1761896060</v>
      </c>
      <c r="C26" s="116" t="s">
        <v>686</v>
      </c>
      <c r="D26" s="116" t="s">
        <v>687</v>
      </c>
      <c r="E26" s="288">
        <v>42966</v>
      </c>
      <c r="F26" s="288">
        <v>42971</v>
      </c>
      <c r="G26" s="289">
        <v>42939.989178240743</v>
      </c>
      <c r="H26" s="116" t="s">
        <v>276</v>
      </c>
      <c r="I26" s="116">
        <v>1</v>
      </c>
      <c r="J26" s="116">
        <v>2</v>
      </c>
      <c r="K26" s="237">
        <v>975</v>
      </c>
      <c r="L26" s="237">
        <v>14</v>
      </c>
      <c r="M26" s="237">
        <v>136.5</v>
      </c>
      <c r="N26" s="88">
        <f t="shared" si="2"/>
        <v>5</v>
      </c>
      <c r="O26" s="89">
        <f t="shared" si="3"/>
        <v>195</v>
      </c>
      <c r="P26" s="88">
        <f t="shared" si="4"/>
        <v>1</v>
      </c>
      <c r="Q26" s="88">
        <f t="shared" si="5"/>
        <v>5</v>
      </c>
      <c r="R26" s="89">
        <f t="shared" si="6"/>
        <v>975</v>
      </c>
      <c r="S26" s="144">
        <f t="shared" si="7"/>
        <v>5</v>
      </c>
      <c r="T26" s="144">
        <f t="shared" si="8"/>
        <v>146.25</v>
      </c>
      <c r="U26" s="144">
        <f>SUMIF(Agosto!$E$3:$E$89,B26,Agosto!$H$3:$H$89)</f>
        <v>5</v>
      </c>
      <c r="V26" s="144">
        <f t="shared" si="9"/>
        <v>0</v>
      </c>
    </row>
    <row r="27" spans="2:22" ht="15" x14ac:dyDescent="0.25">
      <c r="B27" s="116">
        <v>1101859699</v>
      </c>
      <c r="C27" s="116" t="s">
        <v>688</v>
      </c>
      <c r="D27" s="116" t="s">
        <v>689</v>
      </c>
      <c r="E27" s="288">
        <v>42967</v>
      </c>
      <c r="F27" s="288">
        <v>42971</v>
      </c>
      <c r="G27" s="289">
        <v>42874.723541666666</v>
      </c>
      <c r="H27" s="116" t="s">
        <v>276</v>
      </c>
      <c r="I27" s="116">
        <v>1</v>
      </c>
      <c r="J27" s="116">
        <v>2</v>
      </c>
      <c r="K27" s="237">
        <v>702</v>
      </c>
      <c r="L27" s="237">
        <v>15</v>
      </c>
      <c r="M27" s="237">
        <v>105.3</v>
      </c>
      <c r="N27" s="88">
        <f t="shared" si="2"/>
        <v>4</v>
      </c>
      <c r="O27" s="89">
        <f t="shared" si="3"/>
        <v>175.5</v>
      </c>
      <c r="P27" s="88">
        <f t="shared" si="4"/>
        <v>1</v>
      </c>
      <c r="Q27" s="88">
        <f t="shared" si="5"/>
        <v>4</v>
      </c>
      <c r="R27" s="89">
        <f t="shared" si="6"/>
        <v>702</v>
      </c>
      <c r="S27" s="144">
        <f t="shared" si="7"/>
        <v>4</v>
      </c>
      <c r="T27" s="144">
        <f t="shared" si="8"/>
        <v>105.3</v>
      </c>
      <c r="U27" s="144">
        <f>SUMIF(Agosto!$E$3:$E$89,B27,Agosto!$H$3:$H$89)</f>
        <v>4</v>
      </c>
      <c r="V27" s="144">
        <f t="shared" si="9"/>
        <v>0</v>
      </c>
    </row>
    <row r="28" spans="2:22" ht="15" x14ac:dyDescent="0.25">
      <c r="B28" s="116">
        <v>1827013931</v>
      </c>
      <c r="C28" s="116" t="s">
        <v>690</v>
      </c>
      <c r="D28" s="116" t="s">
        <v>691</v>
      </c>
      <c r="E28" s="288">
        <v>42967</v>
      </c>
      <c r="F28" s="288">
        <v>42970</v>
      </c>
      <c r="G28" s="289">
        <v>42939.320601851854</v>
      </c>
      <c r="H28" s="116" t="s">
        <v>276</v>
      </c>
      <c r="I28" s="116">
        <v>1</v>
      </c>
      <c r="J28" s="116">
        <v>2</v>
      </c>
      <c r="K28" s="237">
        <v>585</v>
      </c>
      <c r="L28" s="237">
        <v>14</v>
      </c>
      <c r="M28" s="237">
        <v>81.900000000000006</v>
      </c>
      <c r="N28" s="88">
        <f t="shared" si="2"/>
        <v>3</v>
      </c>
      <c r="O28" s="89">
        <f t="shared" si="3"/>
        <v>195</v>
      </c>
      <c r="P28" s="88">
        <f t="shared" si="4"/>
        <v>1</v>
      </c>
      <c r="Q28" s="88">
        <f t="shared" si="5"/>
        <v>3</v>
      </c>
      <c r="R28" s="89">
        <f t="shared" si="6"/>
        <v>585</v>
      </c>
      <c r="S28" s="144">
        <f t="shared" si="7"/>
        <v>3</v>
      </c>
      <c r="T28" s="144">
        <f t="shared" si="8"/>
        <v>87.75</v>
      </c>
      <c r="U28" s="144">
        <f>SUMIF(Agosto!$E$3:$E$89,B28,Agosto!$H$3:$H$89)</f>
        <v>3</v>
      </c>
      <c r="V28" s="144">
        <f t="shared" si="9"/>
        <v>0</v>
      </c>
    </row>
    <row r="29" spans="2:22" ht="14.45" x14ac:dyDescent="0.3">
      <c r="B29" s="116">
        <v>1480583045</v>
      </c>
      <c r="C29" s="116" t="s">
        <v>692</v>
      </c>
      <c r="D29" s="116" t="s">
        <v>693</v>
      </c>
      <c r="E29" s="288">
        <v>42968</v>
      </c>
      <c r="F29" s="288">
        <v>42974</v>
      </c>
      <c r="G29" s="289">
        <v>42921.680358796293</v>
      </c>
      <c r="H29" s="116" t="s">
        <v>276</v>
      </c>
      <c r="I29" s="116">
        <v>1</v>
      </c>
      <c r="J29" s="116">
        <v>2</v>
      </c>
      <c r="K29" s="237">
        <v>1170</v>
      </c>
      <c r="L29" s="237">
        <v>14</v>
      </c>
      <c r="M29" s="237">
        <v>163.80000000000001</v>
      </c>
      <c r="N29" s="88">
        <f t="shared" si="2"/>
        <v>6</v>
      </c>
      <c r="O29" s="89">
        <f t="shared" ref="O29:O44" si="13">K29/N29/P29*IF(H29="ok",1,0)</f>
        <v>195</v>
      </c>
      <c r="P29" s="88">
        <f t="shared" si="4"/>
        <v>1</v>
      </c>
      <c r="Q29" s="88">
        <f t="shared" si="5"/>
        <v>6</v>
      </c>
      <c r="R29" s="89">
        <f t="shared" ref="R29:R44" si="14">O29*Q29</f>
        <v>1170</v>
      </c>
      <c r="S29" s="144">
        <f t="shared" ref="S29:S44" si="15">ROUND(K29/195,0)</f>
        <v>6</v>
      </c>
      <c r="T29" s="144">
        <f t="shared" si="8"/>
        <v>175.5</v>
      </c>
      <c r="U29" s="144">
        <f>SUMIF(Agosto!$E$3:$E$89,B29,Agosto!$H$3:$H$89)</f>
        <v>6</v>
      </c>
      <c r="V29" s="144">
        <f t="shared" si="9"/>
        <v>0</v>
      </c>
    </row>
    <row r="30" spans="2:22" ht="15" x14ac:dyDescent="0.25">
      <c r="B30" s="116">
        <v>1557115589</v>
      </c>
      <c r="C30" s="116" t="s">
        <v>694</v>
      </c>
      <c r="D30" s="116" t="s">
        <v>695</v>
      </c>
      <c r="E30" s="288">
        <v>42969</v>
      </c>
      <c r="F30" s="288">
        <v>42972</v>
      </c>
      <c r="G30" s="289">
        <v>42956.940625000003</v>
      </c>
      <c r="H30" s="116" t="s">
        <v>276</v>
      </c>
      <c r="I30" s="116">
        <v>1</v>
      </c>
      <c r="J30" s="116">
        <v>2</v>
      </c>
      <c r="K30" s="237">
        <v>585</v>
      </c>
      <c r="L30" s="237">
        <v>14</v>
      </c>
      <c r="M30" s="237">
        <v>81.900000000000006</v>
      </c>
      <c r="N30" s="88">
        <f t="shared" si="2"/>
        <v>3</v>
      </c>
      <c r="O30" s="89">
        <f t="shared" si="13"/>
        <v>195</v>
      </c>
      <c r="P30" s="88">
        <f t="shared" si="4"/>
        <v>1</v>
      </c>
      <c r="Q30" s="88">
        <f t="shared" si="5"/>
        <v>3</v>
      </c>
      <c r="R30" s="89">
        <f t="shared" si="14"/>
        <v>585</v>
      </c>
      <c r="S30" s="144">
        <f t="shared" si="15"/>
        <v>3</v>
      </c>
      <c r="T30" s="144">
        <f t="shared" si="8"/>
        <v>87.75</v>
      </c>
      <c r="U30" s="144">
        <f>SUMIF(Agosto!$E$3:$E$89,B30,Agosto!$H$3:$H$89)</f>
        <v>3</v>
      </c>
      <c r="V30" s="144">
        <f t="shared" si="9"/>
        <v>0</v>
      </c>
    </row>
    <row r="31" spans="2:22" ht="15" x14ac:dyDescent="0.25">
      <c r="B31" s="116">
        <v>1716875642</v>
      </c>
      <c r="C31" s="116" t="s">
        <v>696</v>
      </c>
      <c r="D31" s="116" t="s">
        <v>697</v>
      </c>
      <c r="E31" s="288">
        <v>42969</v>
      </c>
      <c r="F31" s="288">
        <v>42976</v>
      </c>
      <c r="G31" s="289">
        <v>42882.176481481481</v>
      </c>
      <c r="H31" s="116" t="s">
        <v>276</v>
      </c>
      <c r="I31" s="116">
        <v>1</v>
      </c>
      <c r="J31" s="116">
        <v>2</v>
      </c>
      <c r="K31" s="237">
        <v>1365</v>
      </c>
      <c r="L31" s="237">
        <v>15</v>
      </c>
      <c r="M31" s="237">
        <v>204.75</v>
      </c>
      <c r="N31" s="88">
        <f t="shared" si="2"/>
        <v>7</v>
      </c>
      <c r="O31" s="89">
        <f t="shared" si="13"/>
        <v>195</v>
      </c>
      <c r="P31" s="88">
        <f t="shared" si="4"/>
        <v>1</v>
      </c>
      <c r="Q31" s="88">
        <f t="shared" si="5"/>
        <v>7</v>
      </c>
      <c r="R31" s="89">
        <f t="shared" si="14"/>
        <v>1365</v>
      </c>
      <c r="S31" s="144">
        <f t="shared" si="15"/>
        <v>7</v>
      </c>
      <c r="T31" s="144">
        <f t="shared" si="8"/>
        <v>204.75</v>
      </c>
      <c r="U31" s="144">
        <f>SUMIF(Agosto!$E$3:$E$89,B31,Agosto!$H$3:$H$89)</f>
        <v>7</v>
      </c>
      <c r="V31" s="144">
        <f t="shared" si="9"/>
        <v>0</v>
      </c>
    </row>
    <row r="32" spans="2:22" ht="15" x14ac:dyDescent="0.25">
      <c r="B32" s="116">
        <v>2083517156</v>
      </c>
      <c r="C32" s="116" t="s">
        <v>698</v>
      </c>
      <c r="D32" s="116" t="s">
        <v>699</v>
      </c>
      <c r="E32" s="288">
        <v>42970</v>
      </c>
      <c r="F32" s="288">
        <v>42971</v>
      </c>
      <c r="G32" s="289">
        <v>42900.995185185187</v>
      </c>
      <c r="H32" s="116" t="s">
        <v>410</v>
      </c>
      <c r="I32" s="116">
        <v>1</v>
      </c>
      <c r="J32" s="116">
        <v>2</v>
      </c>
      <c r="K32" s="237">
        <v>175.5</v>
      </c>
      <c r="L32" s="237">
        <v>14</v>
      </c>
      <c r="M32" s="237"/>
      <c r="N32" s="88">
        <f t="shared" si="2"/>
        <v>1</v>
      </c>
      <c r="O32" s="89">
        <f t="shared" si="13"/>
        <v>0</v>
      </c>
      <c r="P32" s="88">
        <f t="shared" si="4"/>
        <v>1</v>
      </c>
      <c r="Q32" s="88">
        <f t="shared" si="5"/>
        <v>1</v>
      </c>
      <c r="R32" s="89">
        <f t="shared" si="14"/>
        <v>0</v>
      </c>
      <c r="S32" s="144">
        <f t="shared" si="15"/>
        <v>1</v>
      </c>
      <c r="T32" s="144">
        <f t="shared" si="8"/>
        <v>26.324999999999999</v>
      </c>
      <c r="U32" s="144">
        <f>SUMIF(Agosto!$E$3:$E$89,B32,Agosto!$H$3:$H$89)</f>
        <v>0</v>
      </c>
      <c r="V32" s="144">
        <f t="shared" si="9"/>
        <v>1</v>
      </c>
    </row>
    <row r="33" spans="2:22" ht="15" x14ac:dyDescent="0.25">
      <c r="B33" s="116">
        <v>1417615880</v>
      </c>
      <c r="C33" s="116" t="s">
        <v>700</v>
      </c>
      <c r="D33" s="116" t="s">
        <v>701</v>
      </c>
      <c r="E33" s="288">
        <v>42971</v>
      </c>
      <c r="F33" s="288">
        <v>42974</v>
      </c>
      <c r="G33" s="289">
        <v>42934.159444444442</v>
      </c>
      <c r="H33" s="116" t="s">
        <v>276</v>
      </c>
      <c r="I33" s="116">
        <v>1</v>
      </c>
      <c r="J33" s="116">
        <v>2</v>
      </c>
      <c r="K33" s="237">
        <v>585</v>
      </c>
      <c r="L33" s="237">
        <v>14</v>
      </c>
      <c r="M33" s="237">
        <v>81.900000000000006</v>
      </c>
      <c r="N33" s="88">
        <f t="shared" si="2"/>
        <v>3</v>
      </c>
      <c r="O33" s="89">
        <f t="shared" si="13"/>
        <v>195</v>
      </c>
      <c r="P33" s="88">
        <f t="shared" si="4"/>
        <v>1</v>
      </c>
      <c r="Q33" s="88">
        <f t="shared" si="5"/>
        <v>3</v>
      </c>
      <c r="R33" s="89">
        <f t="shared" si="14"/>
        <v>585</v>
      </c>
      <c r="S33" s="144">
        <f t="shared" si="15"/>
        <v>3</v>
      </c>
      <c r="T33" s="144">
        <f t="shared" si="8"/>
        <v>87.75</v>
      </c>
      <c r="U33" s="144">
        <f>SUMIF(Agosto!$E$3:$E$89,B33,Agosto!$H$3:$H$89)</f>
        <v>0</v>
      </c>
      <c r="V33" s="144">
        <f t="shared" si="9"/>
        <v>3</v>
      </c>
    </row>
    <row r="34" spans="2:22" ht="15" x14ac:dyDescent="0.25">
      <c r="B34" s="116">
        <v>1444199627</v>
      </c>
      <c r="C34" s="116" t="s">
        <v>702</v>
      </c>
      <c r="D34" s="116" t="s">
        <v>703</v>
      </c>
      <c r="E34" s="288">
        <v>42971</v>
      </c>
      <c r="F34" s="288">
        <v>42974</v>
      </c>
      <c r="G34" s="289">
        <v>42930.605717592596</v>
      </c>
      <c r="H34" s="116" t="s">
        <v>276</v>
      </c>
      <c r="I34" s="116">
        <v>1</v>
      </c>
      <c r="J34" s="116">
        <v>2</v>
      </c>
      <c r="K34" s="237">
        <v>585</v>
      </c>
      <c r="L34" s="237">
        <v>14</v>
      </c>
      <c r="M34" s="237">
        <v>81.900000000000006</v>
      </c>
      <c r="N34" s="88">
        <f t="shared" si="2"/>
        <v>3</v>
      </c>
      <c r="O34" s="89">
        <f t="shared" si="13"/>
        <v>195</v>
      </c>
      <c r="P34" s="88">
        <f t="shared" si="4"/>
        <v>1</v>
      </c>
      <c r="Q34" s="88">
        <f t="shared" si="5"/>
        <v>3</v>
      </c>
      <c r="R34" s="89">
        <f t="shared" si="14"/>
        <v>585</v>
      </c>
      <c r="S34" s="144">
        <f t="shared" si="15"/>
        <v>3</v>
      </c>
      <c r="T34" s="144">
        <f t="shared" si="8"/>
        <v>87.75</v>
      </c>
      <c r="U34" s="144">
        <f>SUMIF(Agosto!$E$3:$E$89,B34,Agosto!$H$3:$H$89)</f>
        <v>3</v>
      </c>
      <c r="V34" s="144">
        <f t="shared" si="9"/>
        <v>0</v>
      </c>
    </row>
    <row r="35" spans="2:22" ht="15" x14ac:dyDescent="0.25">
      <c r="B35" s="116">
        <v>1547884142</v>
      </c>
      <c r="C35" s="116" t="s">
        <v>704</v>
      </c>
      <c r="D35" s="116" t="s">
        <v>705</v>
      </c>
      <c r="E35" s="288">
        <v>42971</v>
      </c>
      <c r="F35" s="288">
        <v>42975</v>
      </c>
      <c r="G35" s="289">
        <v>42919.089629629627</v>
      </c>
      <c r="H35" s="116" t="s">
        <v>276</v>
      </c>
      <c r="I35" s="116">
        <v>1</v>
      </c>
      <c r="J35" s="116">
        <v>2</v>
      </c>
      <c r="K35" s="237">
        <v>780</v>
      </c>
      <c r="L35" s="237">
        <v>14</v>
      </c>
      <c r="M35" s="237">
        <v>109.2</v>
      </c>
      <c r="N35" s="88">
        <f t="shared" si="2"/>
        <v>4</v>
      </c>
      <c r="O35" s="89">
        <f t="shared" si="13"/>
        <v>195</v>
      </c>
      <c r="P35" s="88">
        <f t="shared" si="4"/>
        <v>1</v>
      </c>
      <c r="Q35" s="88">
        <f t="shared" si="5"/>
        <v>4</v>
      </c>
      <c r="R35" s="89">
        <f t="shared" si="14"/>
        <v>780</v>
      </c>
      <c r="S35" s="144">
        <f t="shared" si="15"/>
        <v>4</v>
      </c>
      <c r="T35" s="144">
        <f t="shared" si="8"/>
        <v>117</v>
      </c>
      <c r="U35" s="144">
        <f>SUMIF(Agosto!$E$3:$E$89,B35,Agosto!$H$3:$H$89)</f>
        <v>0</v>
      </c>
      <c r="V35" s="144">
        <f t="shared" si="9"/>
        <v>4</v>
      </c>
    </row>
    <row r="36" spans="2:22" ht="15" x14ac:dyDescent="0.25">
      <c r="B36" s="116">
        <v>1357866678</v>
      </c>
      <c r="C36" s="116" t="s">
        <v>706</v>
      </c>
      <c r="D36" s="116" t="s">
        <v>707</v>
      </c>
      <c r="E36" s="288">
        <v>42973</v>
      </c>
      <c r="F36" s="288">
        <v>42979</v>
      </c>
      <c r="G36" s="289">
        <v>42898.011064814818</v>
      </c>
      <c r="H36" s="116" t="s">
        <v>276</v>
      </c>
      <c r="I36" s="116">
        <v>1</v>
      </c>
      <c r="J36" s="116">
        <v>2</v>
      </c>
      <c r="K36" s="237">
        <v>1053</v>
      </c>
      <c r="L36" s="237">
        <v>14</v>
      </c>
      <c r="M36" s="237">
        <v>147.41999999999999</v>
      </c>
      <c r="N36" s="88">
        <f t="shared" si="2"/>
        <v>6</v>
      </c>
      <c r="O36" s="89">
        <f t="shared" si="13"/>
        <v>175.5</v>
      </c>
      <c r="P36" s="88">
        <f t="shared" si="4"/>
        <v>1</v>
      </c>
      <c r="Q36" s="88">
        <f t="shared" si="5"/>
        <v>6</v>
      </c>
      <c r="R36" s="89">
        <f t="shared" si="14"/>
        <v>1053</v>
      </c>
      <c r="S36" s="144">
        <f t="shared" si="15"/>
        <v>5</v>
      </c>
      <c r="T36" s="144">
        <f t="shared" si="8"/>
        <v>157.94999999999999</v>
      </c>
      <c r="U36" s="144">
        <f>SUMIF(Agosto!$E$3:$E$89,B36,Agosto!$H$3:$H$89)</f>
        <v>6</v>
      </c>
      <c r="V36" s="144">
        <f t="shared" si="9"/>
        <v>0</v>
      </c>
    </row>
    <row r="37" spans="2:22" ht="15" x14ac:dyDescent="0.25">
      <c r="B37" s="116">
        <v>1342970451</v>
      </c>
      <c r="C37" s="116" t="s">
        <v>708</v>
      </c>
      <c r="D37" s="116" t="s">
        <v>709</v>
      </c>
      <c r="E37" s="288">
        <v>42974</v>
      </c>
      <c r="F37" s="288">
        <v>42976</v>
      </c>
      <c r="G37" s="289">
        <v>42974.136747685188</v>
      </c>
      <c r="H37" s="116" t="s">
        <v>276</v>
      </c>
      <c r="I37" s="116">
        <v>1</v>
      </c>
      <c r="J37" s="116">
        <v>2</v>
      </c>
      <c r="K37" s="237">
        <v>370</v>
      </c>
      <c r="L37" s="237">
        <v>14</v>
      </c>
      <c r="M37" s="237">
        <v>51.8</v>
      </c>
      <c r="N37" s="88">
        <f t="shared" si="2"/>
        <v>2</v>
      </c>
      <c r="O37" s="89">
        <f t="shared" si="13"/>
        <v>185</v>
      </c>
      <c r="P37" s="88">
        <f t="shared" si="4"/>
        <v>1</v>
      </c>
      <c r="Q37" s="88">
        <f t="shared" si="5"/>
        <v>2</v>
      </c>
      <c r="R37" s="89">
        <f t="shared" si="14"/>
        <v>370</v>
      </c>
      <c r="S37" s="144">
        <f t="shared" si="15"/>
        <v>2</v>
      </c>
      <c r="T37" s="144">
        <f t="shared" si="8"/>
        <v>55.5</v>
      </c>
      <c r="U37" s="144">
        <f>SUMIF(Agosto!$E$3:$E$89,B37,Agosto!$H$3:$H$89)</f>
        <v>2</v>
      </c>
      <c r="V37" s="144">
        <f t="shared" si="9"/>
        <v>0</v>
      </c>
    </row>
    <row r="38" spans="2:22" ht="15" x14ac:dyDescent="0.25">
      <c r="B38" s="116">
        <v>1408409239</v>
      </c>
      <c r="C38" s="116" t="s">
        <v>710</v>
      </c>
      <c r="D38" s="116" t="s">
        <v>711</v>
      </c>
      <c r="E38" s="288">
        <v>42974</v>
      </c>
      <c r="F38" s="288">
        <v>42980</v>
      </c>
      <c r="G38" s="289">
        <v>42885.119340277779</v>
      </c>
      <c r="H38" s="116" t="s">
        <v>276</v>
      </c>
      <c r="I38" s="116">
        <v>1</v>
      </c>
      <c r="J38" s="116">
        <v>2</v>
      </c>
      <c r="K38" s="237">
        <v>1170</v>
      </c>
      <c r="L38" s="237">
        <v>15</v>
      </c>
      <c r="M38" s="237">
        <v>175.5</v>
      </c>
      <c r="N38" s="88">
        <f t="shared" si="2"/>
        <v>6</v>
      </c>
      <c r="O38" s="89">
        <f t="shared" si="13"/>
        <v>195</v>
      </c>
      <c r="P38" s="88">
        <f t="shared" si="4"/>
        <v>1</v>
      </c>
      <c r="Q38" s="88">
        <f t="shared" si="5"/>
        <v>6</v>
      </c>
      <c r="R38" s="89">
        <f t="shared" si="14"/>
        <v>1170</v>
      </c>
      <c r="S38" s="144">
        <f t="shared" si="15"/>
        <v>6</v>
      </c>
      <c r="T38" s="144">
        <f t="shared" si="8"/>
        <v>175.5</v>
      </c>
      <c r="U38" s="144">
        <f>SUMIF(Agosto!$E$3:$E$89,B38,Agosto!$H$3:$H$89)</f>
        <v>6</v>
      </c>
      <c r="V38" s="144">
        <f t="shared" si="9"/>
        <v>0</v>
      </c>
    </row>
    <row r="39" spans="2:22" ht="15" x14ac:dyDescent="0.25">
      <c r="B39" s="116">
        <v>1852568320</v>
      </c>
      <c r="C39" s="116" t="s">
        <v>712</v>
      </c>
      <c r="D39" s="116" t="s">
        <v>713</v>
      </c>
      <c r="E39" s="288">
        <v>42974</v>
      </c>
      <c r="F39" s="288">
        <v>42980</v>
      </c>
      <c r="G39" s="289">
        <v>42876.125439814816</v>
      </c>
      <c r="H39" s="116" t="s">
        <v>276</v>
      </c>
      <c r="I39" s="116">
        <v>1</v>
      </c>
      <c r="J39" s="116">
        <v>2</v>
      </c>
      <c r="K39" s="237">
        <v>1170</v>
      </c>
      <c r="L39" s="237">
        <v>15</v>
      </c>
      <c r="M39" s="237">
        <v>175.5</v>
      </c>
      <c r="N39" s="88">
        <f t="shared" si="2"/>
        <v>6</v>
      </c>
      <c r="O39" s="89">
        <f t="shared" si="13"/>
        <v>195</v>
      </c>
      <c r="P39" s="88">
        <f t="shared" si="4"/>
        <v>1</v>
      </c>
      <c r="Q39" s="88">
        <f t="shared" si="5"/>
        <v>6</v>
      </c>
      <c r="R39" s="89">
        <f t="shared" si="14"/>
        <v>1170</v>
      </c>
      <c r="S39" s="144">
        <f t="shared" si="15"/>
        <v>6</v>
      </c>
      <c r="T39" s="144">
        <f t="shared" si="8"/>
        <v>175.5</v>
      </c>
      <c r="U39" s="144">
        <f>SUMIF(Agosto!$E$3:$E$89,B39,Agosto!$H$3:$H$89)</f>
        <v>0</v>
      </c>
      <c r="V39" s="144">
        <f t="shared" si="9"/>
        <v>6</v>
      </c>
    </row>
    <row r="40" spans="2:22" ht="15" x14ac:dyDescent="0.25">
      <c r="B40" s="116">
        <v>1688237223</v>
      </c>
      <c r="C40" s="116" t="s">
        <v>714</v>
      </c>
      <c r="D40" s="116" t="s">
        <v>715</v>
      </c>
      <c r="E40" s="288">
        <v>42975</v>
      </c>
      <c r="F40" s="288">
        <v>42978</v>
      </c>
      <c r="G40" s="289">
        <v>42970.251168981478</v>
      </c>
      <c r="H40" s="116" t="s">
        <v>276</v>
      </c>
      <c r="I40" s="116">
        <v>1</v>
      </c>
      <c r="J40" s="116">
        <v>2</v>
      </c>
      <c r="K40" s="237">
        <v>585</v>
      </c>
      <c r="L40" s="237">
        <v>14</v>
      </c>
      <c r="M40" s="237">
        <v>81.900000000000006</v>
      </c>
      <c r="N40" s="88">
        <f t="shared" si="2"/>
        <v>3</v>
      </c>
      <c r="O40" s="89">
        <f t="shared" si="13"/>
        <v>195</v>
      </c>
      <c r="P40" s="88">
        <f t="shared" si="4"/>
        <v>1</v>
      </c>
      <c r="Q40" s="88">
        <f t="shared" si="5"/>
        <v>3</v>
      </c>
      <c r="R40" s="89">
        <f t="shared" si="14"/>
        <v>585</v>
      </c>
      <c r="S40" s="144">
        <f t="shared" si="15"/>
        <v>3</v>
      </c>
      <c r="T40" s="144">
        <f t="shared" si="8"/>
        <v>87.75</v>
      </c>
      <c r="U40" s="144">
        <f>SUMIF(Agosto!$E$3:$E$89,B40,Agosto!$H$3:$H$89)</f>
        <v>3</v>
      </c>
      <c r="V40" s="144">
        <f t="shared" si="9"/>
        <v>0</v>
      </c>
    </row>
    <row r="41" spans="2:22" ht="15" x14ac:dyDescent="0.25">
      <c r="B41" s="116">
        <v>2029183732</v>
      </c>
      <c r="C41" s="116" t="s">
        <v>716</v>
      </c>
      <c r="D41" s="116" t="s">
        <v>717</v>
      </c>
      <c r="E41" s="288">
        <v>42975</v>
      </c>
      <c r="F41" s="288">
        <v>42980</v>
      </c>
      <c r="G41" s="289">
        <v>42874.892847222225</v>
      </c>
      <c r="H41" s="116" t="s">
        <v>276</v>
      </c>
      <c r="I41" s="116">
        <v>1</v>
      </c>
      <c r="J41" s="116">
        <v>2</v>
      </c>
      <c r="K41" s="237">
        <v>877.5</v>
      </c>
      <c r="L41" s="237">
        <v>15</v>
      </c>
      <c r="M41" s="237">
        <v>131625</v>
      </c>
      <c r="N41" s="88">
        <f t="shared" si="2"/>
        <v>5</v>
      </c>
      <c r="O41" s="89">
        <f t="shared" si="13"/>
        <v>175.5</v>
      </c>
      <c r="P41" s="88">
        <f t="shared" si="4"/>
        <v>1</v>
      </c>
      <c r="Q41" s="88">
        <f t="shared" si="5"/>
        <v>5</v>
      </c>
      <c r="R41" s="89">
        <f t="shared" si="14"/>
        <v>877.5</v>
      </c>
      <c r="S41" s="144">
        <f t="shared" si="15"/>
        <v>5</v>
      </c>
      <c r="T41" s="144">
        <f t="shared" si="8"/>
        <v>131.625</v>
      </c>
      <c r="U41" s="144">
        <f>SUMIF(Agosto!$E$3:$E$89,B41,Agosto!$H$3:$H$89)</f>
        <v>5</v>
      </c>
      <c r="V41" s="144">
        <f t="shared" si="9"/>
        <v>0</v>
      </c>
    </row>
    <row r="42" spans="2:22" ht="15" x14ac:dyDescent="0.25">
      <c r="B42" s="116">
        <v>1088223892</v>
      </c>
      <c r="C42" s="116" t="s">
        <v>718</v>
      </c>
      <c r="D42" s="116" t="s">
        <v>719</v>
      </c>
      <c r="E42" s="288">
        <v>42977</v>
      </c>
      <c r="F42" s="288">
        <v>42982</v>
      </c>
      <c r="G42" s="289">
        <v>42940.239201388889</v>
      </c>
      <c r="H42" s="116" t="s">
        <v>276</v>
      </c>
      <c r="I42" s="116">
        <v>1</v>
      </c>
      <c r="J42" s="116">
        <v>2</v>
      </c>
      <c r="K42" s="237">
        <v>975</v>
      </c>
      <c r="L42" s="237">
        <v>14</v>
      </c>
      <c r="M42" s="237">
        <v>136.5</v>
      </c>
      <c r="N42" s="88">
        <f t="shared" si="2"/>
        <v>5</v>
      </c>
      <c r="O42" s="89">
        <f t="shared" si="13"/>
        <v>195</v>
      </c>
      <c r="P42" s="88">
        <f t="shared" si="4"/>
        <v>1</v>
      </c>
      <c r="Q42" s="88">
        <f t="shared" si="5"/>
        <v>5</v>
      </c>
      <c r="R42" s="89">
        <f t="shared" si="14"/>
        <v>975</v>
      </c>
      <c r="S42" s="144">
        <f t="shared" si="15"/>
        <v>5</v>
      </c>
      <c r="T42" s="144">
        <f t="shared" si="8"/>
        <v>146.25</v>
      </c>
      <c r="U42" s="144">
        <f>SUMIF(Agosto!$E$3:$E$89,B42,Agosto!$H$3:$H$89)</f>
        <v>5</v>
      </c>
      <c r="V42" s="144">
        <f t="shared" si="9"/>
        <v>0</v>
      </c>
    </row>
    <row r="43" spans="2:22" ht="15" x14ac:dyDescent="0.25">
      <c r="B43" s="116">
        <v>1691682201</v>
      </c>
      <c r="C43" s="116" t="s">
        <v>720</v>
      </c>
      <c r="D43" s="116" t="s">
        <v>721</v>
      </c>
      <c r="E43" s="288">
        <v>42977</v>
      </c>
      <c r="F43" s="288">
        <v>42983</v>
      </c>
      <c r="G43" s="289">
        <v>42963.720995370371</v>
      </c>
      <c r="H43" s="116" t="s">
        <v>276</v>
      </c>
      <c r="I43" s="116">
        <v>1</v>
      </c>
      <c r="J43" s="116">
        <v>2</v>
      </c>
      <c r="K43" s="237">
        <v>1170</v>
      </c>
      <c r="L43" s="237">
        <v>14</v>
      </c>
      <c r="M43" s="237">
        <v>163.80000000000001</v>
      </c>
      <c r="N43" s="88">
        <f t="shared" si="2"/>
        <v>6</v>
      </c>
      <c r="O43" s="89">
        <f t="shared" si="13"/>
        <v>195</v>
      </c>
      <c r="P43" s="88">
        <f t="shared" si="4"/>
        <v>1</v>
      </c>
      <c r="Q43" s="88">
        <f t="shared" si="5"/>
        <v>6</v>
      </c>
      <c r="R43" s="89">
        <f t="shared" si="14"/>
        <v>1170</v>
      </c>
      <c r="S43" s="144">
        <f t="shared" si="15"/>
        <v>6</v>
      </c>
      <c r="T43" s="144">
        <f t="shared" si="8"/>
        <v>175.5</v>
      </c>
      <c r="U43" s="144">
        <f>SUMIF(Agosto!$E$3:$E$89,B43,Agosto!$H$3:$H$89)</f>
        <v>6</v>
      </c>
      <c r="V43" s="144">
        <f t="shared" si="9"/>
        <v>0</v>
      </c>
    </row>
    <row r="44" spans="2:22" ht="15" x14ac:dyDescent="0.25">
      <c r="B44" s="116">
        <v>1253276007</v>
      </c>
      <c r="C44" s="116" t="s">
        <v>722</v>
      </c>
      <c r="D44" s="116" t="s">
        <v>723</v>
      </c>
      <c r="E44" s="288">
        <v>42978</v>
      </c>
      <c r="F44" s="288">
        <v>42983</v>
      </c>
      <c r="G44" s="289">
        <v>42934.681539351855</v>
      </c>
      <c r="H44" s="116" t="s">
        <v>276</v>
      </c>
      <c r="I44" s="116">
        <v>1</v>
      </c>
      <c r="J44" s="116">
        <v>2</v>
      </c>
      <c r="K44" s="237">
        <v>877.5</v>
      </c>
      <c r="L44" s="237">
        <v>14</v>
      </c>
      <c r="M44" s="237">
        <v>122.85</v>
      </c>
      <c r="N44" s="88">
        <f t="shared" si="2"/>
        <v>5</v>
      </c>
      <c r="O44" s="89">
        <f t="shared" si="13"/>
        <v>175.5</v>
      </c>
      <c r="P44" s="88">
        <f t="shared" si="4"/>
        <v>1</v>
      </c>
      <c r="Q44" s="88">
        <f t="shared" si="5"/>
        <v>5</v>
      </c>
      <c r="R44" s="89">
        <f t="shared" si="14"/>
        <v>877.5</v>
      </c>
      <c r="S44" s="144">
        <f t="shared" si="15"/>
        <v>5</v>
      </c>
      <c r="T44" s="144">
        <f t="shared" si="8"/>
        <v>131.625</v>
      </c>
      <c r="U44" s="144">
        <f>SUMIF(Agosto!$E$3:$E$89,B44,Agosto!$H$3:$H$89)</f>
        <v>5</v>
      </c>
      <c r="V44" s="144">
        <f t="shared" si="9"/>
        <v>0</v>
      </c>
    </row>
    <row r="45" spans="2:22" ht="15" x14ac:dyDescent="0.25">
      <c r="B45" s="116">
        <v>1933885310</v>
      </c>
      <c r="C45" s="116" t="s">
        <v>724</v>
      </c>
      <c r="D45" s="116" t="s">
        <v>725</v>
      </c>
      <c r="E45" s="288">
        <v>42978</v>
      </c>
      <c r="F45" s="288">
        <v>42983</v>
      </c>
      <c r="G45" s="289">
        <v>42918.967766203707</v>
      </c>
      <c r="H45" s="116" t="s">
        <v>276</v>
      </c>
      <c r="I45" s="116">
        <v>1</v>
      </c>
      <c r="J45" s="116">
        <v>2</v>
      </c>
      <c r="K45" s="237">
        <v>975</v>
      </c>
      <c r="L45" s="237">
        <v>14</v>
      </c>
      <c r="M45" s="237">
        <v>136.5</v>
      </c>
      <c r="N45" s="88">
        <f t="shared" ref="N45:N50" si="16">(F45-E45)</f>
        <v>5</v>
      </c>
      <c r="O45" s="89">
        <f t="shared" ref="O45:O50" si="17">K45/N45/P45*IF(H45="ok",1,0)</f>
        <v>195</v>
      </c>
      <c r="P45" s="88">
        <f t="shared" si="4"/>
        <v>1</v>
      </c>
      <c r="Q45" s="88">
        <f t="shared" ref="Q45:Q50" si="18">N45*P45</f>
        <v>5</v>
      </c>
      <c r="R45" s="89">
        <f t="shared" ref="R45:R50" si="19">O45*Q45</f>
        <v>975</v>
      </c>
      <c r="S45" s="144">
        <f t="shared" ref="S45:S50" si="20">ROUND(K45/195,0)</f>
        <v>5</v>
      </c>
      <c r="T45" s="144">
        <f t="shared" ref="T45:T50" si="21">K45*0.15</f>
        <v>146.25</v>
      </c>
      <c r="U45" s="144">
        <f>SUMIF(Agosto!$E$3:$E$89,B45,Agosto!$H$3:$H$89)</f>
        <v>5</v>
      </c>
      <c r="V45" s="144">
        <f t="shared" ref="V45:V50" si="22">Q45-U45</f>
        <v>0</v>
      </c>
    </row>
    <row r="46" spans="2:22" ht="15" x14ac:dyDescent="0.25">
      <c r="B46" s="116"/>
      <c r="C46" s="116"/>
      <c r="D46" s="116"/>
      <c r="E46" s="288"/>
      <c r="F46" s="288"/>
      <c r="G46" s="289"/>
      <c r="H46" s="116"/>
      <c r="I46" s="116"/>
      <c r="J46" s="116"/>
      <c r="K46" s="237"/>
      <c r="L46" s="237"/>
      <c r="M46" s="237"/>
      <c r="N46" s="88">
        <f t="shared" si="16"/>
        <v>0</v>
      </c>
      <c r="O46" s="89" t="e">
        <f t="shared" si="17"/>
        <v>#DIV/0!</v>
      </c>
      <c r="P46" s="88">
        <f t="shared" si="4"/>
        <v>0</v>
      </c>
      <c r="Q46" s="88">
        <f t="shared" si="18"/>
        <v>0</v>
      </c>
      <c r="R46" s="89" t="e">
        <f t="shared" si="19"/>
        <v>#DIV/0!</v>
      </c>
      <c r="S46" s="144">
        <f t="shared" si="20"/>
        <v>0</v>
      </c>
      <c r="T46" s="144">
        <f t="shared" si="21"/>
        <v>0</v>
      </c>
      <c r="U46" s="144">
        <f>SUMIF(Agosto!$E$3:$E$89,B46,Agosto!$H$3:$H$89)</f>
        <v>0</v>
      </c>
      <c r="V46" s="144">
        <f t="shared" si="22"/>
        <v>0</v>
      </c>
    </row>
    <row r="47" spans="2:22" ht="15" x14ac:dyDescent="0.25">
      <c r="B47" s="116"/>
      <c r="C47" s="116"/>
      <c r="D47" s="116"/>
      <c r="E47" s="288"/>
      <c r="F47" s="288"/>
      <c r="G47" s="289"/>
      <c r="H47" s="116"/>
      <c r="I47" s="116"/>
      <c r="J47" s="116"/>
      <c r="K47" s="237"/>
      <c r="L47" s="237"/>
      <c r="M47" s="237"/>
      <c r="N47" s="88">
        <f t="shared" si="16"/>
        <v>0</v>
      </c>
      <c r="O47" s="89" t="e">
        <f t="shared" si="17"/>
        <v>#DIV/0!</v>
      </c>
      <c r="P47" s="88">
        <f t="shared" si="4"/>
        <v>0</v>
      </c>
      <c r="Q47" s="88">
        <f t="shared" si="18"/>
        <v>0</v>
      </c>
      <c r="R47" s="89" t="e">
        <f t="shared" si="19"/>
        <v>#DIV/0!</v>
      </c>
      <c r="S47" s="144">
        <f t="shared" si="20"/>
        <v>0</v>
      </c>
      <c r="T47" s="144">
        <f t="shared" si="21"/>
        <v>0</v>
      </c>
      <c r="U47" s="144">
        <f>SUMIF(Agosto!$E$3:$E$89,B47,Agosto!$H$3:$H$89)</f>
        <v>0</v>
      </c>
      <c r="V47" s="144">
        <f t="shared" si="22"/>
        <v>0</v>
      </c>
    </row>
    <row r="48" spans="2:22" ht="15" x14ac:dyDescent="0.25">
      <c r="B48" s="116"/>
      <c r="C48" s="116"/>
      <c r="D48" s="116"/>
      <c r="E48" s="288"/>
      <c r="F48" s="288"/>
      <c r="G48" s="289"/>
      <c r="H48" s="116"/>
      <c r="I48" s="116"/>
      <c r="J48" s="116"/>
      <c r="K48" s="237"/>
      <c r="L48" s="237"/>
      <c r="M48" s="237"/>
      <c r="N48" s="88">
        <f t="shared" si="16"/>
        <v>0</v>
      </c>
      <c r="O48" s="89" t="e">
        <f t="shared" si="17"/>
        <v>#DIV/0!</v>
      </c>
      <c r="P48" s="88">
        <f t="shared" si="4"/>
        <v>0</v>
      </c>
      <c r="Q48" s="88">
        <f t="shared" si="18"/>
        <v>0</v>
      </c>
      <c r="R48" s="89" t="e">
        <f t="shared" si="19"/>
        <v>#DIV/0!</v>
      </c>
      <c r="S48" s="144">
        <f t="shared" si="20"/>
        <v>0</v>
      </c>
      <c r="T48" s="144">
        <f t="shared" si="21"/>
        <v>0</v>
      </c>
      <c r="U48" s="144">
        <f>SUMIF(Agosto!$E$3:$E$89,B48,Agosto!$H$3:$H$89)</f>
        <v>0</v>
      </c>
      <c r="V48" s="144">
        <f t="shared" si="22"/>
        <v>0</v>
      </c>
    </row>
    <row r="49" spans="2:22" ht="15" x14ac:dyDescent="0.25">
      <c r="B49" s="116"/>
      <c r="C49" s="116"/>
      <c r="D49" s="116"/>
      <c r="E49" s="288"/>
      <c r="F49" s="288"/>
      <c r="G49" s="289"/>
      <c r="H49" s="116"/>
      <c r="I49" s="116"/>
      <c r="J49" s="116"/>
      <c r="K49" s="237"/>
      <c r="L49" s="237"/>
      <c r="M49" s="237"/>
      <c r="N49" s="88">
        <f t="shared" si="16"/>
        <v>0</v>
      </c>
      <c r="O49" s="89" t="e">
        <f t="shared" si="17"/>
        <v>#DIV/0!</v>
      </c>
      <c r="P49" s="88">
        <f t="shared" si="4"/>
        <v>0</v>
      </c>
      <c r="Q49" s="88">
        <f t="shared" si="18"/>
        <v>0</v>
      </c>
      <c r="R49" s="89" t="e">
        <f t="shared" si="19"/>
        <v>#DIV/0!</v>
      </c>
      <c r="S49" s="144">
        <f t="shared" si="20"/>
        <v>0</v>
      </c>
      <c r="T49" s="144">
        <f t="shared" si="21"/>
        <v>0</v>
      </c>
      <c r="U49" s="144">
        <f>SUMIF(Agosto!$E$3:$E$89,B49,Agosto!$H$3:$H$89)</f>
        <v>0</v>
      </c>
      <c r="V49" s="144">
        <f t="shared" si="22"/>
        <v>0</v>
      </c>
    </row>
    <row r="50" spans="2:22" ht="15" x14ac:dyDescent="0.25">
      <c r="B50" s="116"/>
      <c r="C50" s="116"/>
      <c r="D50" s="116"/>
      <c r="E50" s="288"/>
      <c r="F50" s="288"/>
      <c r="G50" s="289"/>
      <c r="H50" s="116"/>
      <c r="I50" s="116"/>
      <c r="J50" s="116"/>
      <c r="K50" s="237"/>
      <c r="L50" s="237"/>
      <c r="M50" s="237"/>
      <c r="N50" s="88">
        <f t="shared" si="16"/>
        <v>0</v>
      </c>
      <c r="O50" s="89" t="e">
        <f t="shared" si="17"/>
        <v>#DIV/0!</v>
      </c>
      <c r="P50" s="88">
        <f t="shared" si="4"/>
        <v>0</v>
      </c>
      <c r="Q50" s="88">
        <f t="shared" si="18"/>
        <v>0</v>
      </c>
      <c r="R50" s="89" t="e">
        <f t="shared" si="19"/>
        <v>#DIV/0!</v>
      </c>
      <c r="S50" s="144">
        <f t="shared" si="20"/>
        <v>0</v>
      </c>
      <c r="T50" s="144">
        <f t="shared" si="21"/>
        <v>0</v>
      </c>
      <c r="U50" s="144">
        <f>SUMIF(Agosto!$E$3:$E$89,B50,Agosto!$H$3:$H$89)</f>
        <v>0</v>
      </c>
      <c r="V50" s="144">
        <f t="shared" si="22"/>
        <v>0</v>
      </c>
    </row>
    <row r="51" spans="2:22" ht="15" x14ac:dyDescent="0.25">
      <c r="B51" s="116"/>
      <c r="C51" s="116"/>
      <c r="D51" s="116"/>
      <c r="E51" s="116"/>
      <c r="F51" s="116"/>
      <c r="G51" s="116"/>
      <c r="H51" s="116"/>
      <c r="I51" s="116"/>
      <c r="J51" s="116"/>
      <c r="K51" s="237"/>
      <c r="L51" s="237"/>
      <c r="M51" s="237"/>
      <c r="O51" s="89"/>
      <c r="R51" s="89"/>
    </row>
    <row r="52" spans="2:22" ht="15" x14ac:dyDescent="0.25">
      <c r="B52" s="116"/>
      <c r="C52" s="116"/>
      <c r="D52" s="116"/>
      <c r="E52" s="116"/>
      <c r="F52" s="116"/>
      <c r="G52" s="116"/>
      <c r="H52" s="116"/>
      <c r="I52" s="116"/>
      <c r="J52" s="116"/>
      <c r="K52" s="237"/>
      <c r="L52" s="237"/>
      <c r="M52" s="237"/>
      <c r="O52" s="89"/>
      <c r="R52" s="89"/>
    </row>
    <row r="53" spans="2:22" ht="15" x14ac:dyDescent="0.25">
      <c r="B53" s="116"/>
      <c r="C53" s="116"/>
      <c r="D53" s="116"/>
      <c r="E53" s="116"/>
      <c r="F53" s="116"/>
      <c r="G53" s="116"/>
      <c r="H53" s="116"/>
      <c r="I53" s="116"/>
      <c r="J53" s="116"/>
      <c r="K53" s="237"/>
      <c r="L53" s="237"/>
      <c r="M53" s="237"/>
      <c r="O53" s="89"/>
      <c r="R53" s="89"/>
    </row>
    <row r="54" spans="2:22" ht="15" x14ac:dyDescent="0.25">
      <c r="B54" s="116"/>
      <c r="C54" s="116"/>
      <c r="D54" s="116"/>
      <c r="E54" s="116"/>
      <c r="F54" s="116"/>
      <c r="G54" s="116"/>
      <c r="H54" s="116"/>
      <c r="I54" s="116"/>
      <c r="J54" s="116"/>
      <c r="K54" s="237"/>
      <c r="L54" s="237"/>
      <c r="M54" s="237"/>
      <c r="O54" s="89"/>
      <c r="R54" s="89"/>
    </row>
    <row r="55" spans="2:22" ht="15" x14ac:dyDescent="0.25">
      <c r="B55" s="116"/>
      <c r="C55" s="116"/>
      <c r="D55" s="116"/>
      <c r="E55" s="116"/>
      <c r="F55" s="116"/>
      <c r="G55" s="116"/>
      <c r="H55" s="116"/>
      <c r="I55" s="116"/>
      <c r="J55" s="116"/>
      <c r="K55" s="237"/>
      <c r="L55" s="237"/>
      <c r="M55" s="237"/>
      <c r="O55" s="89"/>
      <c r="R55" s="89"/>
    </row>
    <row r="56" spans="2:22" ht="15" x14ac:dyDescent="0.25">
      <c r="B56" s="116"/>
      <c r="C56" s="116"/>
      <c r="D56" s="116"/>
      <c r="E56" s="116"/>
      <c r="F56" s="116"/>
      <c r="G56" s="116"/>
      <c r="H56" s="116"/>
      <c r="I56" s="116"/>
      <c r="J56" s="116"/>
      <c r="K56" s="237"/>
      <c r="L56" s="237"/>
      <c r="M56" s="237"/>
      <c r="O56" s="89"/>
      <c r="R56" s="89"/>
    </row>
    <row r="57" spans="2:22" ht="15" x14ac:dyDescent="0.25">
      <c r="B57" s="116"/>
      <c r="C57" s="116"/>
      <c r="D57" s="116"/>
      <c r="E57" s="116"/>
      <c r="F57" s="116"/>
      <c r="G57" s="116"/>
      <c r="H57" s="116"/>
      <c r="I57" s="116"/>
      <c r="J57" s="116"/>
      <c r="K57" s="237"/>
      <c r="L57" s="237"/>
      <c r="M57" s="237"/>
      <c r="O57" s="89"/>
      <c r="R57" s="89"/>
    </row>
    <row r="58" spans="2:22" ht="15" x14ac:dyDescent="0.25">
      <c r="B58" s="116"/>
      <c r="C58" s="116"/>
      <c r="D58" s="116"/>
      <c r="E58" s="116"/>
      <c r="F58" s="116"/>
      <c r="G58" s="116"/>
      <c r="H58" s="116"/>
      <c r="I58" s="116"/>
      <c r="J58" s="116"/>
      <c r="K58" s="237"/>
      <c r="L58" s="237"/>
      <c r="M58" s="237"/>
      <c r="O58" s="89"/>
      <c r="R58" s="89"/>
    </row>
    <row r="59" spans="2:22" ht="15" x14ac:dyDescent="0.25">
      <c r="B59" s="116"/>
      <c r="C59" s="116"/>
      <c r="D59" s="116"/>
      <c r="E59" s="116"/>
      <c r="F59" s="116"/>
      <c r="G59" s="116"/>
      <c r="H59" s="116"/>
      <c r="I59" s="116"/>
      <c r="J59" s="116"/>
      <c r="K59" s="237"/>
      <c r="L59" s="237"/>
      <c r="M59" s="237"/>
      <c r="O59" s="89"/>
      <c r="R59" s="89"/>
    </row>
    <row r="60" spans="2:22" ht="15" x14ac:dyDescent="0.25">
      <c r="B60" s="116"/>
      <c r="C60" s="116"/>
      <c r="D60" s="116"/>
      <c r="E60" s="116"/>
      <c r="F60" s="116"/>
      <c r="G60" s="116"/>
      <c r="H60" s="116"/>
      <c r="I60" s="116"/>
      <c r="J60" s="116"/>
      <c r="K60" s="237"/>
      <c r="L60" s="237"/>
      <c r="M60" s="237"/>
      <c r="O60" s="89"/>
      <c r="R60" s="89"/>
    </row>
    <row r="61" spans="2:22" ht="15" x14ac:dyDescent="0.25">
      <c r="B61" s="116"/>
      <c r="C61" s="116"/>
      <c r="D61" s="116"/>
      <c r="E61" s="116"/>
      <c r="F61" s="116"/>
      <c r="G61" s="116"/>
      <c r="H61" s="116"/>
      <c r="I61" s="116"/>
      <c r="J61" s="116"/>
      <c r="K61" s="237"/>
      <c r="L61" s="237"/>
      <c r="M61" s="237"/>
      <c r="O61" s="89"/>
      <c r="R61" s="89"/>
    </row>
    <row r="62" spans="2:22" ht="15" x14ac:dyDescent="0.25">
      <c r="B62" s="116"/>
      <c r="C62" s="116"/>
      <c r="D62" s="116"/>
      <c r="E62" s="116"/>
      <c r="F62" s="116"/>
      <c r="G62" s="116"/>
      <c r="H62" s="116"/>
      <c r="I62" s="116"/>
      <c r="J62" s="116"/>
      <c r="K62" s="237"/>
      <c r="L62" s="237"/>
      <c r="M62" s="237"/>
      <c r="O62" s="89"/>
      <c r="R62" s="89"/>
    </row>
    <row r="63" spans="2:22" ht="15" x14ac:dyDescent="0.25">
      <c r="B63" s="116"/>
      <c r="C63" s="116"/>
      <c r="D63" s="116"/>
      <c r="E63" s="116"/>
      <c r="F63" s="116"/>
      <c r="G63" s="116"/>
      <c r="H63" s="116"/>
      <c r="I63" s="116"/>
      <c r="J63" s="116"/>
      <c r="K63" s="237"/>
      <c r="L63" s="237"/>
      <c r="M63" s="237"/>
      <c r="O63" s="89"/>
      <c r="R63" s="89"/>
    </row>
    <row r="64" spans="2:22" ht="15" x14ac:dyDescent="0.25">
      <c r="B64" s="116"/>
      <c r="C64" s="116"/>
      <c r="D64" s="116"/>
      <c r="E64" s="116"/>
      <c r="F64" s="116"/>
      <c r="G64" s="116"/>
      <c r="H64" s="116"/>
      <c r="I64" s="116"/>
      <c r="J64" s="116"/>
      <c r="K64" s="237"/>
      <c r="L64" s="237"/>
      <c r="M64" s="237"/>
      <c r="O64" s="89"/>
      <c r="R64" s="89"/>
    </row>
    <row r="65" spans="2:18" ht="15" x14ac:dyDescent="0.25">
      <c r="B65" s="116"/>
      <c r="C65" s="116"/>
      <c r="D65" s="116"/>
      <c r="E65" s="116"/>
      <c r="F65" s="116"/>
      <c r="G65" s="116"/>
      <c r="H65" s="116"/>
      <c r="I65" s="116"/>
      <c r="J65" s="116"/>
      <c r="K65" s="237"/>
      <c r="L65" s="237"/>
      <c r="M65" s="237"/>
      <c r="O65" s="89"/>
      <c r="R65" s="89"/>
    </row>
    <row r="66" spans="2:18" ht="15" x14ac:dyDescent="0.25">
      <c r="B66" s="116"/>
      <c r="C66" s="116"/>
      <c r="D66" s="116"/>
      <c r="E66" s="116"/>
      <c r="F66" s="116"/>
      <c r="G66" s="116"/>
      <c r="H66" s="116"/>
      <c r="I66" s="116"/>
      <c r="J66" s="116"/>
      <c r="K66" s="237"/>
      <c r="L66" s="237"/>
      <c r="M66" s="237"/>
      <c r="O66" s="89"/>
      <c r="R66" s="89"/>
    </row>
    <row r="67" spans="2:18" ht="15" x14ac:dyDescent="0.25">
      <c r="B67" s="116"/>
      <c r="C67" s="116"/>
      <c r="D67" s="116"/>
      <c r="E67" s="116"/>
      <c r="F67" s="116"/>
      <c r="G67" s="116"/>
      <c r="H67" s="116"/>
      <c r="I67" s="116"/>
      <c r="J67" s="116"/>
      <c r="K67" s="237"/>
      <c r="L67" s="237"/>
      <c r="M67" s="237"/>
      <c r="O67" s="89"/>
      <c r="R67" s="89"/>
    </row>
    <row r="68" spans="2:18" ht="15" x14ac:dyDescent="0.25">
      <c r="B68" s="116"/>
      <c r="C68" s="116"/>
      <c r="D68" s="116"/>
      <c r="E68" s="116"/>
      <c r="F68" s="116"/>
      <c r="G68" s="116"/>
      <c r="H68" s="116"/>
      <c r="I68" s="116"/>
      <c r="J68" s="116"/>
      <c r="K68" s="237"/>
      <c r="L68" s="237"/>
      <c r="M68" s="237"/>
      <c r="O68" s="89"/>
      <c r="R68" s="89"/>
    </row>
    <row r="69" spans="2:18" ht="15" x14ac:dyDescent="0.25">
      <c r="B69" s="116"/>
      <c r="C69" s="116"/>
      <c r="D69" s="116"/>
      <c r="E69" s="116"/>
      <c r="F69" s="116"/>
      <c r="G69" s="116"/>
      <c r="H69" s="116"/>
      <c r="I69" s="116"/>
      <c r="J69" s="116"/>
      <c r="K69" s="237"/>
      <c r="L69" s="237"/>
      <c r="M69" s="237"/>
      <c r="O69" s="89"/>
      <c r="R69" s="89"/>
    </row>
    <row r="70" spans="2:18" ht="15" x14ac:dyDescent="0.25">
      <c r="B70" s="116"/>
      <c r="C70" s="116"/>
      <c r="D70" s="116"/>
      <c r="E70" s="116"/>
      <c r="F70" s="116"/>
      <c r="G70" s="116"/>
      <c r="H70" s="116"/>
      <c r="I70" s="116"/>
      <c r="J70" s="116"/>
      <c r="K70" s="237"/>
      <c r="L70" s="237"/>
      <c r="M70" s="237"/>
      <c r="O70" s="89"/>
      <c r="R70" s="89"/>
    </row>
    <row r="71" spans="2:18" ht="15" x14ac:dyDescent="0.25">
      <c r="B71" s="116"/>
      <c r="C71" s="116"/>
      <c r="D71" s="116"/>
      <c r="E71" s="116"/>
      <c r="F71" s="116"/>
      <c r="G71" s="116"/>
      <c r="H71" s="116"/>
      <c r="I71" s="116"/>
      <c r="J71" s="116"/>
      <c r="K71" s="237"/>
      <c r="L71" s="237"/>
      <c r="M71" s="237"/>
      <c r="O71" s="89"/>
      <c r="R71" s="89"/>
    </row>
    <row r="72" spans="2:18" ht="15" x14ac:dyDescent="0.25">
      <c r="B72" s="116"/>
      <c r="C72" s="116"/>
      <c r="D72" s="116"/>
      <c r="E72" s="116"/>
      <c r="F72" s="116"/>
      <c r="G72" s="116"/>
      <c r="H72" s="116"/>
      <c r="I72" s="116"/>
      <c r="J72" s="116"/>
      <c r="K72" s="237"/>
      <c r="L72" s="237"/>
      <c r="M72" s="237"/>
      <c r="O72" s="89"/>
      <c r="R72" s="89"/>
    </row>
    <row r="73" spans="2:18" ht="15" x14ac:dyDescent="0.25">
      <c r="B73" s="116"/>
      <c r="C73" s="116"/>
      <c r="D73" s="116"/>
      <c r="E73" s="116"/>
      <c r="F73" s="116"/>
      <c r="G73" s="116"/>
      <c r="H73" s="116"/>
      <c r="I73" s="116"/>
      <c r="J73" s="116"/>
      <c r="K73" s="237"/>
      <c r="L73" s="237"/>
      <c r="M73" s="237"/>
      <c r="O73" s="89"/>
      <c r="R73" s="89"/>
    </row>
    <row r="74" spans="2:18" ht="15" x14ac:dyDescent="0.25">
      <c r="B74" s="116"/>
      <c r="C74" s="116"/>
      <c r="D74" s="116"/>
      <c r="E74" s="116"/>
      <c r="F74" s="116"/>
      <c r="G74" s="116"/>
      <c r="H74" s="116"/>
      <c r="I74" s="116"/>
      <c r="J74" s="116"/>
      <c r="K74" s="237"/>
      <c r="L74" s="237"/>
      <c r="M74" s="237"/>
      <c r="O74" s="89"/>
      <c r="R74" s="89"/>
    </row>
    <row r="75" spans="2:18" ht="15" x14ac:dyDescent="0.25">
      <c r="B75" s="116"/>
      <c r="C75" s="116"/>
      <c r="D75" s="116"/>
      <c r="E75" s="116"/>
      <c r="F75" s="116"/>
      <c r="G75" s="116"/>
      <c r="H75" s="116"/>
      <c r="I75" s="116"/>
      <c r="J75" s="116"/>
      <c r="K75" s="237"/>
      <c r="L75" s="237"/>
      <c r="M75" s="237"/>
      <c r="O75" s="89"/>
      <c r="R75" s="89"/>
    </row>
    <row r="76" spans="2:18" ht="15" x14ac:dyDescent="0.25">
      <c r="B76" s="116"/>
      <c r="C76" s="116"/>
      <c r="D76" s="116"/>
      <c r="E76" s="116"/>
      <c r="F76" s="116"/>
      <c r="G76" s="116"/>
      <c r="H76" s="116"/>
      <c r="I76" s="116"/>
      <c r="J76" s="116"/>
      <c r="K76" s="237"/>
      <c r="L76" s="237"/>
      <c r="M76" s="237"/>
      <c r="O76" s="89"/>
      <c r="R76" s="89"/>
    </row>
    <row r="77" spans="2:18" ht="15" x14ac:dyDescent="0.25">
      <c r="B77" s="116"/>
      <c r="C77" s="116"/>
      <c r="D77" s="116"/>
      <c r="E77" s="116"/>
      <c r="F77" s="116"/>
      <c r="G77" s="116"/>
      <c r="H77" s="116"/>
      <c r="I77" s="116"/>
      <c r="J77" s="116"/>
      <c r="K77" s="237"/>
      <c r="L77" s="237"/>
      <c r="M77" s="237"/>
      <c r="O77" s="89"/>
      <c r="R77" s="89"/>
    </row>
    <row r="78" spans="2:18" ht="15" x14ac:dyDescent="0.25">
      <c r="B78" s="116"/>
      <c r="C78" s="116"/>
      <c r="D78" s="116"/>
      <c r="E78" s="116"/>
      <c r="F78" s="116"/>
      <c r="G78" s="116"/>
      <c r="H78" s="116"/>
      <c r="I78" s="116"/>
      <c r="J78" s="116"/>
      <c r="K78" s="237"/>
      <c r="L78" s="237"/>
      <c r="M78" s="237"/>
      <c r="O78" s="89"/>
      <c r="R78" s="89"/>
    </row>
    <row r="79" spans="2:18" ht="15" x14ac:dyDescent="0.25">
      <c r="B79" s="116"/>
      <c r="C79" s="116"/>
      <c r="D79" s="116"/>
      <c r="E79" s="116"/>
      <c r="F79" s="116"/>
      <c r="G79" s="116"/>
      <c r="H79" s="116"/>
      <c r="I79" s="116"/>
      <c r="J79" s="116"/>
      <c r="K79" s="237"/>
      <c r="L79" s="237"/>
      <c r="M79" s="237"/>
      <c r="O79" s="89"/>
      <c r="R79" s="89"/>
    </row>
    <row r="80" spans="2:18" ht="15" x14ac:dyDescent="0.25">
      <c r="B80" s="116"/>
      <c r="C80" s="116"/>
      <c r="D80" s="116"/>
      <c r="E80" s="116"/>
      <c r="F80" s="116"/>
      <c r="G80" s="116"/>
      <c r="H80" s="116"/>
      <c r="I80" s="116"/>
      <c r="J80" s="116"/>
      <c r="K80" s="237"/>
      <c r="L80" s="237"/>
      <c r="M80" s="237"/>
      <c r="O80" s="89"/>
      <c r="R80" s="89"/>
    </row>
    <row r="81" spans="2:18" ht="15" x14ac:dyDescent="0.25">
      <c r="B81" s="116"/>
      <c r="C81" s="116"/>
      <c r="D81" s="116"/>
      <c r="E81" s="116"/>
      <c r="F81" s="116"/>
      <c r="G81" s="116"/>
      <c r="H81" s="116"/>
      <c r="I81" s="116"/>
      <c r="J81" s="116"/>
      <c r="K81" s="237"/>
      <c r="L81" s="237"/>
      <c r="M81" s="237"/>
      <c r="O81" s="89"/>
      <c r="R81" s="89"/>
    </row>
    <row r="82" spans="2:18" ht="15" x14ac:dyDescent="0.25">
      <c r="B82" s="116"/>
      <c r="C82" s="116"/>
      <c r="D82" s="116"/>
      <c r="E82" s="116"/>
      <c r="F82" s="116"/>
      <c r="G82" s="116"/>
      <c r="H82" s="116"/>
      <c r="I82" s="116"/>
      <c r="J82" s="116"/>
      <c r="K82" s="237"/>
      <c r="L82" s="237"/>
      <c r="M82" s="237"/>
      <c r="O82" s="89"/>
      <c r="R82" s="89"/>
    </row>
    <row r="83" spans="2:18" ht="15" x14ac:dyDescent="0.25">
      <c r="B83" s="116"/>
      <c r="C83" s="116"/>
      <c r="D83" s="116"/>
      <c r="E83" s="116"/>
      <c r="F83" s="116"/>
      <c r="G83" s="116"/>
      <c r="H83" s="116"/>
      <c r="I83" s="116"/>
      <c r="J83" s="116"/>
      <c r="K83" s="237"/>
      <c r="L83" s="237"/>
      <c r="M83" s="237"/>
      <c r="O83" s="89"/>
      <c r="R83" s="89"/>
    </row>
    <row r="84" spans="2:18" ht="15" x14ac:dyDescent="0.25">
      <c r="B84" s="116"/>
      <c r="C84" s="116"/>
      <c r="D84" s="116"/>
      <c r="E84" s="116"/>
      <c r="F84" s="116"/>
      <c r="G84" s="116"/>
      <c r="H84" s="116"/>
      <c r="I84" s="116"/>
      <c r="J84" s="116"/>
      <c r="K84" s="237"/>
      <c r="L84" s="237"/>
      <c r="M84" s="237"/>
      <c r="O84" s="89"/>
      <c r="R84" s="89"/>
    </row>
    <row r="85" spans="2:18" ht="15" x14ac:dyDescent="0.25">
      <c r="B85" s="4"/>
      <c r="C85" s="4"/>
      <c r="D85" s="4"/>
      <c r="E85" s="4"/>
      <c r="F85" s="4"/>
      <c r="G85" s="4"/>
      <c r="H85" s="4"/>
      <c r="I85" s="4"/>
      <c r="J85" s="4"/>
      <c r="K85" s="157"/>
      <c r="L85" s="157"/>
      <c r="M85" s="157"/>
      <c r="O85" s="89"/>
      <c r="R85" s="89"/>
    </row>
    <row r="86" spans="2:18" ht="15" x14ac:dyDescent="0.25">
      <c r="B86" s="4"/>
      <c r="C86" s="4"/>
      <c r="D86" s="4"/>
      <c r="E86" s="4"/>
      <c r="F86" s="4"/>
      <c r="G86" s="4"/>
      <c r="H86" s="4"/>
      <c r="I86" s="4"/>
      <c r="J86" s="4"/>
      <c r="K86" s="157"/>
      <c r="L86" s="157"/>
      <c r="M86" s="157"/>
      <c r="O86" s="89"/>
      <c r="R86" s="89"/>
    </row>
    <row r="87" spans="2:18" ht="15" x14ac:dyDescent="0.25">
      <c r="B87" s="4"/>
      <c r="C87" s="4"/>
      <c r="D87" s="4"/>
      <c r="E87" s="4"/>
      <c r="F87" s="4"/>
      <c r="G87" s="4"/>
      <c r="H87" s="4"/>
      <c r="I87" s="4"/>
      <c r="J87" s="4"/>
      <c r="K87" s="157"/>
      <c r="L87" s="157"/>
      <c r="M87" s="157"/>
      <c r="O87" s="89"/>
      <c r="R87" s="89"/>
    </row>
    <row r="88" spans="2:18" ht="15" x14ac:dyDescent="0.25">
      <c r="B88" s="4"/>
      <c r="C88" s="4"/>
      <c r="D88" s="4"/>
      <c r="E88" s="4"/>
      <c r="F88" s="4"/>
      <c r="G88" s="4"/>
      <c r="H88" s="4"/>
      <c r="I88" s="4"/>
      <c r="J88" s="4"/>
      <c r="K88" s="157"/>
      <c r="L88" s="157"/>
      <c r="M88" s="157"/>
      <c r="O88" s="89"/>
      <c r="R88" s="89"/>
    </row>
    <row r="89" spans="2:18" ht="15" x14ac:dyDescent="0.25">
      <c r="B89" s="4"/>
      <c r="C89" s="4"/>
      <c r="D89" s="4"/>
      <c r="E89" s="4"/>
      <c r="F89" s="4"/>
      <c r="G89" s="4"/>
      <c r="H89" s="4"/>
      <c r="I89" s="4"/>
      <c r="J89" s="4"/>
      <c r="K89" s="157"/>
      <c r="L89" s="157"/>
      <c r="M89" s="157"/>
      <c r="O89" s="89"/>
      <c r="R89" s="89"/>
    </row>
    <row r="90" spans="2:18" ht="15" x14ac:dyDescent="0.25">
      <c r="B90" s="4"/>
      <c r="C90" s="4"/>
      <c r="D90" s="4"/>
      <c r="E90" s="4"/>
      <c r="F90" s="4"/>
      <c r="G90" s="4"/>
      <c r="H90" s="4"/>
      <c r="I90" s="4"/>
      <c r="J90" s="4"/>
      <c r="K90" s="157"/>
      <c r="L90" s="157"/>
      <c r="M90" s="157"/>
      <c r="O90" s="89"/>
      <c r="R90" s="89"/>
    </row>
    <row r="91" spans="2:18" ht="15" x14ac:dyDescent="0.25">
      <c r="B91" s="4"/>
      <c r="C91" s="4"/>
      <c r="D91" s="4"/>
      <c r="E91" s="4"/>
      <c r="F91" s="4"/>
      <c r="G91" s="4"/>
      <c r="H91" s="4"/>
      <c r="I91" s="4"/>
      <c r="J91" s="4"/>
      <c r="K91" s="157"/>
      <c r="L91" s="157"/>
      <c r="M91" s="157"/>
      <c r="O91" s="89"/>
      <c r="R91" s="89"/>
    </row>
    <row r="92" spans="2:18" ht="15" x14ac:dyDescent="0.25">
      <c r="B92" s="4"/>
      <c r="C92" s="4"/>
      <c r="D92" s="4"/>
      <c r="E92" s="4"/>
      <c r="F92" s="4"/>
      <c r="G92" s="4"/>
      <c r="H92" s="4"/>
      <c r="I92" s="4"/>
      <c r="J92" s="4"/>
      <c r="K92" s="157"/>
      <c r="L92" s="157"/>
      <c r="M92" s="157"/>
      <c r="O92" s="89"/>
      <c r="R92" s="89"/>
    </row>
    <row r="93" spans="2:18" ht="15" x14ac:dyDescent="0.25">
      <c r="B93" s="4"/>
      <c r="C93" s="4"/>
      <c r="D93" s="4"/>
      <c r="E93" s="4"/>
      <c r="F93" s="4"/>
      <c r="G93" s="4"/>
      <c r="H93" s="4"/>
      <c r="I93" s="4"/>
      <c r="J93" s="4"/>
      <c r="K93" s="157"/>
      <c r="L93" s="157"/>
      <c r="M93" s="157"/>
      <c r="O93" s="89"/>
      <c r="R93" s="89"/>
    </row>
    <row r="94" spans="2:18" ht="15" x14ac:dyDescent="0.25">
      <c r="B94" s="4"/>
      <c r="C94" s="4"/>
      <c r="D94" s="4"/>
      <c r="E94" s="4"/>
      <c r="F94" s="4"/>
      <c r="G94" s="4"/>
      <c r="H94" s="4"/>
      <c r="I94" s="4"/>
      <c r="J94" s="4"/>
      <c r="K94" s="157"/>
      <c r="L94" s="157"/>
      <c r="M94" s="157"/>
      <c r="O94" s="89"/>
      <c r="R94" s="89"/>
    </row>
    <row r="95" spans="2:18" ht="15" x14ac:dyDescent="0.25">
      <c r="B95" s="4"/>
      <c r="C95" s="4"/>
      <c r="D95" s="4"/>
      <c r="E95" s="4"/>
      <c r="F95" s="4"/>
      <c r="G95" s="4"/>
      <c r="H95" s="4"/>
      <c r="I95" s="4"/>
      <c r="J95" s="4"/>
      <c r="K95" s="157"/>
      <c r="L95" s="157"/>
      <c r="M95" s="157"/>
      <c r="O95" s="89"/>
      <c r="R95" s="89"/>
    </row>
    <row r="96" spans="2:18" ht="15" x14ac:dyDescent="0.25">
      <c r="B96" s="4"/>
      <c r="C96" s="4"/>
      <c r="D96" s="4"/>
      <c r="E96" s="4"/>
      <c r="F96" s="4"/>
      <c r="G96" s="4"/>
      <c r="H96" s="4"/>
      <c r="I96" s="4"/>
      <c r="J96" s="4"/>
      <c r="K96" s="157"/>
      <c r="L96" s="157"/>
      <c r="M96" s="157"/>
      <c r="O96" s="89"/>
      <c r="R96" s="89"/>
    </row>
    <row r="97" spans="2:21" ht="15" x14ac:dyDescent="0.25">
      <c r="B97" s="4"/>
      <c r="C97" s="4"/>
      <c r="D97" s="4"/>
      <c r="E97" s="4"/>
      <c r="F97" s="4"/>
      <c r="G97" s="4"/>
      <c r="H97" s="4"/>
      <c r="I97" s="4"/>
      <c r="J97" s="4"/>
      <c r="K97" s="157"/>
      <c r="L97" s="157"/>
      <c r="M97" s="157"/>
      <c r="O97" s="89"/>
      <c r="R97" s="89"/>
    </row>
    <row r="98" spans="2:21" ht="15" x14ac:dyDescent="0.25">
      <c r="B98" s="4"/>
      <c r="C98" s="4"/>
      <c r="D98" s="4"/>
      <c r="E98" s="4"/>
      <c r="F98" s="4"/>
      <c r="G98" s="4"/>
      <c r="H98" s="4"/>
      <c r="I98" s="4"/>
      <c r="J98" s="4"/>
      <c r="K98" s="157"/>
      <c r="L98" s="157"/>
      <c r="M98" s="157"/>
      <c r="O98" s="89"/>
      <c r="R98" s="89"/>
    </row>
    <row r="99" spans="2:21" ht="15" x14ac:dyDescent="0.25">
      <c r="B99" s="4"/>
      <c r="C99" s="4"/>
      <c r="D99" s="4"/>
      <c r="E99" s="4"/>
      <c r="F99" s="4"/>
      <c r="G99" s="4"/>
      <c r="H99" s="4"/>
      <c r="I99" s="4"/>
      <c r="J99" s="4"/>
      <c r="K99" s="157"/>
      <c r="L99" s="157"/>
      <c r="M99" s="157"/>
      <c r="O99" s="89"/>
      <c r="R99" s="89"/>
    </row>
    <row r="100" spans="2:21" ht="15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157"/>
      <c r="L100" s="157"/>
      <c r="M100" s="157"/>
      <c r="O100" s="89"/>
      <c r="R100" s="89"/>
    </row>
    <row r="101" spans="2:21" x14ac:dyDescent="0.25">
      <c r="B101" s="96"/>
      <c r="C101" s="97"/>
      <c r="D101" s="97"/>
      <c r="E101" s="96"/>
      <c r="F101" s="96"/>
      <c r="G101" s="96"/>
      <c r="H101" s="96"/>
      <c r="I101" s="96"/>
      <c r="J101" s="96"/>
      <c r="K101" s="98">
        <f>SUM(K2:K100)</f>
        <v>37889.5</v>
      </c>
      <c r="L101" s="98"/>
      <c r="M101" s="98"/>
      <c r="N101" s="96"/>
      <c r="O101" s="96"/>
      <c r="P101" s="96"/>
      <c r="Q101" s="96">
        <f>SUM(Q2:Q100)</f>
        <v>196</v>
      </c>
      <c r="R101" s="124" t="e">
        <f>SUM(R2:R100)</f>
        <v>#DIV/0!</v>
      </c>
      <c r="S101" s="144">
        <f>SUM(S2:S100)</f>
        <v>194</v>
      </c>
      <c r="U101" s="144">
        <f>SUM(U2:U100)</f>
        <v>182</v>
      </c>
    </row>
    <row r="102" spans="2:21" x14ac:dyDescent="0.25">
      <c r="R102" s="89" t="e">
        <f>R101/Q101</f>
        <v>#DIV/0!</v>
      </c>
    </row>
    <row r="104" spans="2:21" ht="15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157"/>
      <c r="L104" s="157"/>
      <c r="M104" s="157"/>
      <c r="O104" s="89"/>
      <c r="R104" s="89"/>
    </row>
    <row r="105" spans="2:21" ht="15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157"/>
      <c r="L105" s="157"/>
      <c r="M105" s="157"/>
      <c r="O105" s="89"/>
      <c r="R105" s="89"/>
    </row>
    <row r="106" spans="2:21" ht="15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157"/>
      <c r="L106" s="157"/>
      <c r="M106" s="157"/>
      <c r="O106" s="89"/>
      <c r="R106" s="89"/>
    </row>
  </sheetData>
  <autoFilter ref="D1:M44"/>
  <sortState ref="B2:S48">
    <sortCondition ref="E2:E48"/>
    <sortCondition ref="F2:F48"/>
    <sortCondition ref="N2:N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44"/>
  <sheetViews>
    <sheetView workbookViewId="0"/>
  </sheetViews>
  <sheetFormatPr baseColWidth="10" defaultRowHeight="15" x14ac:dyDescent="0.25"/>
  <cols>
    <col min="2" max="2" width="16.7109375" customWidth="1"/>
    <col min="5" max="5" width="19.7109375" customWidth="1"/>
    <col min="6" max="7" width="16.28515625" customWidth="1"/>
    <col min="8" max="8" width="41.140625" customWidth="1"/>
    <col min="10" max="10" width="15.85546875" customWidth="1"/>
    <col min="11" max="11" width="9" customWidth="1"/>
    <col min="12" max="12" width="16.85546875" customWidth="1"/>
    <col min="13" max="13" width="23.140625" style="1" customWidth="1"/>
    <col min="14" max="14" width="11.7109375" style="1" bestFit="1" customWidth="1"/>
    <col min="15" max="15" width="15.28515625" style="1" bestFit="1" customWidth="1"/>
    <col min="16" max="16" width="13.28515625" style="1" customWidth="1"/>
    <col min="17" max="17" width="15.28515625" style="1" bestFit="1" customWidth="1"/>
    <col min="18" max="18" width="14.7109375" customWidth="1"/>
    <col min="19" max="19" width="41.140625" hidden="1" customWidth="1"/>
    <col min="20" max="26" width="11.28515625" hidden="1" customWidth="1"/>
    <col min="27" max="27" width="24.7109375" bestFit="1" customWidth="1"/>
    <col min="28" max="28" width="18.7109375" customWidth="1"/>
  </cols>
  <sheetData>
    <row r="1" spans="1:28" x14ac:dyDescent="0.25">
      <c r="A1" t="s">
        <v>27</v>
      </c>
      <c r="B1" t="s">
        <v>28</v>
      </c>
      <c r="C1" t="s">
        <v>25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80</v>
      </c>
      <c r="L1" t="s">
        <v>61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t="s">
        <v>41</v>
      </c>
      <c r="S1" t="s">
        <v>42</v>
      </c>
      <c r="AB1" s="6"/>
    </row>
    <row r="2" spans="1:28" x14ac:dyDescent="0.25">
      <c r="A2" s="238">
        <v>1845417</v>
      </c>
      <c r="B2" s="239">
        <v>42971</v>
      </c>
      <c r="C2" s="238" t="s">
        <v>286</v>
      </c>
      <c r="D2" s="238" t="s">
        <v>726</v>
      </c>
      <c r="E2" s="238" t="s">
        <v>727</v>
      </c>
      <c r="F2" s="239">
        <v>42972</v>
      </c>
      <c r="G2" s="239">
        <v>42973</v>
      </c>
      <c r="H2" s="238" t="s">
        <v>411</v>
      </c>
      <c r="I2" s="238">
        <v>1</v>
      </c>
      <c r="J2" s="238">
        <v>2</v>
      </c>
      <c r="K2" s="238">
        <v>1</v>
      </c>
      <c r="L2" s="179">
        <f t="shared" ref="L2:L26" si="0">I2*K2</f>
        <v>1</v>
      </c>
      <c r="M2" s="240">
        <v>185.25</v>
      </c>
      <c r="N2" s="238">
        <v>0</v>
      </c>
      <c r="O2" s="240">
        <v>185.25</v>
      </c>
      <c r="P2" s="240">
        <v>0</v>
      </c>
      <c r="Q2" s="240">
        <v>185.25</v>
      </c>
      <c r="R2" s="238"/>
      <c r="S2" s="238" t="s">
        <v>314</v>
      </c>
      <c r="T2" s="238" t="s">
        <v>288</v>
      </c>
      <c r="U2" s="238">
        <v>957935495</v>
      </c>
      <c r="V2" s="238" t="s">
        <v>289</v>
      </c>
      <c r="W2" s="238"/>
      <c r="X2" s="238" t="s">
        <v>290</v>
      </c>
      <c r="Y2" s="238" t="s">
        <v>290</v>
      </c>
      <c r="Z2" s="238"/>
      <c r="AA2" s="238"/>
      <c r="AB2" s="6">
        <f>SUMIF(Agosto!$E$4:$E$89,Buuteeq!A2,Agosto!$H$4:$H$89)</f>
        <v>1</v>
      </c>
    </row>
    <row r="3" spans="1:28" x14ac:dyDescent="0.25">
      <c r="A3" s="238">
        <v>1771570</v>
      </c>
      <c r="B3" s="239">
        <v>42931</v>
      </c>
      <c r="C3" s="238" t="s">
        <v>286</v>
      </c>
      <c r="D3" s="238" t="s">
        <v>728</v>
      </c>
      <c r="E3" s="238" t="s">
        <v>729</v>
      </c>
      <c r="F3" s="239">
        <v>42959</v>
      </c>
      <c r="G3" s="239">
        <v>42962</v>
      </c>
      <c r="H3" s="238" t="s">
        <v>361</v>
      </c>
      <c r="I3" s="238">
        <v>3</v>
      </c>
      <c r="J3" s="238">
        <v>2</v>
      </c>
      <c r="K3" s="238">
        <v>1</v>
      </c>
      <c r="L3" s="179">
        <f t="shared" si="0"/>
        <v>3</v>
      </c>
      <c r="M3" s="240">
        <v>627</v>
      </c>
      <c r="N3" s="238">
        <v>0</v>
      </c>
      <c r="O3" s="240">
        <v>627</v>
      </c>
      <c r="P3" s="240">
        <v>0</v>
      </c>
      <c r="Q3" s="240">
        <v>627</v>
      </c>
      <c r="R3" s="238"/>
      <c r="S3" s="238" t="s">
        <v>315</v>
      </c>
      <c r="T3" s="238" t="s">
        <v>291</v>
      </c>
      <c r="U3" s="238" t="s">
        <v>292</v>
      </c>
      <c r="V3" s="238" t="s">
        <v>293</v>
      </c>
      <c r="W3" s="238"/>
      <c r="X3" s="238" t="s">
        <v>294</v>
      </c>
      <c r="Y3" s="238" t="s">
        <v>295</v>
      </c>
      <c r="Z3" s="238"/>
      <c r="AA3" s="238"/>
      <c r="AB3" s="6">
        <f>SUMIF(Agosto!$E$4:$E$89,Buuteeq!A3,Agosto!$H$4:$H$89)</f>
        <v>3</v>
      </c>
    </row>
    <row r="4" spans="1:28" s="162" customFormat="1" x14ac:dyDescent="0.25">
      <c r="A4" s="238">
        <v>1762638</v>
      </c>
      <c r="B4" s="239">
        <v>42926</v>
      </c>
      <c r="C4" s="238" t="s">
        <v>286</v>
      </c>
      <c r="D4" s="238" t="s">
        <v>730</v>
      </c>
      <c r="E4" s="238" t="s">
        <v>731</v>
      </c>
      <c r="F4" s="239">
        <v>42959</v>
      </c>
      <c r="G4" s="239">
        <v>42965</v>
      </c>
      <c r="H4" s="238" t="s">
        <v>361</v>
      </c>
      <c r="I4" s="238">
        <v>6</v>
      </c>
      <c r="J4" s="238">
        <v>2</v>
      </c>
      <c r="K4" s="238">
        <v>1</v>
      </c>
      <c r="L4" s="179">
        <f t="shared" si="0"/>
        <v>6</v>
      </c>
      <c r="M4" s="240">
        <v>1182.75</v>
      </c>
      <c r="N4" s="238">
        <v>0</v>
      </c>
      <c r="O4" s="240">
        <v>1182.75</v>
      </c>
      <c r="P4" s="240">
        <v>0</v>
      </c>
      <c r="Q4" s="240">
        <v>1182.75</v>
      </c>
      <c r="R4" s="238"/>
      <c r="S4" s="238" t="s">
        <v>316</v>
      </c>
      <c r="T4" s="238" t="s">
        <v>296</v>
      </c>
      <c r="U4" s="238">
        <v>554192144848</v>
      </c>
      <c r="V4" s="238" t="s">
        <v>297</v>
      </c>
      <c r="W4" s="238"/>
      <c r="X4" s="238" t="s">
        <v>298</v>
      </c>
      <c r="Y4" s="238" t="s">
        <v>299</v>
      </c>
      <c r="Z4" s="238">
        <v>80030000</v>
      </c>
      <c r="AA4" s="238"/>
      <c r="AB4" s="6">
        <f>SUMIF(Agosto!$E$4:$E$89,Buuteeq!A4,Agosto!$H$4:$H$89)</f>
        <v>6</v>
      </c>
    </row>
    <row r="5" spans="1:28" s="162" customFormat="1" x14ac:dyDescent="0.25">
      <c r="A5" s="238">
        <v>1729276</v>
      </c>
      <c r="B5" s="239">
        <v>42908</v>
      </c>
      <c r="C5" s="238" t="s">
        <v>286</v>
      </c>
      <c r="D5" s="238" t="s">
        <v>732</v>
      </c>
      <c r="E5" s="238" t="s">
        <v>733</v>
      </c>
      <c r="F5" s="239">
        <v>42967</v>
      </c>
      <c r="G5" s="239">
        <v>42968</v>
      </c>
      <c r="H5" s="238" t="s">
        <v>734</v>
      </c>
      <c r="I5" s="238">
        <v>1</v>
      </c>
      <c r="J5" s="238">
        <v>4</v>
      </c>
      <c r="K5" s="238">
        <v>2</v>
      </c>
      <c r="L5" s="179">
        <f t="shared" si="0"/>
        <v>2</v>
      </c>
      <c r="M5" s="240">
        <v>370.5</v>
      </c>
      <c r="N5" s="238">
        <v>0</v>
      </c>
      <c r="O5" s="240">
        <v>370.5</v>
      </c>
      <c r="P5" s="240">
        <v>0</v>
      </c>
      <c r="Q5" s="240">
        <v>370.5</v>
      </c>
      <c r="R5" s="238"/>
      <c r="S5" s="238" t="s">
        <v>317</v>
      </c>
      <c r="T5" s="238" t="s">
        <v>288</v>
      </c>
      <c r="U5" s="238">
        <v>5511986872972</v>
      </c>
      <c r="V5" s="238" t="s">
        <v>300</v>
      </c>
      <c r="W5" s="238"/>
      <c r="X5" s="238" t="s">
        <v>301</v>
      </c>
      <c r="Y5" s="238" t="s">
        <v>301</v>
      </c>
      <c r="Z5" s="238"/>
      <c r="AA5" s="238"/>
      <c r="AB5" s="6">
        <f>SUMIF(Agosto!$E$4:$E$89,Buuteeq!A5,Agosto!$H$4:$H$89)</f>
        <v>0</v>
      </c>
    </row>
    <row r="6" spans="1:28" s="235" customFormat="1" x14ac:dyDescent="0.25">
      <c r="A6" s="238">
        <v>1678665</v>
      </c>
      <c r="B6" s="239">
        <v>42879</v>
      </c>
      <c r="C6" s="238" t="s">
        <v>286</v>
      </c>
      <c r="D6" s="238" t="s">
        <v>735</v>
      </c>
      <c r="E6" s="238" t="s">
        <v>736</v>
      </c>
      <c r="F6" s="239">
        <v>42957</v>
      </c>
      <c r="G6" s="239">
        <v>42963</v>
      </c>
      <c r="H6" s="238" t="s">
        <v>734</v>
      </c>
      <c r="I6" s="238">
        <v>6</v>
      </c>
      <c r="J6" s="238">
        <v>4</v>
      </c>
      <c r="K6" s="238">
        <v>2</v>
      </c>
      <c r="L6" s="179">
        <f t="shared" si="0"/>
        <v>12</v>
      </c>
      <c r="M6" s="240">
        <v>2413</v>
      </c>
      <c r="N6" s="238">
        <v>0</v>
      </c>
      <c r="O6" s="240">
        <v>2413</v>
      </c>
      <c r="P6" s="240">
        <v>0</v>
      </c>
      <c r="Q6" s="240">
        <v>2413</v>
      </c>
      <c r="R6" s="238"/>
      <c r="S6" s="238" t="s">
        <v>318</v>
      </c>
      <c r="T6" s="238" t="s">
        <v>302</v>
      </c>
      <c r="U6" s="238">
        <v>5511992506512</v>
      </c>
      <c r="V6" s="238" t="s">
        <v>303</v>
      </c>
      <c r="W6" s="238" t="s">
        <v>304</v>
      </c>
      <c r="X6" s="238" t="s">
        <v>305</v>
      </c>
      <c r="Y6" s="238" t="s">
        <v>306</v>
      </c>
      <c r="Z6" s="238">
        <v>5734140</v>
      </c>
      <c r="AA6" s="238"/>
      <c r="AB6" s="6">
        <f>SUMIF(Agosto!$E$4:$E$89,Buuteeq!A6,Agosto!$H$4:$H$89)</f>
        <v>12</v>
      </c>
    </row>
    <row r="7" spans="1:28" s="188" customFormat="1" x14ac:dyDescent="0.25">
      <c r="A7" s="238">
        <v>1664014</v>
      </c>
      <c r="B7" s="239">
        <v>42870</v>
      </c>
      <c r="C7" s="238" t="s">
        <v>286</v>
      </c>
      <c r="D7" s="238" t="s">
        <v>737</v>
      </c>
      <c r="E7" s="238" t="s">
        <v>738</v>
      </c>
      <c r="F7" s="239">
        <v>42953</v>
      </c>
      <c r="G7" s="239">
        <v>42958</v>
      </c>
      <c r="H7" s="238" t="s">
        <v>361</v>
      </c>
      <c r="I7" s="238">
        <v>5</v>
      </c>
      <c r="J7" s="238">
        <v>2</v>
      </c>
      <c r="K7" s="238">
        <v>1</v>
      </c>
      <c r="L7" s="179">
        <f t="shared" si="0"/>
        <v>5</v>
      </c>
      <c r="M7" s="240">
        <v>926.25</v>
      </c>
      <c r="N7" s="238">
        <v>0</v>
      </c>
      <c r="O7" s="240">
        <v>926.25</v>
      </c>
      <c r="P7" s="240">
        <v>0</v>
      </c>
      <c r="Q7" s="240">
        <v>926.25</v>
      </c>
      <c r="R7" s="238"/>
      <c r="S7" s="238" t="s">
        <v>319</v>
      </c>
      <c r="T7" s="238" t="s">
        <v>307</v>
      </c>
      <c r="U7" s="238">
        <v>5531999012828</v>
      </c>
      <c r="V7" s="238" t="s">
        <v>308</v>
      </c>
      <c r="W7" s="238"/>
      <c r="X7" s="238" t="s">
        <v>309</v>
      </c>
      <c r="Y7" s="238" t="s">
        <v>310</v>
      </c>
      <c r="Z7" s="238" t="s">
        <v>311</v>
      </c>
      <c r="AA7" s="238"/>
      <c r="AB7" s="6">
        <f>SUMIF(Agosto!$E$4:$E$89,Buuteeq!A7,Agosto!$H$4:$H$89)</f>
        <v>5</v>
      </c>
    </row>
    <row r="8" spans="1:28" s="188" customFormat="1" x14ac:dyDescent="0.25">
      <c r="A8" s="238"/>
      <c r="B8" s="239"/>
      <c r="C8" s="238"/>
      <c r="D8" s="238"/>
      <c r="E8" s="238"/>
      <c r="F8" s="239"/>
      <c r="G8" s="239"/>
      <c r="H8" s="238"/>
      <c r="I8" s="238"/>
      <c r="J8" s="238"/>
      <c r="K8" s="238"/>
      <c r="L8" s="179">
        <f t="shared" si="0"/>
        <v>0</v>
      </c>
      <c r="M8" s="240"/>
      <c r="N8" s="238"/>
      <c r="O8" s="240"/>
      <c r="P8" s="240"/>
      <c r="Q8" s="240"/>
      <c r="R8" s="238"/>
      <c r="S8" s="238" t="s">
        <v>320</v>
      </c>
      <c r="T8" s="238"/>
      <c r="U8" s="238"/>
      <c r="V8" s="238"/>
      <c r="W8" s="238"/>
      <c r="X8" s="238"/>
      <c r="Y8" s="238"/>
      <c r="Z8" s="238"/>
      <c r="AA8" s="238"/>
      <c r="AB8" s="6">
        <f>SUMIF(Agosto!$E$4:$E$89,Buuteeq!A8,Agosto!$H$4:$H$89)</f>
        <v>0</v>
      </c>
    </row>
    <row r="9" spans="1:28" s="188" customFormat="1" x14ac:dyDescent="0.25">
      <c r="A9" s="238"/>
      <c r="B9" s="239"/>
      <c r="C9" s="238"/>
      <c r="D9" s="238"/>
      <c r="E9" s="238"/>
      <c r="F9" s="239"/>
      <c r="G9" s="239"/>
      <c r="H9" s="238"/>
      <c r="I9" s="238"/>
      <c r="J9" s="238"/>
      <c r="K9" s="238"/>
      <c r="L9" s="179">
        <f t="shared" si="0"/>
        <v>0</v>
      </c>
      <c r="M9" s="240"/>
      <c r="N9" s="238"/>
      <c r="O9" s="240"/>
      <c r="P9" s="240"/>
      <c r="Q9" s="240"/>
      <c r="R9" s="238"/>
      <c r="S9" s="238" t="s">
        <v>321</v>
      </c>
      <c r="T9" s="238"/>
      <c r="U9" s="238"/>
      <c r="V9" s="238"/>
      <c r="W9" s="238"/>
      <c r="X9" s="238"/>
      <c r="Y9" s="238"/>
      <c r="Z9" s="238"/>
      <c r="AA9" s="238"/>
      <c r="AB9" s="6">
        <f>SUMIF(Agosto!$E$4:$E$89,Buuteeq!A9,Agosto!$H$4:$H$89)</f>
        <v>0</v>
      </c>
    </row>
    <row r="10" spans="1:28" s="188" customFormat="1" x14ac:dyDescent="0.25">
      <c r="A10" s="238"/>
      <c r="B10" s="239"/>
      <c r="C10" s="238"/>
      <c r="D10" s="238"/>
      <c r="E10" s="238"/>
      <c r="F10" s="239"/>
      <c r="G10" s="239"/>
      <c r="H10" s="238"/>
      <c r="I10" s="238"/>
      <c r="J10" s="238"/>
      <c r="K10" s="238"/>
      <c r="L10" s="179">
        <f t="shared" si="0"/>
        <v>0</v>
      </c>
      <c r="M10" s="240"/>
      <c r="N10" s="238"/>
      <c r="O10" s="240"/>
      <c r="P10" s="240"/>
      <c r="Q10" s="240"/>
      <c r="R10" s="238"/>
      <c r="S10" s="238" t="s">
        <v>322</v>
      </c>
      <c r="T10" s="238"/>
      <c r="U10" s="238"/>
      <c r="V10" s="238"/>
      <c r="W10" s="238"/>
      <c r="X10" s="238"/>
      <c r="Y10" s="238"/>
      <c r="Z10" s="238"/>
      <c r="AA10" s="238"/>
      <c r="AB10" s="6">
        <f>SUMIF(Agosto!$E$4:$E$89,Buuteeq!A10,Agosto!$H$4:$H$89)</f>
        <v>0</v>
      </c>
    </row>
    <row r="11" spans="1:28" s="188" customFormat="1" x14ac:dyDescent="0.25">
      <c r="A11" s="238"/>
      <c r="B11" s="239"/>
      <c r="C11" s="238"/>
      <c r="D11" s="238"/>
      <c r="E11" s="238"/>
      <c r="F11" s="239"/>
      <c r="G11" s="239"/>
      <c r="H11" s="238"/>
      <c r="I11" s="238"/>
      <c r="J11" s="238"/>
      <c r="K11" s="238"/>
      <c r="L11" s="179">
        <f t="shared" si="0"/>
        <v>0</v>
      </c>
      <c r="M11" s="240"/>
      <c r="N11" s="238"/>
      <c r="O11" s="240"/>
      <c r="P11" s="240"/>
      <c r="Q11" s="240"/>
      <c r="R11" s="238"/>
      <c r="S11" s="238" t="s">
        <v>323</v>
      </c>
      <c r="T11" s="238"/>
      <c r="U11" s="238"/>
      <c r="V11" s="238"/>
      <c r="W11" s="238"/>
      <c r="X11" s="238"/>
      <c r="Y11" s="238"/>
      <c r="Z11" s="238"/>
      <c r="AA11" s="238"/>
      <c r="AB11" s="6">
        <f>SUMIF(Agosto!$E$4:$E$89,Buuteeq!A11,Agosto!$H$4:$H$89)</f>
        <v>0</v>
      </c>
    </row>
    <row r="12" spans="1:28" s="188" customFormat="1" x14ac:dyDescent="0.25">
      <c r="A12" s="238"/>
      <c r="B12" s="239"/>
      <c r="C12" s="238"/>
      <c r="D12" s="238"/>
      <c r="E12" s="238"/>
      <c r="F12" s="239"/>
      <c r="G12" s="239"/>
      <c r="H12" s="238"/>
      <c r="I12" s="238"/>
      <c r="J12" s="238"/>
      <c r="K12" s="238"/>
      <c r="L12" s="179">
        <f t="shared" si="0"/>
        <v>0</v>
      </c>
      <c r="M12" s="240"/>
      <c r="N12" s="238"/>
      <c r="O12" s="240"/>
      <c r="P12" s="240"/>
      <c r="Q12" s="240"/>
      <c r="R12" s="238"/>
      <c r="S12" s="238" t="s">
        <v>287</v>
      </c>
      <c r="T12" s="238"/>
      <c r="U12" s="238"/>
      <c r="V12" s="238"/>
      <c r="W12" s="238"/>
      <c r="X12" s="238"/>
      <c r="Y12" s="238"/>
      <c r="Z12" s="238"/>
      <c r="AA12" s="238"/>
      <c r="AB12" s="6">
        <f>SUMIF(Agosto!$E$4:$E$89,Buuteeq!A12,Agosto!$H$4:$H$89)</f>
        <v>0</v>
      </c>
    </row>
    <row r="13" spans="1:28" s="188" customFormat="1" x14ac:dyDescent="0.25">
      <c r="A13" s="238"/>
      <c r="B13" s="239"/>
      <c r="C13" s="238"/>
      <c r="D13" s="238"/>
      <c r="E13" s="238"/>
      <c r="F13" s="239"/>
      <c r="G13" s="239"/>
      <c r="H13" s="238"/>
      <c r="I13" s="238"/>
      <c r="J13" s="238"/>
      <c r="K13" s="238"/>
      <c r="L13" s="179">
        <f t="shared" si="0"/>
        <v>0</v>
      </c>
      <c r="M13" s="240"/>
      <c r="N13" s="238"/>
      <c r="O13" s="240"/>
      <c r="P13" s="240"/>
      <c r="Q13" s="240"/>
      <c r="R13" s="238"/>
      <c r="S13" s="238" t="s">
        <v>287</v>
      </c>
      <c r="T13" s="238"/>
      <c r="U13" s="238"/>
      <c r="V13" s="238"/>
      <c r="W13" s="238"/>
      <c r="X13" s="238"/>
      <c r="Y13" s="238"/>
      <c r="Z13" s="238"/>
      <c r="AA13" s="238"/>
      <c r="AB13" s="6">
        <f>SUMIF(Agosto!$E$4:$E$89,Buuteeq!A13,Agosto!$H$4:$H$89)</f>
        <v>0</v>
      </c>
    </row>
    <row r="14" spans="1:28" s="235" customFormat="1" x14ac:dyDescent="0.25">
      <c r="A14" s="238"/>
      <c r="B14" s="239"/>
      <c r="C14" s="238"/>
      <c r="D14" s="238"/>
      <c r="E14" s="238"/>
      <c r="F14" s="239"/>
      <c r="G14" s="239"/>
      <c r="H14" s="238"/>
      <c r="I14" s="238"/>
      <c r="J14" s="238"/>
      <c r="K14" s="238"/>
      <c r="L14" s="179">
        <f t="shared" si="0"/>
        <v>0</v>
      </c>
      <c r="M14" s="240"/>
      <c r="N14" s="238"/>
      <c r="O14" s="240"/>
      <c r="P14" s="240"/>
      <c r="Q14" s="240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6"/>
    </row>
    <row r="15" spans="1:28" s="235" customFormat="1" x14ac:dyDescent="0.25">
      <c r="A15" s="238"/>
      <c r="B15" s="239"/>
      <c r="C15" s="238"/>
      <c r="D15" s="238"/>
      <c r="E15" s="238"/>
      <c r="F15" s="239"/>
      <c r="G15" s="239"/>
      <c r="H15" s="238"/>
      <c r="I15" s="238"/>
      <c r="J15" s="238"/>
      <c r="K15" s="238"/>
      <c r="L15" s="179">
        <f t="shared" si="0"/>
        <v>0</v>
      </c>
      <c r="M15" s="240"/>
      <c r="N15" s="238"/>
      <c r="O15" s="240"/>
      <c r="P15" s="240"/>
      <c r="Q15" s="240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6"/>
    </row>
    <row r="16" spans="1:28" s="235" customFormat="1" x14ac:dyDescent="0.25">
      <c r="A16" s="238"/>
      <c r="B16" s="239"/>
      <c r="C16" s="238"/>
      <c r="D16" s="238"/>
      <c r="E16" s="238"/>
      <c r="F16" s="239"/>
      <c r="G16" s="239"/>
      <c r="H16" s="238"/>
      <c r="I16" s="238"/>
      <c r="J16" s="238"/>
      <c r="K16" s="238"/>
      <c r="L16" s="179">
        <f t="shared" si="0"/>
        <v>0</v>
      </c>
      <c r="M16" s="240"/>
      <c r="N16" s="238"/>
      <c r="O16" s="240"/>
      <c r="P16" s="240"/>
      <c r="Q16" s="240"/>
      <c r="R16" s="238"/>
      <c r="S16" s="238"/>
      <c r="T16" s="238"/>
      <c r="U16" s="238"/>
      <c r="V16" s="238"/>
      <c r="W16" s="238"/>
      <c r="X16" s="238"/>
      <c r="Y16" s="238"/>
      <c r="Z16" s="238"/>
      <c r="AA16" s="238"/>
      <c r="AB16" s="6"/>
    </row>
    <row r="17" spans="1:28" s="235" customFormat="1" x14ac:dyDescent="0.25">
      <c r="A17" s="238"/>
      <c r="B17" s="239"/>
      <c r="C17" s="238"/>
      <c r="D17" s="238"/>
      <c r="E17" s="238"/>
      <c r="F17" s="239"/>
      <c r="G17" s="239"/>
      <c r="H17" s="238"/>
      <c r="I17" s="238"/>
      <c r="J17" s="238"/>
      <c r="K17" s="238"/>
      <c r="L17" s="179">
        <f t="shared" si="0"/>
        <v>0</v>
      </c>
      <c r="M17" s="240"/>
      <c r="N17" s="238"/>
      <c r="O17" s="240"/>
      <c r="P17" s="240"/>
      <c r="Q17" s="240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6"/>
    </row>
    <row r="18" spans="1:28" s="235" customFormat="1" x14ac:dyDescent="0.25">
      <c r="A18" s="238"/>
      <c r="B18" s="239"/>
      <c r="C18" s="238"/>
      <c r="D18" s="238"/>
      <c r="E18" s="238"/>
      <c r="F18" s="239"/>
      <c r="G18" s="239"/>
      <c r="H18" s="238"/>
      <c r="I18" s="238"/>
      <c r="J18" s="238"/>
      <c r="K18" s="238"/>
      <c r="L18" s="179">
        <f t="shared" si="0"/>
        <v>0</v>
      </c>
      <c r="M18" s="240"/>
      <c r="N18" s="238"/>
      <c r="O18" s="240"/>
      <c r="P18" s="240"/>
      <c r="Q18" s="240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6"/>
    </row>
    <row r="19" spans="1:28" s="235" customFormat="1" x14ac:dyDescent="0.25">
      <c r="A19" s="238"/>
      <c r="B19" s="239"/>
      <c r="C19" s="238"/>
      <c r="D19" s="238"/>
      <c r="E19" s="238"/>
      <c r="F19" s="239"/>
      <c r="G19" s="239"/>
      <c r="H19" s="238"/>
      <c r="I19" s="238"/>
      <c r="J19" s="238"/>
      <c r="K19" s="238"/>
      <c r="L19" s="179">
        <f t="shared" si="0"/>
        <v>0</v>
      </c>
      <c r="M19" s="240"/>
      <c r="N19" s="238"/>
      <c r="O19" s="240"/>
      <c r="P19" s="240"/>
      <c r="Q19" s="240"/>
      <c r="R19" s="238"/>
      <c r="S19" s="238"/>
      <c r="T19" s="238"/>
      <c r="U19" s="238"/>
      <c r="V19" s="238"/>
      <c r="W19" s="238"/>
      <c r="X19" s="238"/>
      <c r="Y19" s="238"/>
      <c r="Z19" s="238"/>
      <c r="AA19" s="238"/>
      <c r="AB19" s="6"/>
    </row>
    <row r="20" spans="1:28" s="235" customFormat="1" x14ac:dyDescent="0.25">
      <c r="A20" s="238"/>
      <c r="B20" s="239"/>
      <c r="C20" s="238"/>
      <c r="D20" s="238"/>
      <c r="E20" s="238"/>
      <c r="F20" s="239"/>
      <c r="G20" s="239"/>
      <c r="H20" s="238"/>
      <c r="I20" s="238"/>
      <c r="J20" s="238"/>
      <c r="K20" s="238"/>
      <c r="L20" s="179">
        <f t="shared" si="0"/>
        <v>0</v>
      </c>
      <c r="M20" s="240"/>
      <c r="N20" s="238"/>
      <c r="O20" s="240"/>
      <c r="P20" s="240"/>
      <c r="Q20" s="240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6"/>
    </row>
    <row r="21" spans="1:28" s="235" customFormat="1" x14ac:dyDescent="0.25">
      <c r="A21" s="238"/>
      <c r="B21" s="239"/>
      <c r="C21" s="238"/>
      <c r="D21" s="238"/>
      <c r="E21" s="238"/>
      <c r="F21" s="239"/>
      <c r="G21" s="239"/>
      <c r="H21" s="238"/>
      <c r="I21" s="238"/>
      <c r="J21" s="238"/>
      <c r="K21" s="238"/>
      <c r="L21" s="179">
        <f t="shared" si="0"/>
        <v>0</v>
      </c>
      <c r="M21" s="240"/>
      <c r="N21" s="238"/>
      <c r="O21" s="240"/>
      <c r="P21" s="240"/>
      <c r="Q21" s="240"/>
      <c r="R21" s="238"/>
      <c r="S21" s="238"/>
      <c r="T21" s="238"/>
      <c r="U21" s="238"/>
      <c r="V21" s="238"/>
      <c r="W21" s="238"/>
      <c r="X21" s="238"/>
      <c r="Y21" s="238"/>
      <c r="Z21" s="238"/>
      <c r="AA21" s="238"/>
      <c r="AB21" s="6"/>
    </row>
    <row r="22" spans="1:28" s="235" customFormat="1" x14ac:dyDescent="0.25">
      <c r="A22" s="238"/>
      <c r="B22" s="239"/>
      <c r="C22" s="238"/>
      <c r="D22" s="238"/>
      <c r="E22" s="238"/>
      <c r="F22" s="239"/>
      <c r="G22" s="239"/>
      <c r="H22" s="238"/>
      <c r="I22" s="238"/>
      <c r="J22" s="238"/>
      <c r="K22" s="238"/>
      <c r="L22" s="179">
        <f t="shared" si="0"/>
        <v>0</v>
      </c>
      <c r="M22" s="240"/>
      <c r="N22" s="238"/>
      <c r="O22" s="240"/>
      <c r="P22" s="240"/>
      <c r="Q22" s="240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6"/>
    </row>
    <row r="23" spans="1:28" s="235" customFormat="1" x14ac:dyDescent="0.25">
      <c r="A23" s="238"/>
      <c r="B23" s="239"/>
      <c r="C23" s="238"/>
      <c r="D23" s="238"/>
      <c r="E23" s="238"/>
      <c r="F23" s="239"/>
      <c r="G23" s="239"/>
      <c r="H23" s="238"/>
      <c r="I23" s="238"/>
      <c r="J23" s="238"/>
      <c r="K23" s="238"/>
      <c r="L23" s="179">
        <f t="shared" si="0"/>
        <v>0</v>
      </c>
      <c r="M23" s="240"/>
      <c r="N23" s="238"/>
      <c r="O23" s="240"/>
      <c r="P23" s="240"/>
      <c r="Q23" s="240"/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6"/>
    </row>
    <row r="24" spans="1:28" s="235" customFormat="1" x14ac:dyDescent="0.25">
      <c r="A24" s="238"/>
      <c r="B24" s="239"/>
      <c r="C24" s="238"/>
      <c r="D24" s="238"/>
      <c r="E24" s="238"/>
      <c r="F24" s="239"/>
      <c r="G24" s="239"/>
      <c r="H24" s="238"/>
      <c r="I24" s="238"/>
      <c r="J24" s="238"/>
      <c r="K24" s="238"/>
      <c r="L24" s="179">
        <f t="shared" si="0"/>
        <v>0</v>
      </c>
      <c r="M24" s="240"/>
      <c r="N24" s="238"/>
      <c r="O24" s="240"/>
      <c r="P24" s="240"/>
      <c r="Q24" s="240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6"/>
    </row>
    <row r="25" spans="1:28" s="235" customFormat="1" x14ac:dyDescent="0.25">
      <c r="A25" s="238"/>
      <c r="B25" s="239"/>
      <c r="C25" s="238"/>
      <c r="D25" s="238"/>
      <c r="E25" s="238"/>
      <c r="F25" s="239"/>
      <c r="G25" s="239"/>
      <c r="H25" s="238"/>
      <c r="I25" s="238"/>
      <c r="J25" s="238"/>
      <c r="K25" s="238"/>
      <c r="L25" s="179">
        <f t="shared" si="0"/>
        <v>0</v>
      </c>
      <c r="M25" s="240"/>
      <c r="N25" s="238"/>
      <c r="O25" s="240"/>
      <c r="P25" s="240"/>
      <c r="Q25" s="240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6"/>
    </row>
    <row r="26" spans="1:28" s="235" customFormat="1" x14ac:dyDescent="0.25">
      <c r="A26" s="238"/>
      <c r="B26" s="239"/>
      <c r="C26" s="238"/>
      <c r="D26" s="238"/>
      <c r="E26" s="238"/>
      <c r="F26" s="239"/>
      <c r="G26" s="239"/>
      <c r="H26" s="238"/>
      <c r="I26" s="238"/>
      <c r="J26" s="238"/>
      <c r="K26" s="238"/>
      <c r="L26" s="179">
        <f t="shared" si="0"/>
        <v>0</v>
      </c>
      <c r="M26" s="240"/>
      <c r="N26" s="238"/>
      <c r="O26" s="240"/>
      <c r="P26" s="240"/>
      <c r="Q26" s="240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6"/>
    </row>
    <row r="27" spans="1:28" s="235" customFormat="1" x14ac:dyDescent="0.25">
      <c r="A27" s="238"/>
      <c r="B27" s="239"/>
      <c r="C27" s="238"/>
      <c r="D27" s="238"/>
      <c r="E27" s="238"/>
      <c r="F27" s="239"/>
      <c r="G27" s="239"/>
      <c r="H27" s="238"/>
      <c r="I27" s="238"/>
      <c r="J27" s="238"/>
      <c r="K27" s="238"/>
      <c r="L27" s="179"/>
      <c r="M27" s="240"/>
      <c r="N27" s="238"/>
      <c r="O27" s="240"/>
      <c r="P27" s="240"/>
      <c r="Q27" s="240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6"/>
    </row>
    <row r="28" spans="1:28" s="235" customFormat="1" x14ac:dyDescent="0.25">
      <c r="A28" s="238"/>
      <c r="B28" s="239"/>
      <c r="C28" s="238"/>
      <c r="D28" s="238"/>
      <c r="E28" s="238"/>
      <c r="F28" s="239"/>
      <c r="G28" s="239"/>
      <c r="H28" s="238"/>
      <c r="I28" s="238"/>
      <c r="J28" s="238"/>
      <c r="K28" s="238"/>
      <c r="L28" s="179"/>
      <c r="M28" s="240"/>
      <c r="N28" s="238"/>
      <c r="O28" s="240"/>
      <c r="P28" s="240"/>
      <c r="Q28" s="240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6"/>
    </row>
    <row r="29" spans="1:28" s="235" customFormat="1" ht="14.45" x14ac:dyDescent="0.3">
      <c r="A29" s="238"/>
      <c r="B29" s="239"/>
      <c r="C29" s="238"/>
      <c r="D29" s="238"/>
      <c r="E29" s="238"/>
      <c r="F29" s="239"/>
      <c r="G29" s="239"/>
      <c r="H29" s="238"/>
      <c r="I29" s="238"/>
      <c r="J29" s="238"/>
      <c r="K29" s="238"/>
      <c r="L29" s="179"/>
      <c r="M29" s="240"/>
      <c r="N29" s="238"/>
      <c r="O29" s="240"/>
      <c r="P29" s="240"/>
      <c r="Q29" s="240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6"/>
    </row>
    <row r="30" spans="1:28" s="235" customFormat="1" x14ac:dyDescent="0.25">
      <c r="A30" s="238"/>
      <c r="B30" s="239"/>
      <c r="C30" s="238"/>
      <c r="D30" s="238"/>
      <c r="E30" s="238"/>
      <c r="F30" s="239"/>
      <c r="G30" s="239"/>
      <c r="H30" s="238"/>
      <c r="I30" s="238"/>
      <c r="J30" s="238"/>
      <c r="K30" s="238"/>
      <c r="L30" s="179"/>
      <c r="M30" s="240"/>
      <c r="N30" s="238"/>
      <c r="O30" s="240"/>
      <c r="P30" s="240"/>
      <c r="Q30" s="240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6"/>
    </row>
    <row r="31" spans="1:28" s="235" customFormat="1" x14ac:dyDescent="0.25">
      <c r="A31" s="238"/>
      <c r="B31" s="239"/>
      <c r="C31" s="238"/>
      <c r="D31" s="238"/>
      <c r="E31" s="238"/>
      <c r="F31" s="239"/>
      <c r="G31" s="239"/>
      <c r="H31" s="238"/>
      <c r="I31" s="238"/>
      <c r="J31" s="238"/>
      <c r="K31" s="238"/>
      <c r="L31" s="179"/>
      <c r="M31" s="240"/>
      <c r="N31" s="238"/>
      <c r="O31" s="240"/>
      <c r="P31" s="240"/>
      <c r="Q31" s="240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6"/>
    </row>
    <row r="32" spans="1:28" s="188" customFormat="1" x14ac:dyDescent="0.25">
      <c r="A32" s="144"/>
      <c r="B32" s="106"/>
      <c r="C32" s="144"/>
      <c r="D32" s="144"/>
      <c r="E32" s="144"/>
      <c r="F32" s="106"/>
      <c r="G32" s="106"/>
      <c r="H32" s="144"/>
      <c r="I32" s="144"/>
      <c r="J32" s="144"/>
      <c r="K32" s="144"/>
      <c r="L32" s="179"/>
      <c r="M32" s="179"/>
      <c r="N32" s="144"/>
      <c r="O32" s="179"/>
      <c r="P32" s="179"/>
      <c r="Q32" s="179"/>
      <c r="R32" s="144"/>
      <c r="AB32" s="6">
        <f>SUMIF(Agosto!$E$4:$E$89,Buuteeq!A32,Agosto!$H$4:$H$89)</f>
        <v>0</v>
      </c>
    </row>
    <row r="33" spans="1:28" s="162" customFormat="1" x14ac:dyDescent="0.25">
      <c r="A33" s="144"/>
      <c r="B33" s="106"/>
      <c r="C33" s="144"/>
      <c r="D33" s="144"/>
      <c r="E33" s="144"/>
      <c r="F33" s="106"/>
      <c r="G33" s="106"/>
      <c r="H33" s="144"/>
      <c r="I33" s="144"/>
      <c r="J33" s="144"/>
      <c r="K33" s="144"/>
      <c r="L33" s="179"/>
      <c r="M33" s="90"/>
      <c r="N33" s="144"/>
      <c r="O33" s="90"/>
      <c r="P33" s="90"/>
      <c r="Q33" s="90"/>
      <c r="R33" s="144"/>
      <c r="AB33" s="6">
        <f>SUMIF(Agosto!$E$4:$E$89,Buuteeq!A33,Agosto!$H$4:$H$89)</f>
        <v>0</v>
      </c>
    </row>
    <row r="34" spans="1:28" s="162" customFormat="1" x14ac:dyDescent="0.25">
      <c r="A34" s="144"/>
      <c r="B34" s="106"/>
      <c r="C34" s="144"/>
      <c r="D34" s="144"/>
      <c r="E34" s="144"/>
      <c r="F34" s="106"/>
      <c r="G34" s="106"/>
      <c r="H34" s="144"/>
      <c r="I34" s="144"/>
      <c r="J34" s="144"/>
      <c r="K34" s="144"/>
      <c r="L34" s="179"/>
      <c r="M34" s="90"/>
      <c r="N34" s="144"/>
      <c r="O34" s="90"/>
      <c r="P34" s="90"/>
      <c r="Q34" s="90"/>
      <c r="R34" s="144"/>
      <c r="S34" s="162" t="s">
        <v>228</v>
      </c>
      <c r="T34" s="162" t="s">
        <v>229</v>
      </c>
      <c r="U34" s="162">
        <v>5585988067301</v>
      </c>
      <c r="V34" s="162" t="s">
        <v>230</v>
      </c>
      <c r="X34" s="162" t="s">
        <v>231</v>
      </c>
      <c r="Y34" s="162" t="s">
        <v>232</v>
      </c>
      <c r="Z34" s="162">
        <v>60110345</v>
      </c>
      <c r="AB34" s="6">
        <f>SUMIF(Agosto!$E$4:$E$89,Buuteeq!A34,Agosto!$H$4:$H$89)</f>
        <v>0</v>
      </c>
    </row>
    <row r="35" spans="1:28" x14ac:dyDescent="0.25">
      <c r="D35" s="12" t="s">
        <v>0</v>
      </c>
      <c r="E35" s="12"/>
      <c r="F35" s="12" t="s">
        <v>1</v>
      </c>
      <c r="G35" s="12" t="s">
        <v>2</v>
      </c>
      <c r="H35" s="12"/>
      <c r="I35" s="12">
        <f t="shared" ref="I35:Q35" si="1">SUM(I2:I34)</f>
        <v>22</v>
      </c>
      <c r="J35" s="12">
        <f t="shared" si="1"/>
        <v>16</v>
      </c>
      <c r="K35" s="12">
        <f t="shared" si="1"/>
        <v>8</v>
      </c>
      <c r="L35" s="12">
        <f t="shared" si="1"/>
        <v>29</v>
      </c>
      <c r="M35" s="12">
        <f t="shared" si="1"/>
        <v>5704.75</v>
      </c>
      <c r="N35" s="12">
        <f t="shared" si="1"/>
        <v>0</v>
      </c>
      <c r="O35" s="12">
        <f t="shared" si="1"/>
        <v>5704.75</v>
      </c>
      <c r="P35" s="12">
        <f t="shared" si="1"/>
        <v>0</v>
      </c>
      <c r="Q35" s="12">
        <f t="shared" si="1"/>
        <v>5704.75</v>
      </c>
      <c r="AB35">
        <f>SUM(AB2:AB34)</f>
        <v>27</v>
      </c>
    </row>
    <row r="36" spans="1:28" x14ac:dyDescent="0.25">
      <c r="F36" s="3"/>
      <c r="G36" s="3"/>
      <c r="M36"/>
      <c r="N36"/>
      <c r="O36"/>
      <c r="P36"/>
      <c r="Q36" s="5"/>
    </row>
    <row r="37" spans="1:28" x14ac:dyDescent="0.25">
      <c r="A37" s="142"/>
      <c r="B37" s="142"/>
      <c r="C37" s="142"/>
      <c r="D37" s="142"/>
      <c r="E37" s="142"/>
      <c r="F37" s="142"/>
      <c r="G37" s="3"/>
      <c r="M37"/>
      <c r="N37"/>
      <c r="O37"/>
      <c r="P37"/>
      <c r="Q37" s="5"/>
    </row>
    <row r="38" spans="1:28" x14ac:dyDescent="0.25">
      <c r="A38" s="142"/>
      <c r="B38" s="106"/>
      <c r="C38" s="144"/>
      <c r="D38" s="144"/>
      <c r="E38" s="144"/>
      <c r="F38" s="106"/>
      <c r="G38" s="106"/>
      <c r="H38" s="144"/>
      <c r="I38" s="144"/>
      <c r="J38" s="144"/>
      <c r="K38" s="144"/>
      <c r="L38" s="179"/>
      <c r="M38" s="179"/>
      <c r="N38" s="144"/>
      <c r="O38" s="179"/>
      <c r="P38" s="179"/>
      <c r="Q38" s="179"/>
    </row>
    <row r="42" spans="1:28" x14ac:dyDescent="0.25">
      <c r="F42" s="256"/>
      <c r="G42" s="256"/>
    </row>
    <row r="43" spans="1:28" x14ac:dyDescent="0.25">
      <c r="F43" s="256"/>
      <c r="G43" s="256"/>
    </row>
    <row r="44" spans="1:28" x14ac:dyDescent="0.25">
      <c r="F44" s="256"/>
      <c r="G44" s="256"/>
    </row>
  </sheetData>
  <autoFilter ref="A1:B1"/>
  <sortState ref="A2:AA24">
    <sortCondition ref="F2:F24"/>
    <sortCondition ref="G2:G24"/>
    <sortCondition ref="I2:I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24"/>
  <sheetViews>
    <sheetView workbookViewId="0"/>
  </sheetViews>
  <sheetFormatPr baseColWidth="10" defaultRowHeight="15" x14ac:dyDescent="0.25"/>
  <cols>
    <col min="1" max="1" width="20.28515625" customWidth="1"/>
    <col min="2" max="2" width="28" customWidth="1"/>
    <col min="3" max="3" width="12.7109375" customWidth="1"/>
    <col min="4" max="4" width="14.7109375" customWidth="1"/>
    <col min="5" max="5" width="40.7109375" customWidth="1"/>
    <col min="6" max="6" width="39.28515625" customWidth="1"/>
    <col min="7" max="7" width="14.85546875" customWidth="1"/>
    <col min="8" max="8" width="27.85546875" customWidth="1"/>
    <col min="9" max="9" width="14.7109375" customWidth="1"/>
    <col min="10" max="10" width="12.7109375" bestFit="1" customWidth="1"/>
  </cols>
  <sheetData>
    <row r="1" spans="1:10" x14ac:dyDescent="0.25">
      <c r="A1" s="55"/>
      <c r="B1" s="55"/>
      <c r="C1" s="55"/>
      <c r="D1" s="55"/>
      <c r="E1" s="55"/>
      <c r="F1" s="55"/>
      <c r="G1" s="55"/>
      <c r="H1" s="55"/>
      <c r="I1" s="4"/>
    </row>
    <row r="3" spans="1:10" x14ac:dyDescent="0.25">
      <c r="A3" t="s">
        <v>98</v>
      </c>
    </row>
    <row r="4" spans="1:10" x14ac:dyDescent="0.2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44</v>
      </c>
      <c r="G4" t="s">
        <v>99</v>
      </c>
      <c r="H4" t="s">
        <v>97</v>
      </c>
    </row>
    <row r="5" spans="1:10" s="162" customFormat="1" x14ac:dyDescent="0.25">
      <c r="A5" s="238">
        <v>875332487</v>
      </c>
      <c r="B5" s="238" t="s">
        <v>626</v>
      </c>
      <c r="C5" s="241">
        <v>42954</v>
      </c>
      <c r="D5" s="241">
        <v>42956</v>
      </c>
      <c r="E5" s="238" t="s">
        <v>759</v>
      </c>
      <c r="F5" s="238" t="s">
        <v>277</v>
      </c>
      <c r="G5" s="238" t="s">
        <v>760</v>
      </c>
      <c r="H5" s="238" t="s">
        <v>313</v>
      </c>
      <c r="I5" s="144">
        <f>D5-C5</f>
        <v>2</v>
      </c>
      <c r="J5" s="6">
        <f>SUMIF(Agosto!$E$4:$E$89,A5,Agosto!$H$4:$H$89)</f>
        <v>2</v>
      </c>
    </row>
    <row r="6" spans="1:10" x14ac:dyDescent="0.25">
      <c r="A6" s="238">
        <v>882836071</v>
      </c>
      <c r="B6" s="238" t="s">
        <v>761</v>
      </c>
      <c r="C6" s="241">
        <v>42957</v>
      </c>
      <c r="D6" s="241">
        <v>42961</v>
      </c>
      <c r="E6" s="238" t="s">
        <v>762</v>
      </c>
      <c r="F6" s="238" t="s">
        <v>277</v>
      </c>
      <c r="G6" s="238" t="s">
        <v>763</v>
      </c>
      <c r="H6" s="238" t="s">
        <v>313</v>
      </c>
      <c r="I6" s="144">
        <f t="shared" ref="I6:I20" si="0">D6-C6</f>
        <v>4</v>
      </c>
      <c r="J6" s="6">
        <f>SUMIF(Agosto!$E$4:$E$89,A6,Agosto!$H$4:$H$89)</f>
        <v>4</v>
      </c>
    </row>
    <row r="7" spans="1:10" x14ac:dyDescent="0.25">
      <c r="A7" s="238">
        <v>884295847</v>
      </c>
      <c r="B7" s="238" t="s">
        <v>764</v>
      </c>
      <c r="C7" s="241">
        <v>42960</v>
      </c>
      <c r="D7" s="241">
        <v>42961</v>
      </c>
      <c r="E7" s="238" t="s">
        <v>765</v>
      </c>
      <c r="F7" s="238" t="s">
        <v>278</v>
      </c>
      <c r="G7" s="238" t="s">
        <v>766</v>
      </c>
      <c r="H7" s="238" t="s">
        <v>313</v>
      </c>
      <c r="I7" s="144">
        <f t="shared" si="0"/>
        <v>1</v>
      </c>
      <c r="J7" s="6">
        <f>SUMIF(Agosto!$E$4:$E$89,A7,Agosto!$H$4:$H$89)</f>
        <v>1</v>
      </c>
    </row>
    <row r="8" spans="1:10" x14ac:dyDescent="0.25">
      <c r="A8" s="238">
        <v>867653566</v>
      </c>
      <c r="B8" s="238" t="s">
        <v>751</v>
      </c>
      <c r="C8" s="241">
        <v>42962</v>
      </c>
      <c r="D8" s="241">
        <v>42965</v>
      </c>
      <c r="E8" s="238" t="s">
        <v>752</v>
      </c>
      <c r="F8" s="238" t="s">
        <v>277</v>
      </c>
      <c r="G8" s="238" t="s">
        <v>753</v>
      </c>
      <c r="H8" s="238" t="s">
        <v>313</v>
      </c>
      <c r="I8" s="144">
        <f t="shared" si="0"/>
        <v>3</v>
      </c>
      <c r="J8" s="6">
        <f>SUMIF(Agosto!$E$4:$E$89,A8,Agosto!$H$4:$H$89)</f>
        <v>5</v>
      </c>
    </row>
    <row r="9" spans="1:10" x14ac:dyDescent="0.25">
      <c r="A9" s="238">
        <v>850448024</v>
      </c>
      <c r="B9" s="238" t="s">
        <v>745</v>
      </c>
      <c r="C9" s="241">
        <v>42966</v>
      </c>
      <c r="D9" s="241">
        <v>42969</v>
      </c>
      <c r="E9" s="238" t="s">
        <v>746</v>
      </c>
      <c r="F9" s="238" t="s">
        <v>277</v>
      </c>
      <c r="G9" s="238" t="s">
        <v>747</v>
      </c>
      <c r="H9" s="238" t="s">
        <v>313</v>
      </c>
      <c r="I9" s="144">
        <f t="shared" si="0"/>
        <v>3</v>
      </c>
      <c r="J9" s="283">
        <f>SUMIF(Agosto!$E$4:$E$89,A9,Agosto!$H$4:$H$89)</f>
        <v>3</v>
      </c>
    </row>
    <row r="10" spans="1:10" x14ac:dyDescent="0.25">
      <c r="A10" s="238">
        <v>856625903</v>
      </c>
      <c r="B10" s="238" t="s">
        <v>748</v>
      </c>
      <c r="C10" s="241">
        <v>42970</v>
      </c>
      <c r="D10" s="241">
        <v>42976</v>
      </c>
      <c r="E10" s="238" t="s">
        <v>749</v>
      </c>
      <c r="F10" s="238" t="s">
        <v>277</v>
      </c>
      <c r="G10" s="238" t="s">
        <v>750</v>
      </c>
      <c r="H10" s="238" t="s">
        <v>313</v>
      </c>
      <c r="I10" s="144">
        <f t="shared" si="0"/>
        <v>6</v>
      </c>
      <c r="J10" s="6">
        <f>SUMIF(Agosto!$E$4:$E$89,A10,Agosto!$H$4:$H$89)</f>
        <v>6</v>
      </c>
    </row>
    <row r="11" spans="1:10" x14ac:dyDescent="0.25">
      <c r="A11" s="238">
        <v>869674211</v>
      </c>
      <c r="B11" s="238" t="s">
        <v>632</v>
      </c>
      <c r="C11" s="241">
        <v>42970</v>
      </c>
      <c r="D11" s="241">
        <v>42971</v>
      </c>
      <c r="E11" s="238" t="s">
        <v>757</v>
      </c>
      <c r="F11" s="238" t="s">
        <v>278</v>
      </c>
      <c r="G11" s="238" t="s">
        <v>758</v>
      </c>
      <c r="H11" s="238" t="s">
        <v>313</v>
      </c>
      <c r="I11" s="144">
        <f t="shared" si="0"/>
        <v>1</v>
      </c>
      <c r="J11" s="6">
        <f>SUMIF(Agosto!$E$4:$E$89,A11,Agosto!$H$4:$H$89)</f>
        <v>1</v>
      </c>
    </row>
    <row r="12" spans="1:10" x14ac:dyDescent="0.25">
      <c r="A12" s="238">
        <v>843106404</v>
      </c>
      <c r="B12" s="238" t="s">
        <v>739</v>
      </c>
      <c r="C12" s="241">
        <v>42971</v>
      </c>
      <c r="D12" s="241">
        <v>42976</v>
      </c>
      <c r="E12" s="238" t="s">
        <v>740</v>
      </c>
      <c r="F12" s="238" t="s">
        <v>278</v>
      </c>
      <c r="G12" s="238" t="s">
        <v>741</v>
      </c>
      <c r="H12" s="238" t="s">
        <v>313</v>
      </c>
      <c r="I12" s="144">
        <f t="shared" si="0"/>
        <v>5</v>
      </c>
      <c r="J12" s="6">
        <f>SUMIF(Agosto!$E$4:$E$89,A12,Agosto!$H$4:$H$89)</f>
        <v>5</v>
      </c>
    </row>
    <row r="13" spans="1:10" x14ac:dyDescent="0.25">
      <c r="A13" s="238">
        <v>843980597</v>
      </c>
      <c r="B13" s="238" t="s">
        <v>742</v>
      </c>
      <c r="C13" s="241">
        <v>42972</v>
      </c>
      <c r="D13" s="241">
        <v>42975</v>
      </c>
      <c r="E13" s="238" t="s">
        <v>743</v>
      </c>
      <c r="F13" s="238" t="s">
        <v>277</v>
      </c>
      <c r="G13" s="238" t="s">
        <v>744</v>
      </c>
      <c r="H13" s="238" t="s">
        <v>313</v>
      </c>
      <c r="I13" s="144">
        <f t="shared" si="0"/>
        <v>3</v>
      </c>
      <c r="J13" s="6">
        <f>SUMIF(Agosto!$E$4:$E$89,A13,Agosto!$H$4:$H$89)</f>
        <v>3</v>
      </c>
    </row>
    <row r="14" spans="1:10" x14ac:dyDescent="0.25">
      <c r="A14" s="238">
        <v>893400320</v>
      </c>
      <c r="B14" s="238" t="s">
        <v>767</v>
      </c>
      <c r="C14" s="241">
        <v>42972</v>
      </c>
      <c r="D14" s="241">
        <v>42975</v>
      </c>
      <c r="E14" s="238" t="s">
        <v>768</v>
      </c>
      <c r="F14" s="238" t="s">
        <v>278</v>
      </c>
      <c r="G14" s="238" t="s">
        <v>769</v>
      </c>
      <c r="H14" s="238" t="s">
        <v>313</v>
      </c>
      <c r="I14" s="144">
        <f t="shared" si="0"/>
        <v>3</v>
      </c>
      <c r="J14" s="6">
        <f>SUMIF(Agosto!$E$4:$E$89,A14,Agosto!$H$4:$H$89)</f>
        <v>3</v>
      </c>
    </row>
    <row r="15" spans="1:10" x14ac:dyDescent="0.25">
      <c r="A15" s="238">
        <v>868193251</v>
      </c>
      <c r="B15" s="238" t="s">
        <v>754</v>
      </c>
      <c r="C15" s="241">
        <v>42978</v>
      </c>
      <c r="D15" s="241">
        <v>42983</v>
      </c>
      <c r="E15" s="238" t="s">
        <v>755</v>
      </c>
      <c r="F15" s="238" t="s">
        <v>278</v>
      </c>
      <c r="G15" s="238" t="s">
        <v>756</v>
      </c>
      <c r="H15" s="238" t="s">
        <v>313</v>
      </c>
      <c r="I15" s="144">
        <f t="shared" si="0"/>
        <v>5</v>
      </c>
      <c r="J15" s="6">
        <f>SUMIF(Agosto!$E$4:$E$89,A15,Agosto!$H$4:$H$89)</f>
        <v>5</v>
      </c>
    </row>
    <row r="16" spans="1:10" ht="14.45" x14ac:dyDescent="0.3">
      <c r="A16" s="238"/>
      <c r="B16" s="238"/>
      <c r="C16" s="241"/>
      <c r="D16" s="241"/>
      <c r="E16" s="238"/>
      <c r="F16" s="238"/>
      <c r="G16" s="238"/>
      <c r="H16" s="238"/>
      <c r="I16" s="144">
        <f t="shared" si="0"/>
        <v>0</v>
      </c>
      <c r="J16" s="279">
        <f>SUMIF(Agosto!$E$4:$E$89,A16,Agosto!$H$4:$H$89)</f>
        <v>0</v>
      </c>
    </row>
    <row r="17" spans="1:11" x14ac:dyDescent="0.25">
      <c r="A17" s="238"/>
      <c r="B17" s="238"/>
      <c r="C17" s="241"/>
      <c r="D17" s="241"/>
      <c r="E17" s="238"/>
      <c r="F17" s="238"/>
      <c r="G17" s="238"/>
      <c r="H17" s="238"/>
      <c r="I17" s="144">
        <f t="shared" si="0"/>
        <v>0</v>
      </c>
      <c r="J17" s="283">
        <f>SUMIF(Agosto!$E$4:$E$89,A17,Agosto!$H$4:$H$89)</f>
        <v>0</v>
      </c>
    </row>
    <row r="18" spans="1:11" x14ac:dyDescent="0.25">
      <c r="A18" s="238"/>
      <c r="B18" s="238"/>
      <c r="C18" s="241"/>
      <c r="D18" s="241"/>
      <c r="E18" s="238"/>
      <c r="F18" s="238"/>
      <c r="G18" s="238"/>
      <c r="H18" s="238"/>
      <c r="I18" s="144">
        <f t="shared" si="0"/>
        <v>0</v>
      </c>
      <c r="J18" s="6">
        <f>SUMIF(Agosto!$E$4:$E$89,A18,Agosto!$H$4:$H$89)</f>
        <v>0</v>
      </c>
    </row>
    <row r="19" spans="1:11" x14ac:dyDescent="0.25">
      <c r="C19" s="137"/>
      <c r="D19" s="137"/>
      <c r="I19" s="144">
        <f t="shared" si="0"/>
        <v>0</v>
      </c>
      <c r="J19" s="6">
        <f>SUMIF(Agosto!$E$4:$E$89,A19,Agosto!$H$4:$H$89)</f>
        <v>0</v>
      </c>
    </row>
    <row r="20" spans="1:11" x14ac:dyDescent="0.25">
      <c r="C20" s="137"/>
      <c r="D20" s="137"/>
      <c r="I20" s="144">
        <f t="shared" si="0"/>
        <v>0</v>
      </c>
      <c r="J20" s="6">
        <f>SUMIF(Agosto!$E$4:$E$89,A20,Agosto!$H$4:$H$89)</f>
        <v>0</v>
      </c>
    </row>
    <row r="21" spans="1:11" x14ac:dyDescent="0.25">
      <c r="I21" s="144">
        <f t="shared" ref="I21:I23" si="1">D21-C21</f>
        <v>0</v>
      </c>
      <c r="J21" s="6">
        <f>SUMIF(Agosto!$E$4:$E$89,A21,Agosto!$H$4:$H$89)</f>
        <v>0</v>
      </c>
    </row>
    <row r="22" spans="1:11" x14ac:dyDescent="0.25">
      <c r="I22" s="144">
        <f t="shared" si="1"/>
        <v>0</v>
      </c>
      <c r="J22" s="6">
        <f>SUMIF(Agosto!$E$4:$E$89,A22,Agosto!$H$4:$H$89)</f>
        <v>0</v>
      </c>
    </row>
    <row r="23" spans="1:11" x14ac:dyDescent="0.25">
      <c r="I23" s="144">
        <f t="shared" si="1"/>
        <v>0</v>
      </c>
      <c r="J23" s="6">
        <f>SUMIF(Agosto!$E$4:$E$89,A23,Agosto!$H$4:$H$89)</f>
        <v>0</v>
      </c>
    </row>
    <row r="24" spans="1:11" x14ac:dyDescent="0.25">
      <c r="I24" s="158">
        <f>SUM(I5:I23)</f>
        <v>36</v>
      </c>
      <c r="J24" s="158">
        <f>SUM(J5:J23)</f>
        <v>38</v>
      </c>
      <c r="K24" s="117">
        <f>SUM(K6:K20)</f>
        <v>0</v>
      </c>
    </row>
  </sheetData>
  <sortState ref="A5:H15">
    <sortCondition ref="C5:C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59"/>
  <sheetViews>
    <sheetView topLeftCell="D1" zoomScale="85" zoomScaleNormal="85" workbookViewId="0">
      <selection activeCell="A88" sqref="A88:J356"/>
    </sheetView>
  </sheetViews>
  <sheetFormatPr baseColWidth="10" defaultRowHeight="15" x14ac:dyDescent="0.25"/>
  <cols>
    <col min="1" max="1" width="15.28515625" style="60" customWidth="1"/>
    <col min="2" max="2" width="24.140625" style="60" customWidth="1"/>
    <col min="3" max="3" width="11.7109375" style="60" customWidth="1"/>
    <col min="4" max="4" width="9.28515625" style="60" customWidth="1"/>
    <col min="5" max="5" width="21.28515625" style="60" customWidth="1"/>
    <col min="6" max="6" width="9.85546875" style="60" customWidth="1"/>
    <col min="7" max="7" width="21.28515625" style="60" customWidth="1"/>
    <col min="8" max="8" width="13.28515625" style="60" customWidth="1"/>
    <col min="9" max="9" width="18.85546875" style="185" customWidth="1"/>
    <col min="10" max="10" width="15.28515625" style="185" customWidth="1"/>
    <col min="11" max="11" width="13.28515625" style="60" customWidth="1"/>
    <col min="12" max="12" width="21" style="185" customWidth="1"/>
    <col min="13" max="13" width="14.28515625" style="60" customWidth="1"/>
    <col min="14" max="14" width="14.7109375" style="60" customWidth="1"/>
    <col min="15" max="15" width="5.28515625" style="60" customWidth="1"/>
    <col min="16" max="16" width="9.28515625" style="60" customWidth="1"/>
    <col min="17" max="17" width="12.85546875" style="60" customWidth="1"/>
    <col min="18" max="18" width="14.7109375" style="60" customWidth="1"/>
    <col min="19" max="19" width="13.28515625" style="60" customWidth="1"/>
    <col min="20" max="20" width="7.28515625" style="60" customWidth="1"/>
    <col min="21" max="21" width="10.28515625" style="60" customWidth="1"/>
    <col min="22" max="22" width="11.85546875" style="60" customWidth="1"/>
    <col min="23" max="23" width="18.28515625" style="60" customWidth="1"/>
    <col min="24" max="35" width="7.28515625" style="60" customWidth="1"/>
    <col min="36" max="228" width="9.140625" style="60" customWidth="1"/>
    <col min="229" max="229" width="30.140625" style="60" customWidth="1"/>
    <col min="230" max="230" width="52.140625" style="60" customWidth="1"/>
    <col min="231" max="231" width="47.7109375" style="60" customWidth="1"/>
    <col min="232" max="232" width="13.28515625" style="60" customWidth="1"/>
    <col min="233" max="233" width="9.85546875" style="60" customWidth="1"/>
    <col min="234" max="234" width="17.140625" style="60" customWidth="1"/>
    <col min="235" max="235" width="9.140625" style="60" customWidth="1"/>
    <col min="236" max="236" width="10.85546875" style="60" customWidth="1"/>
    <col min="237" max="237" width="11.28515625" style="60" customWidth="1"/>
    <col min="238" max="238" width="16.28515625" style="60" customWidth="1"/>
    <col min="239" max="239" width="8.28515625" style="60" customWidth="1"/>
    <col min="240" max="240" width="10.28515625" style="60" customWidth="1"/>
    <col min="241" max="241" width="11.28515625" style="60" customWidth="1"/>
    <col min="242" max="242" width="9.7109375" style="60" customWidth="1"/>
    <col min="243" max="484" width="9.140625" style="60" customWidth="1"/>
    <col min="485" max="485" width="30.140625" style="60" customWidth="1"/>
    <col min="486" max="486" width="52.140625" style="60" customWidth="1"/>
    <col min="487" max="487" width="47.7109375" style="60" customWidth="1"/>
    <col min="488" max="488" width="13.28515625" style="60" customWidth="1"/>
    <col min="489" max="489" width="9.85546875" style="60" customWidth="1"/>
    <col min="490" max="490" width="17.140625" style="60" customWidth="1"/>
    <col min="491" max="491" width="9.140625" style="60" customWidth="1"/>
    <col min="492" max="492" width="10.85546875" style="60" customWidth="1"/>
    <col min="493" max="493" width="11.28515625" style="60" customWidth="1"/>
    <col min="494" max="494" width="16.28515625" style="60" customWidth="1"/>
    <col min="495" max="495" width="8.28515625" style="60" customWidth="1"/>
    <col min="496" max="496" width="10.28515625" style="60" customWidth="1"/>
    <col min="497" max="497" width="11.28515625" style="60" customWidth="1"/>
    <col min="498" max="498" width="9.7109375" style="60" customWidth="1"/>
    <col min="499" max="740" width="9.140625" style="60" customWidth="1"/>
    <col min="741" max="741" width="30.140625" style="60" customWidth="1"/>
    <col min="742" max="742" width="52.140625" style="60" customWidth="1"/>
    <col min="743" max="743" width="47.7109375" style="60" customWidth="1"/>
    <col min="744" max="744" width="13.28515625" style="60" customWidth="1"/>
    <col min="745" max="745" width="9.85546875" style="60" customWidth="1"/>
    <col min="746" max="746" width="17.140625" style="60" customWidth="1"/>
    <col min="747" max="747" width="9.140625" style="60" customWidth="1"/>
    <col min="748" max="748" width="10.85546875" style="60" customWidth="1"/>
    <col min="749" max="749" width="11.28515625" style="60" customWidth="1"/>
    <col min="750" max="750" width="16.28515625" style="60" customWidth="1"/>
    <col min="751" max="751" width="8.28515625" style="60" customWidth="1"/>
    <col min="752" max="752" width="10.28515625" style="60" customWidth="1"/>
    <col min="753" max="753" width="11.28515625" style="60" customWidth="1"/>
    <col min="754" max="754" width="9.7109375" style="60" customWidth="1"/>
    <col min="755" max="996" width="9.140625" style="60" customWidth="1"/>
    <col min="997" max="997" width="30.140625" style="60" customWidth="1"/>
    <col min="998" max="998" width="52.140625" style="60" customWidth="1"/>
    <col min="999" max="999" width="47.7109375" style="60" customWidth="1"/>
    <col min="1000" max="1000" width="13.28515625" style="60" customWidth="1"/>
    <col min="1001" max="1001" width="9.85546875" style="60" customWidth="1"/>
    <col min="1002" max="1002" width="17.140625" style="60" customWidth="1"/>
    <col min="1003" max="1003" width="9.140625" style="60" customWidth="1"/>
    <col min="1004" max="1004" width="10.85546875" style="60" customWidth="1"/>
    <col min="1005" max="1005" width="11.28515625" style="60" customWidth="1"/>
    <col min="1006" max="1006" width="16.28515625" style="60" customWidth="1"/>
    <col min="1007" max="1007" width="8.28515625" style="60" customWidth="1"/>
    <col min="1008" max="1008" width="10.28515625" style="60" customWidth="1"/>
    <col min="1009" max="1009" width="11.28515625" style="60" customWidth="1"/>
    <col min="1010" max="1010" width="9.7109375" style="60" customWidth="1"/>
    <col min="1011" max="1252" width="9.140625" style="60" customWidth="1"/>
    <col min="1253" max="1253" width="30.140625" style="60" customWidth="1"/>
    <col min="1254" max="1254" width="52.140625" style="60" customWidth="1"/>
    <col min="1255" max="1255" width="47.7109375" style="60" customWidth="1"/>
    <col min="1256" max="1256" width="13.28515625" style="60" customWidth="1"/>
    <col min="1257" max="1257" width="9.85546875" style="60" customWidth="1"/>
    <col min="1258" max="1258" width="17.140625" style="60" customWidth="1"/>
    <col min="1259" max="1259" width="9.140625" style="60" customWidth="1"/>
    <col min="1260" max="1260" width="10.85546875" style="60" customWidth="1"/>
    <col min="1261" max="1261" width="11.28515625" style="60" customWidth="1"/>
    <col min="1262" max="1262" width="16.28515625" style="60" customWidth="1"/>
    <col min="1263" max="1263" width="8.28515625" style="60" customWidth="1"/>
    <col min="1264" max="1264" width="10.28515625" style="60" customWidth="1"/>
    <col min="1265" max="1265" width="11.28515625" style="60" customWidth="1"/>
    <col min="1266" max="1266" width="9.7109375" style="60" customWidth="1"/>
    <col min="1267" max="1508" width="9.140625" style="60" customWidth="1"/>
    <col min="1509" max="1509" width="30.140625" style="60" customWidth="1"/>
    <col min="1510" max="1510" width="52.140625" style="60" customWidth="1"/>
    <col min="1511" max="1511" width="47.7109375" style="60" customWidth="1"/>
    <col min="1512" max="1512" width="13.28515625" style="60" customWidth="1"/>
    <col min="1513" max="1513" width="9.85546875" style="60" customWidth="1"/>
    <col min="1514" max="1514" width="17.140625" style="60" customWidth="1"/>
    <col min="1515" max="1515" width="9.140625" style="60" customWidth="1"/>
    <col min="1516" max="1516" width="10.85546875" style="60" customWidth="1"/>
    <col min="1517" max="1517" width="11.28515625" style="60" customWidth="1"/>
    <col min="1518" max="1518" width="16.28515625" style="60" customWidth="1"/>
    <col min="1519" max="1519" width="8.28515625" style="60" customWidth="1"/>
    <col min="1520" max="1520" width="10.28515625" style="60" customWidth="1"/>
    <col min="1521" max="1521" width="11.28515625" style="60" customWidth="1"/>
    <col min="1522" max="1522" width="9.7109375" style="60" customWidth="1"/>
    <col min="1523" max="1764" width="9.140625" style="60" customWidth="1"/>
    <col min="1765" max="1765" width="30.140625" style="60" customWidth="1"/>
    <col min="1766" max="1766" width="52.140625" style="60" customWidth="1"/>
    <col min="1767" max="1767" width="47.7109375" style="60" customWidth="1"/>
    <col min="1768" max="1768" width="13.28515625" style="60" customWidth="1"/>
    <col min="1769" max="1769" width="9.85546875" style="60" customWidth="1"/>
    <col min="1770" max="1770" width="17.140625" style="60" customWidth="1"/>
    <col min="1771" max="1771" width="9.140625" style="60" customWidth="1"/>
    <col min="1772" max="1772" width="10.85546875" style="60" customWidth="1"/>
    <col min="1773" max="1773" width="11.28515625" style="60" customWidth="1"/>
    <col min="1774" max="1774" width="16.28515625" style="60" customWidth="1"/>
    <col min="1775" max="1775" width="8.28515625" style="60" customWidth="1"/>
    <col min="1776" max="1776" width="10.28515625" style="60" customWidth="1"/>
    <col min="1777" max="1777" width="11.28515625" style="60" customWidth="1"/>
    <col min="1778" max="1778" width="9.7109375" style="60" customWidth="1"/>
    <col min="1779" max="2020" width="9.140625" style="60" customWidth="1"/>
    <col min="2021" max="2021" width="30.140625" style="60" customWidth="1"/>
    <col min="2022" max="2022" width="52.140625" style="60" customWidth="1"/>
    <col min="2023" max="2023" width="47.7109375" style="60" customWidth="1"/>
    <col min="2024" max="2024" width="13.28515625" style="60" customWidth="1"/>
    <col min="2025" max="2025" width="9.85546875" style="60" customWidth="1"/>
    <col min="2026" max="2026" width="17.140625" style="60" customWidth="1"/>
    <col min="2027" max="2027" width="9.140625" style="60" customWidth="1"/>
    <col min="2028" max="2028" width="10.85546875" style="60" customWidth="1"/>
    <col min="2029" max="2029" width="11.28515625" style="60" customWidth="1"/>
    <col min="2030" max="2030" width="16.28515625" style="60" customWidth="1"/>
    <col min="2031" max="2031" width="8.28515625" style="60" customWidth="1"/>
    <col min="2032" max="2032" width="10.28515625" style="60" customWidth="1"/>
    <col min="2033" max="2033" width="11.28515625" style="60" customWidth="1"/>
    <col min="2034" max="2034" width="9.7109375" style="60" customWidth="1"/>
    <col min="2035" max="2276" width="9.140625" style="60" customWidth="1"/>
    <col min="2277" max="2277" width="30.140625" style="60" customWidth="1"/>
    <col min="2278" max="2278" width="52.140625" style="60" customWidth="1"/>
    <col min="2279" max="2279" width="47.7109375" style="60" customWidth="1"/>
    <col min="2280" max="2280" width="13.28515625" style="60" customWidth="1"/>
    <col min="2281" max="2281" width="9.85546875" style="60" customWidth="1"/>
    <col min="2282" max="2282" width="17.140625" style="60" customWidth="1"/>
    <col min="2283" max="2283" width="9.140625" style="60" customWidth="1"/>
    <col min="2284" max="2284" width="10.85546875" style="60" customWidth="1"/>
    <col min="2285" max="2285" width="11.28515625" style="60" customWidth="1"/>
    <col min="2286" max="2286" width="16.28515625" style="60" customWidth="1"/>
    <col min="2287" max="2287" width="8.28515625" style="60" customWidth="1"/>
    <col min="2288" max="2288" width="10.28515625" style="60" customWidth="1"/>
    <col min="2289" max="2289" width="11.28515625" style="60" customWidth="1"/>
    <col min="2290" max="2290" width="9.7109375" style="60" customWidth="1"/>
    <col min="2291" max="2532" width="9.140625" style="60" customWidth="1"/>
    <col min="2533" max="2533" width="30.140625" style="60" customWidth="1"/>
    <col min="2534" max="2534" width="52.140625" style="60" customWidth="1"/>
    <col min="2535" max="2535" width="47.7109375" style="60" customWidth="1"/>
    <col min="2536" max="2536" width="13.28515625" style="60" customWidth="1"/>
    <col min="2537" max="2537" width="9.85546875" style="60" customWidth="1"/>
    <col min="2538" max="2538" width="17.140625" style="60" customWidth="1"/>
    <col min="2539" max="2539" width="9.140625" style="60" customWidth="1"/>
    <col min="2540" max="2540" width="10.85546875" style="60" customWidth="1"/>
    <col min="2541" max="2541" width="11.28515625" style="60" customWidth="1"/>
    <col min="2542" max="2542" width="16.28515625" style="60" customWidth="1"/>
    <col min="2543" max="2543" width="8.28515625" style="60" customWidth="1"/>
    <col min="2544" max="2544" width="10.28515625" style="60" customWidth="1"/>
    <col min="2545" max="2545" width="11.28515625" style="60" customWidth="1"/>
    <col min="2546" max="2546" width="9.7109375" style="60" customWidth="1"/>
    <col min="2547" max="2788" width="9.140625" style="60" customWidth="1"/>
    <col min="2789" max="2789" width="30.140625" style="60" customWidth="1"/>
    <col min="2790" max="2790" width="52.140625" style="60" customWidth="1"/>
    <col min="2791" max="2791" width="47.7109375" style="60" customWidth="1"/>
    <col min="2792" max="2792" width="13.28515625" style="60" customWidth="1"/>
    <col min="2793" max="2793" width="9.85546875" style="60" customWidth="1"/>
    <col min="2794" max="2794" width="17.140625" style="60" customWidth="1"/>
    <col min="2795" max="2795" width="9.140625" style="60" customWidth="1"/>
    <col min="2796" max="2796" width="10.85546875" style="60" customWidth="1"/>
    <col min="2797" max="2797" width="11.28515625" style="60" customWidth="1"/>
    <col min="2798" max="2798" width="16.28515625" style="60" customWidth="1"/>
    <col min="2799" max="2799" width="8.28515625" style="60" customWidth="1"/>
    <col min="2800" max="2800" width="10.28515625" style="60" customWidth="1"/>
    <col min="2801" max="2801" width="11.28515625" style="60" customWidth="1"/>
    <col min="2802" max="2802" width="9.7109375" style="60" customWidth="1"/>
    <col min="2803" max="3044" width="9.140625" style="60" customWidth="1"/>
    <col min="3045" max="3045" width="30.140625" style="60" customWidth="1"/>
    <col min="3046" max="3046" width="52.140625" style="60" customWidth="1"/>
    <col min="3047" max="3047" width="47.7109375" style="60" customWidth="1"/>
    <col min="3048" max="3048" width="13.28515625" style="60" customWidth="1"/>
    <col min="3049" max="3049" width="9.85546875" style="60" customWidth="1"/>
    <col min="3050" max="3050" width="17.140625" style="60" customWidth="1"/>
    <col min="3051" max="3051" width="9.140625" style="60" customWidth="1"/>
    <col min="3052" max="3052" width="10.85546875" style="60" customWidth="1"/>
    <col min="3053" max="3053" width="11.28515625" style="60" customWidth="1"/>
    <col min="3054" max="3054" width="16.28515625" style="60" customWidth="1"/>
    <col min="3055" max="3055" width="8.28515625" style="60" customWidth="1"/>
    <col min="3056" max="3056" width="10.28515625" style="60" customWidth="1"/>
    <col min="3057" max="3057" width="11.28515625" style="60" customWidth="1"/>
    <col min="3058" max="3058" width="9.7109375" style="60" customWidth="1"/>
    <col min="3059" max="3300" width="9.140625" style="60" customWidth="1"/>
    <col min="3301" max="3301" width="30.140625" style="60" customWidth="1"/>
    <col min="3302" max="3302" width="52.140625" style="60" customWidth="1"/>
    <col min="3303" max="3303" width="47.7109375" style="60" customWidth="1"/>
    <col min="3304" max="3304" width="13.28515625" style="60" customWidth="1"/>
    <col min="3305" max="3305" width="9.85546875" style="60" customWidth="1"/>
    <col min="3306" max="3306" width="17.140625" style="60" customWidth="1"/>
    <col min="3307" max="3307" width="9.140625" style="60" customWidth="1"/>
    <col min="3308" max="3308" width="10.85546875" style="60" customWidth="1"/>
    <col min="3309" max="3309" width="11.28515625" style="60" customWidth="1"/>
    <col min="3310" max="3310" width="16.28515625" style="60" customWidth="1"/>
    <col min="3311" max="3311" width="8.28515625" style="60" customWidth="1"/>
    <col min="3312" max="3312" width="10.28515625" style="60" customWidth="1"/>
    <col min="3313" max="3313" width="11.28515625" style="60" customWidth="1"/>
    <col min="3314" max="3314" width="9.7109375" style="60" customWidth="1"/>
    <col min="3315" max="3556" width="9.140625" style="60" customWidth="1"/>
    <col min="3557" max="3557" width="30.140625" style="60" customWidth="1"/>
    <col min="3558" max="3558" width="52.140625" style="60" customWidth="1"/>
    <col min="3559" max="3559" width="47.7109375" style="60" customWidth="1"/>
    <col min="3560" max="3560" width="13.28515625" style="60" customWidth="1"/>
    <col min="3561" max="3561" width="9.85546875" style="60" customWidth="1"/>
    <col min="3562" max="3562" width="17.140625" style="60" customWidth="1"/>
    <col min="3563" max="3563" width="9.140625" style="60" customWidth="1"/>
    <col min="3564" max="3564" width="10.85546875" style="60" customWidth="1"/>
    <col min="3565" max="3565" width="11.28515625" style="60" customWidth="1"/>
    <col min="3566" max="3566" width="16.28515625" style="60" customWidth="1"/>
    <col min="3567" max="3567" width="8.28515625" style="60" customWidth="1"/>
    <col min="3568" max="3568" width="10.28515625" style="60" customWidth="1"/>
    <col min="3569" max="3569" width="11.28515625" style="60" customWidth="1"/>
    <col min="3570" max="3570" width="9.7109375" style="60" customWidth="1"/>
    <col min="3571" max="3812" width="9.140625" style="60" customWidth="1"/>
    <col min="3813" max="3813" width="30.140625" style="60" customWidth="1"/>
    <col min="3814" max="3814" width="52.140625" style="60" customWidth="1"/>
    <col min="3815" max="3815" width="47.7109375" style="60" customWidth="1"/>
    <col min="3816" max="3816" width="13.28515625" style="60" customWidth="1"/>
    <col min="3817" max="3817" width="9.85546875" style="60" customWidth="1"/>
    <col min="3818" max="3818" width="17.140625" style="60" customWidth="1"/>
    <col min="3819" max="3819" width="9.140625" style="60" customWidth="1"/>
    <col min="3820" max="3820" width="10.85546875" style="60" customWidth="1"/>
    <col min="3821" max="3821" width="11.28515625" style="60" customWidth="1"/>
    <col min="3822" max="3822" width="16.28515625" style="60" customWidth="1"/>
    <col min="3823" max="3823" width="8.28515625" style="60" customWidth="1"/>
    <col min="3824" max="3824" width="10.28515625" style="60" customWidth="1"/>
    <col min="3825" max="3825" width="11.28515625" style="60" customWidth="1"/>
    <col min="3826" max="3826" width="9.7109375" style="60" customWidth="1"/>
    <col min="3827" max="4068" width="9.140625" style="60" customWidth="1"/>
    <col min="4069" max="4069" width="30.140625" style="60" customWidth="1"/>
    <col min="4070" max="4070" width="52.140625" style="60" customWidth="1"/>
    <col min="4071" max="4071" width="47.7109375" style="60" customWidth="1"/>
    <col min="4072" max="4072" width="13.28515625" style="60" customWidth="1"/>
    <col min="4073" max="4073" width="9.85546875" style="60" customWidth="1"/>
    <col min="4074" max="4074" width="17.140625" style="60" customWidth="1"/>
    <col min="4075" max="4075" width="9.140625" style="60" customWidth="1"/>
    <col min="4076" max="4076" width="10.85546875" style="60" customWidth="1"/>
    <col min="4077" max="4077" width="11.28515625" style="60" customWidth="1"/>
    <col min="4078" max="4078" width="16.28515625" style="60" customWidth="1"/>
    <col min="4079" max="4079" width="8.28515625" style="60" customWidth="1"/>
    <col min="4080" max="4080" width="10.28515625" style="60" customWidth="1"/>
    <col min="4081" max="4081" width="11.28515625" style="60" customWidth="1"/>
    <col min="4082" max="4082" width="9.7109375" style="60" customWidth="1"/>
    <col min="4083" max="4324" width="9.140625" style="60" customWidth="1"/>
    <col min="4325" max="4325" width="30.140625" style="60" customWidth="1"/>
    <col min="4326" max="4326" width="52.140625" style="60" customWidth="1"/>
    <col min="4327" max="4327" width="47.7109375" style="60" customWidth="1"/>
    <col min="4328" max="4328" width="13.28515625" style="60" customWidth="1"/>
    <col min="4329" max="4329" width="9.85546875" style="60" customWidth="1"/>
    <col min="4330" max="4330" width="17.140625" style="60" customWidth="1"/>
    <col min="4331" max="4331" width="9.140625" style="60" customWidth="1"/>
    <col min="4332" max="4332" width="10.85546875" style="60" customWidth="1"/>
    <col min="4333" max="4333" width="11.28515625" style="60" customWidth="1"/>
    <col min="4334" max="4334" width="16.28515625" style="60" customWidth="1"/>
    <col min="4335" max="4335" width="8.28515625" style="60" customWidth="1"/>
    <col min="4336" max="4336" width="10.28515625" style="60" customWidth="1"/>
    <col min="4337" max="4337" width="11.28515625" style="60" customWidth="1"/>
    <col min="4338" max="4338" width="9.7109375" style="60" customWidth="1"/>
    <col min="4339" max="4580" width="9.140625" style="60" customWidth="1"/>
    <col min="4581" max="4581" width="30.140625" style="60" customWidth="1"/>
    <col min="4582" max="4582" width="52.140625" style="60" customWidth="1"/>
    <col min="4583" max="4583" width="47.7109375" style="60" customWidth="1"/>
    <col min="4584" max="4584" width="13.28515625" style="60" customWidth="1"/>
    <col min="4585" max="4585" width="9.85546875" style="60" customWidth="1"/>
    <col min="4586" max="4586" width="17.140625" style="60" customWidth="1"/>
    <col min="4587" max="4587" width="9.140625" style="60" customWidth="1"/>
    <col min="4588" max="4588" width="10.85546875" style="60" customWidth="1"/>
    <col min="4589" max="4589" width="11.28515625" style="60" customWidth="1"/>
    <col min="4590" max="4590" width="16.28515625" style="60" customWidth="1"/>
    <col min="4591" max="4591" width="8.28515625" style="60" customWidth="1"/>
    <col min="4592" max="4592" width="10.28515625" style="60" customWidth="1"/>
    <col min="4593" max="4593" width="11.28515625" style="60" customWidth="1"/>
    <col min="4594" max="4594" width="9.7109375" style="60" customWidth="1"/>
    <col min="4595" max="4836" width="9.140625" style="60" customWidth="1"/>
    <col min="4837" max="4837" width="30.140625" style="60" customWidth="1"/>
    <col min="4838" max="4838" width="52.140625" style="60" customWidth="1"/>
    <col min="4839" max="4839" width="47.7109375" style="60" customWidth="1"/>
    <col min="4840" max="4840" width="13.28515625" style="60" customWidth="1"/>
    <col min="4841" max="4841" width="9.85546875" style="60" customWidth="1"/>
    <col min="4842" max="4842" width="17.140625" style="60" customWidth="1"/>
    <col min="4843" max="4843" width="9.140625" style="60" customWidth="1"/>
    <col min="4844" max="4844" width="10.85546875" style="60" customWidth="1"/>
    <col min="4845" max="4845" width="11.28515625" style="60" customWidth="1"/>
    <col min="4846" max="4846" width="16.28515625" style="60" customWidth="1"/>
    <col min="4847" max="4847" width="8.28515625" style="60" customWidth="1"/>
    <col min="4848" max="4848" width="10.28515625" style="60" customWidth="1"/>
    <col min="4849" max="4849" width="11.28515625" style="60" customWidth="1"/>
    <col min="4850" max="4850" width="9.7109375" style="60" customWidth="1"/>
    <col min="4851" max="5092" width="9.140625" style="60" customWidth="1"/>
    <col min="5093" max="5093" width="30.140625" style="60" customWidth="1"/>
    <col min="5094" max="5094" width="52.140625" style="60" customWidth="1"/>
    <col min="5095" max="5095" width="47.7109375" style="60" customWidth="1"/>
    <col min="5096" max="5096" width="13.28515625" style="60" customWidth="1"/>
    <col min="5097" max="5097" width="9.85546875" style="60" customWidth="1"/>
    <col min="5098" max="5098" width="17.140625" style="60" customWidth="1"/>
    <col min="5099" max="5099" width="9.140625" style="60" customWidth="1"/>
    <col min="5100" max="5100" width="10.85546875" style="60" customWidth="1"/>
    <col min="5101" max="5101" width="11.28515625" style="60" customWidth="1"/>
    <col min="5102" max="5102" width="16.28515625" style="60" customWidth="1"/>
    <col min="5103" max="5103" width="8.28515625" style="60" customWidth="1"/>
    <col min="5104" max="5104" width="10.28515625" style="60" customWidth="1"/>
    <col min="5105" max="5105" width="11.28515625" style="60" customWidth="1"/>
    <col min="5106" max="5106" width="9.7109375" style="60" customWidth="1"/>
    <col min="5107" max="5348" width="9.140625" style="60" customWidth="1"/>
    <col min="5349" max="5349" width="30.140625" style="60" customWidth="1"/>
    <col min="5350" max="5350" width="52.140625" style="60" customWidth="1"/>
    <col min="5351" max="5351" width="47.7109375" style="60" customWidth="1"/>
    <col min="5352" max="5352" width="13.28515625" style="60" customWidth="1"/>
    <col min="5353" max="5353" width="9.85546875" style="60" customWidth="1"/>
    <col min="5354" max="5354" width="17.140625" style="60" customWidth="1"/>
    <col min="5355" max="5355" width="9.140625" style="60" customWidth="1"/>
    <col min="5356" max="5356" width="10.85546875" style="60" customWidth="1"/>
    <col min="5357" max="5357" width="11.28515625" style="60" customWidth="1"/>
    <col min="5358" max="5358" width="16.28515625" style="60" customWidth="1"/>
    <col min="5359" max="5359" width="8.28515625" style="60" customWidth="1"/>
    <col min="5360" max="5360" width="10.28515625" style="60" customWidth="1"/>
    <col min="5361" max="5361" width="11.28515625" style="60" customWidth="1"/>
    <col min="5362" max="5362" width="9.7109375" style="60" customWidth="1"/>
    <col min="5363" max="5604" width="9.140625" style="60" customWidth="1"/>
    <col min="5605" max="5605" width="30.140625" style="60" customWidth="1"/>
    <col min="5606" max="5606" width="52.140625" style="60" customWidth="1"/>
    <col min="5607" max="5607" width="47.7109375" style="60" customWidth="1"/>
    <col min="5608" max="5608" width="13.28515625" style="60" customWidth="1"/>
    <col min="5609" max="5609" width="9.85546875" style="60" customWidth="1"/>
    <col min="5610" max="5610" width="17.140625" style="60" customWidth="1"/>
    <col min="5611" max="5611" width="9.140625" style="60" customWidth="1"/>
    <col min="5612" max="5612" width="10.85546875" style="60" customWidth="1"/>
    <col min="5613" max="5613" width="11.28515625" style="60" customWidth="1"/>
    <col min="5614" max="5614" width="16.28515625" style="60" customWidth="1"/>
    <col min="5615" max="5615" width="8.28515625" style="60" customWidth="1"/>
    <col min="5616" max="5616" width="10.28515625" style="60" customWidth="1"/>
    <col min="5617" max="5617" width="11.28515625" style="60" customWidth="1"/>
    <col min="5618" max="5618" width="9.7109375" style="60" customWidth="1"/>
    <col min="5619" max="5860" width="9.140625" style="60" customWidth="1"/>
    <col min="5861" max="5861" width="30.140625" style="60" customWidth="1"/>
    <col min="5862" max="5862" width="52.140625" style="60" customWidth="1"/>
    <col min="5863" max="5863" width="47.7109375" style="60" customWidth="1"/>
    <col min="5864" max="5864" width="13.28515625" style="60" customWidth="1"/>
    <col min="5865" max="5865" width="9.85546875" style="60" customWidth="1"/>
    <col min="5866" max="5866" width="17.140625" style="60" customWidth="1"/>
    <col min="5867" max="5867" width="9.140625" style="60" customWidth="1"/>
    <col min="5868" max="5868" width="10.85546875" style="60" customWidth="1"/>
    <col min="5869" max="5869" width="11.28515625" style="60" customWidth="1"/>
    <col min="5870" max="5870" width="16.28515625" style="60" customWidth="1"/>
    <col min="5871" max="5871" width="8.28515625" style="60" customWidth="1"/>
    <col min="5872" max="5872" width="10.28515625" style="60" customWidth="1"/>
    <col min="5873" max="5873" width="11.28515625" style="60" customWidth="1"/>
    <col min="5874" max="5874" width="9.7109375" style="60" customWidth="1"/>
    <col min="5875" max="6116" width="9.140625" style="60" customWidth="1"/>
    <col min="6117" max="6117" width="30.140625" style="60" customWidth="1"/>
    <col min="6118" max="6118" width="52.140625" style="60" customWidth="1"/>
    <col min="6119" max="6119" width="47.7109375" style="60" customWidth="1"/>
    <col min="6120" max="6120" width="13.28515625" style="60" customWidth="1"/>
    <col min="6121" max="6121" width="9.85546875" style="60" customWidth="1"/>
    <col min="6122" max="6122" width="17.140625" style="60" customWidth="1"/>
    <col min="6123" max="6123" width="9.140625" style="60" customWidth="1"/>
    <col min="6124" max="6124" width="10.85546875" style="60" customWidth="1"/>
    <col min="6125" max="6125" width="11.28515625" style="60" customWidth="1"/>
    <col min="6126" max="6126" width="16.28515625" style="60" customWidth="1"/>
    <col min="6127" max="6127" width="8.28515625" style="60" customWidth="1"/>
    <col min="6128" max="6128" width="10.28515625" style="60" customWidth="1"/>
    <col min="6129" max="6129" width="11.28515625" style="60" customWidth="1"/>
    <col min="6130" max="6130" width="9.7109375" style="60" customWidth="1"/>
    <col min="6131" max="6372" width="9.140625" style="60" customWidth="1"/>
    <col min="6373" max="6373" width="30.140625" style="60" customWidth="1"/>
    <col min="6374" max="6374" width="52.140625" style="60" customWidth="1"/>
    <col min="6375" max="6375" width="47.7109375" style="60" customWidth="1"/>
    <col min="6376" max="6376" width="13.28515625" style="60" customWidth="1"/>
    <col min="6377" max="6377" width="9.85546875" style="60" customWidth="1"/>
    <col min="6378" max="6378" width="17.140625" style="60" customWidth="1"/>
    <col min="6379" max="6379" width="9.140625" style="60" customWidth="1"/>
    <col min="6380" max="6380" width="10.85546875" style="60" customWidth="1"/>
    <col min="6381" max="6381" width="11.28515625" style="60" customWidth="1"/>
    <col min="6382" max="6382" width="16.28515625" style="60" customWidth="1"/>
    <col min="6383" max="6383" width="8.28515625" style="60" customWidth="1"/>
    <col min="6384" max="6384" width="10.28515625" style="60" customWidth="1"/>
    <col min="6385" max="6385" width="11.28515625" style="60" customWidth="1"/>
    <col min="6386" max="6386" width="9.7109375" style="60" customWidth="1"/>
    <col min="6387" max="6628" width="9.140625" style="60" customWidth="1"/>
    <col min="6629" max="6629" width="30.140625" style="60" customWidth="1"/>
    <col min="6630" max="6630" width="52.140625" style="60" customWidth="1"/>
    <col min="6631" max="6631" width="47.7109375" style="60" customWidth="1"/>
    <col min="6632" max="6632" width="13.28515625" style="60" customWidth="1"/>
    <col min="6633" max="6633" width="9.85546875" style="60" customWidth="1"/>
    <col min="6634" max="6634" width="17.140625" style="60" customWidth="1"/>
    <col min="6635" max="6635" width="9.140625" style="60" customWidth="1"/>
    <col min="6636" max="6636" width="10.85546875" style="60" customWidth="1"/>
    <col min="6637" max="6637" width="11.28515625" style="60" customWidth="1"/>
    <col min="6638" max="6638" width="16.28515625" style="60" customWidth="1"/>
    <col min="6639" max="6639" width="8.28515625" style="60" customWidth="1"/>
    <col min="6640" max="6640" width="10.28515625" style="60" customWidth="1"/>
    <col min="6641" max="6641" width="11.28515625" style="60" customWidth="1"/>
    <col min="6642" max="6642" width="9.7109375" style="60" customWidth="1"/>
    <col min="6643" max="6884" width="9.140625" style="60" customWidth="1"/>
    <col min="6885" max="6885" width="30.140625" style="60" customWidth="1"/>
    <col min="6886" max="6886" width="52.140625" style="60" customWidth="1"/>
    <col min="6887" max="6887" width="47.7109375" style="60" customWidth="1"/>
    <col min="6888" max="6888" width="13.28515625" style="60" customWidth="1"/>
    <col min="6889" max="6889" width="9.85546875" style="60" customWidth="1"/>
    <col min="6890" max="6890" width="17.140625" style="60" customWidth="1"/>
    <col min="6891" max="6891" width="9.140625" style="60" customWidth="1"/>
    <col min="6892" max="6892" width="10.85546875" style="60" customWidth="1"/>
    <col min="6893" max="6893" width="11.28515625" style="60" customWidth="1"/>
    <col min="6894" max="6894" width="16.28515625" style="60" customWidth="1"/>
    <col min="6895" max="6895" width="8.28515625" style="60" customWidth="1"/>
    <col min="6896" max="6896" width="10.28515625" style="60" customWidth="1"/>
    <col min="6897" max="6897" width="11.28515625" style="60" customWidth="1"/>
    <col min="6898" max="6898" width="9.7109375" style="60" customWidth="1"/>
    <col min="6899" max="7140" width="9.140625" style="60" customWidth="1"/>
    <col min="7141" max="7141" width="30.140625" style="60" customWidth="1"/>
    <col min="7142" max="7142" width="52.140625" style="60" customWidth="1"/>
    <col min="7143" max="7143" width="47.7109375" style="60" customWidth="1"/>
    <col min="7144" max="7144" width="13.28515625" style="60" customWidth="1"/>
    <col min="7145" max="7145" width="9.85546875" style="60" customWidth="1"/>
    <col min="7146" max="7146" width="17.140625" style="60" customWidth="1"/>
    <col min="7147" max="7147" width="9.140625" style="60" customWidth="1"/>
    <col min="7148" max="7148" width="10.85546875" style="60" customWidth="1"/>
    <col min="7149" max="7149" width="11.28515625" style="60" customWidth="1"/>
    <col min="7150" max="7150" width="16.28515625" style="60" customWidth="1"/>
    <col min="7151" max="7151" width="8.28515625" style="60" customWidth="1"/>
    <col min="7152" max="7152" width="10.28515625" style="60" customWidth="1"/>
    <col min="7153" max="7153" width="11.28515625" style="60" customWidth="1"/>
    <col min="7154" max="7154" width="9.7109375" style="60" customWidth="1"/>
    <col min="7155" max="7396" width="9.140625" style="60" customWidth="1"/>
    <col min="7397" max="7397" width="30.140625" style="60" customWidth="1"/>
    <col min="7398" max="7398" width="52.140625" style="60" customWidth="1"/>
    <col min="7399" max="7399" width="47.7109375" style="60" customWidth="1"/>
    <col min="7400" max="7400" width="13.28515625" style="60" customWidth="1"/>
    <col min="7401" max="7401" width="9.85546875" style="60" customWidth="1"/>
    <col min="7402" max="7402" width="17.140625" style="60" customWidth="1"/>
    <col min="7403" max="7403" width="9.140625" style="60" customWidth="1"/>
    <col min="7404" max="7404" width="10.85546875" style="60" customWidth="1"/>
    <col min="7405" max="7405" width="11.28515625" style="60" customWidth="1"/>
    <col min="7406" max="7406" width="16.28515625" style="60" customWidth="1"/>
    <col min="7407" max="7407" width="8.28515625" style="60" customWidth="1"/>
    <col min="7408" max="7408" width="10.28515625" style="60" customWidth="1"/>
    <col min="7409" max="7409" width="11.28515625" style="60" customWidth="1"/>
    <col min="7410" max="7410" width="9.7109375" style="60" customWidth="1"/>
    <col min="7411" max="7652" width="9.140625" style="60" customWidth="1"/>
    <col min="7653" max="7653" width="30.140625" style="60" customWidth="1"/>
    <col min="7654" max="7654" width="52.140625" style="60" customWidth="1"/>
    <col min="7655" max="7655" width="47.7109375" style="60" customWidth="1"/>
    <col min="7656" max="7656" width="13.28515625" style="60" customWidth="1"/>
    <col min="7657" max="7657" width="9.85546875" style="60" customWidth="1"/>
    <col min="7658" max="7658" width="17.140625" style="60" customWidth="1"/>
    <col min="7659" max="7659" width="9.140625" style="60" customWidth="1"/>
    <col min="7660" max="7660" width="10.85546875" style="60" customWidth="1"/>
    <col min="7661" max="7661" width="11.28515625" style="60" customWidth="1"/>
    <col min="7662" max="7662" width="16.28515625" style="60" customWidth="1"/>
    <col min="7663" max="7663" width="8.28515625" style="60" customWidth="1"/>
    <col min="7664" max="7664" width="10.28515625" style="60" customWidth="1"/>
    <col min="7665" max="7665" width="11.28515625" style="60" customWidth="1"/>
    <col min="7666" max="7666" width="9.7109375" style="60" customWidth="1"/>
    <col min="7667" max="7908" width="9.140625" style="60" customWidth="1"/>
    <col min="7909" max="7909" width="30.140625" style="60" customWidth="1"/>
    <col min="7910" max="7910" width="52.140625" style="60" customWidth="1"/>
    <col min="7911" max="7911" width="47.7109375" style="60" customWidth="1"/>
    <col min="7912" max="7912" width="13.28515625" style="60" customWidth="1"/>
    <col min="7913" max="7913" width="9.85546875" style="60" customWidth="1"/>
    <col min="7914" max="7914" width="17.140625" style="60" customWidth="1"/>
    <col min="7915" max="7915" width="9.140625" style="60" customWidth="1"/>
    <col min="7916" max="7916" width="10.85546875" style="60" customWidth="1"/>
    <col min="7917" max="7917" width="11.28515625" style="60" customWidth="1"/>
    <col min="7918" max="7918" width="16.28515625" style="60" customWidth="1"/>
    <col min="7919" max="7919" width="8.28515625" style="60" customWidth="1"/>
    <col min="7920" max="7920" width="10.28515625" style="60" customWidth="1"/>
    <col min="7921" max="7921" width="11.28515625" style="60" customWidth="1"/>
    <col min="7922" max="7922" width="9.7109375" style="60" customWidth="1"/>
    <col min="7923" max="8164" width="9.140625" style="60" customWidth="1"/>
    <col min="8165" max="8165" width="30.140625" style="60" customWidth="1"/>
    <col min="8166" max="8166" width="52.140625" style="60" customWidth="1"/>
    <col min="8167" max="8167" width="47.7109375" style="60" customWidth="1"/>
    <col min="8168" max="8168" width="13.28515625" style="60" customWidth="1"/>
    <col min="8169" max="8169" width="9.85546875" style="60" customWidth="1"/>
    <col min="8170" max="8170" width="17.140625" style="60" customWidth="1"/>
    <col min="8171" max="8171" width="9.140625" style="60" customWidth="1"/>
    <col min="8172" max="8172" width="10.85546875" style="60" customWidth="1"/>
    <col min="8173" max="8173" width="11.28515625" style="60" customWidth="1"/>
    <col min="8174" max="8174" width="16.28515625" style="60" customWidth="1"/>
    <col min="8175" max="8175" width="8.28515625" style="60" customWidth="1"/>
    <col min="8176" max="8176" width="10.28515625" style="60" customWidth="1"/>
    <col min="8177" max="8177" width="11.28515625" style="60" customWidth="1"/>
    <col min="8178" max="8178" width="9.7109375" style="60" customWidth="1"/>
    <col min="8179" max="8420" width="9.140625" style="60" customWidth="1"/>
    <col min="8421" max="8421" width="30.140625" style="60" customWidth="1"/>
    <col min="8422" max="8422" width="52.140625" style="60" customWidth="1"/>
    <col min="8423" max="8423" width="47.7109375" style="60" customWidth="1"/>
    <col min="8424" max="8424" width="13.28515625" style="60" customWidth="1"/>
    <col min="8425" max="8425" width="9.85546875" style="60" customWidth="1"/>
    <col min="8426" max="8426" width="17.140625" style="60" customWidth="1"/>
    <col min="8427" max="8427" width="9.140625" style="60" customWidth="1"/>
    <col min="8428" max="8428" width="10.85546875" style="60" customWidth="1"/>
    <col min="8429" max="8429" width="11.28515625" style="60" customWidth="1"/>
    <col min="8430" max="8430" width="16.28515625" style="60" customWidth="1"/>
    <col min="8431" max="8431" width="8.28515625" style="60" customWidth="1"/>
    <col min="8432" max="8432" width="10.28515625" style="60" customWidth="1"/>
    <col min="8433" max="8433" width="11.28515625" style="60" customWidth="1"/>
    <col min="8434" max="8434" width="9.7109375" style="60" customWidth="1"/>
    <col min="8435" max="8676" width="9.140625" style="60" customWidth="1"/>
    <col min="8677" max="8677" width="30.140625" style="60" customWidth="1"/>
    <col min="8678" max="8678" width="52.140625" style="60" customWidth="1"/>
    <col min="8679" max="8679" width="47.7109375" style="60" customWidth="1"/>
    <col min="8680" max="8680" width="13.28515625" style="60" customWidth="1"/>
    <col min="8681" max="8681" width="9.85546875" style="60" customWidth="1"/>
    <col min="8682" max="8682" width="17.140625" style="60" customWidth="1"/>
    <col min="8683" max="8683" width="9.140625" style="60" customWidth="1"/>
    <col min="8684" max="8684" width="10.85546875" style="60" customWidth="1"/>
    <col min="8685" max="8685" width="11.28515625" style="60" customWidth="1"/>
    <col min="8686" max="8686" width="16.28515625" style="60" customWidth="1"/>
    <col min="8687" max="8687" width="8.28515625" style="60" customWidth="1"/>
    <col min="8688" max="8688" width="10.28515625" style="60" customWidth="1"/>
    <col min="8689" max="8689" width="11.28515625" style="60" customWidth="1"/>
    <col min="8690" max="8690" width="9.7109375" style="60" customWidth="1"/>
    <col min="8691" max="8932" width="9.140625" style="60" customWidth="1"/>
    <col min="8933" max="8933" width="30.140625" style="60" customWidth="1"/>
    <col min="8934" max="8934" width="52.140625" style="60" customWidth="1"/>
    <col min="8935" max="8935" width="47.7109375" style="60" customWidth="1"/>
    <col min="8936" max="8936" width="13.28515625" style="60" customWidth="1"/>
    <col min="8937" max="8937" width="9.85546875" style="60" customWidth="1"/>
    <col min="8938" max="8938" width="17.140625" style="60" customWidth="1"/>
    <col min="8939" max="8939" width="9.140625" style="60" customWidth="1"/>
    <col min="8940" max="8940" width="10.85546875" style="60" customWidth="1"/>
    <col min="8941" max="8941" width="11.28515625" style="60" customWidth="1"/>
    <col min="8942" max="8942" width="16.28515625" style="60" customWidth="1"/>
    <col min="8943" max="8943" width="8.28515625" style="60" customWidth="1"/>
    <col min="8944" max="8944" width="10.28515625" style="60" customWidth="1"/>
    <col min="8945" max="8945" width="11.28515625" style="60" customWidth="1"/>
    <col min="8946" max="8946" width="9.7109375" style="60" customWidth="1"/>
    <col min="8947" max="9188" width="9.140625" style="60" customWidth="1"/>
    <col min="9189" max="9189" width="30.140625" style="60" customWidth="1"/>
    <col min="9190" max="9190" width="52.140625" style="60" customWidth="1"/>
    <col min="9191" max="9191" width="47.7109375" style="60" customWidth="1"/>
    <col min="9192" max="9192" width="13.28515625" style="60" customWidth="1"/>
    <col min="9193" max="9193" width="9.85546875" style="60" customWidth="1"/>
    <col min="9194" max="9194" width="17.140625" style="60" customWidth="1"/>
    <col min="9195" max="9195" width="9.140625" style="60" customWidth="1"/>
    <col min="9196" max="9196" width="10.85546875" style="60" customWidth="1"/>
    <col min="9197" max="9197" width="11.28515625" style="60" customWidth="1"/>
    <col min="9198" max="9198" width="16.28515625" style="60" customWidth="1"/>
    <col min="9199" max="9199" width="8.28515625" style="60" customWidth="1"/>
    <col min="9200" max="9200" width="10.28515625" style="60" customWidth="1"/>
    <col min="9201" max="9201" width="11.28515625" style="60" customWidth="1"/>
    <col min="9202" max="9202" width="9.7109375" style="60" customWidth="1"/>
    <col min="9203" max="9444" width="9.140625" style="60" customWidth="1"/>
    <col min="9445" max="9445" width="30.140625" style="60" customWidth="1"/>
    <col min="9446" max="9446" width="52.140625" style="60" customWidth="1"/>
    <col min="9447" max="9447" width="47.7109375" style="60" customWidth="1"/>
    <col min="9448" max="9448" width="13.28515625" style="60" customWidth="1"/>
    <col min="9449" max="9449" width="9.85546875" style="60" customWidth="1"/>
    <col min="9450" max="9450" width="17.140625" style="60" customWidth="1"/>
    <col min="9451" max="9451" width="9.140625" style="60" customWidth="1"/>
    <col min="9452" max="9452" width="10.85546875" style="60" customWidth="1"/>
    <col min="9453" max="9453" width="11.28515625" style="60" customWidth="1"/>
    <col min="9454" max="9454" width="16.28515625" style="60" customWidth="1"/>
    <col min="9455" max="9455" width="8.28515625" style="60" customWidth="1"/>
    <col min="9456" max="9456" width="10.28515625" style="60" customWidth="1"/>
    <col min="9457" max="9457" width="11.28515625" style="60" customWidth="1"/>
    <col min="9458" max="9458" width="9.7109375" style="60" customWidth="1"/>
    <col min="9459" max="9700" width="9.140625" style="60" customWidth="1"/>
    <col min="9701" max="9701" width="30.140625" style="60" customWidth="1"/>
    <col min="9702" max="9702" width="52.140625" style="60" customWidth="1"/>
    <col min="9703" max="9703" width="47.7109375" style="60" customWidth="1"/>
    <col min="9704" max="9704" width="13.28515625" style="60" customWidth="1"/>
    <col min="9705" max="9705" width="9.85546875" style="60" customWidth="1"/>
    <col min="9706" max="9706" width="17.140625" style="60" customWidth="1"/>
    <col min="9707" max="9707" width="9.140625" style="60" customWidth="1"/>
    <col min="9708" max="9708" width="10.85546875" style="60" customWidth="1"/>
    <col min="9709" max="9709" width="11.28515625" style="60" customWidth="1"/>
    <col min="9710" max="9710" width="16.28515625" style="60" customWidth="1"/>
    <col min="9711" max="9711" width="8.28515625" style="60" customWidth="1"/>
    <col min="9712" max="9712" width="10.28515625" style="60" customWidth="1"/>
    <col min="9713" max="9713" width="11.28515625" style="60" customWidth="1"/>
    <col min="9714" max="9714" width="9.7109375" style="60" customWidth="1"/>
    <col min="9715" max="9956" width="9.140625" style="60" customWidth="1"/>
    <col min="9957" max="9957" width="30.140625" style="60" customWidth="1"/>
    <col min="9958" max="9958" width="52.140625" style="60" customWidth="1"/>
    <col min="9959" max="9959" width="47.7109375" style="60" customWidth="1"/>
    <col min="9960" max="9960" width="13.28515625" style="60" customWidth="1"/>
    <col min="9961" max="9961" width="9.85546875" style="60" customWidth="1"/>
    <col min="9962" max="9962" width="17.140625" style="60" customWidth="1"/>
    <col min="9963" max="9963" width="9.140625" style="60" customWidth="1"/>
    <col min="9964" max="9964" width="10.85546875" style="60" customWidth="1"/>
    <col min="9965" max="9965" width="11.28515625" style="60" customWidth="1"/>
    <col min="9966" max="9966" width="16.28515625" style="60" customWidth="1"/>
    <col min="9967" max="9967" width="8.28515625" style="60" customWidth="1"/>
    <col min="9968" max="9968" width="10.28515625" style="60" customWidth="1"/>
    <col min="9969" max="9969" width="11.28515625" style="60" customWidth="1"/>
    <col min="9970" max="9970" width="9.7109375" style="60" customWidth="1"/>
    <col min="9971" max="10212" width="9.140625" style="60" customWidth="1"/>
    <col min="10213" max="10213" width="30.140625" style="60" customWidth="1"/>
    <col min="10214" max="10214" width="52.140625" style="60" customWidth="1"/>
    <col min="10215" max="10215" width="47.7109375" style="60" customWidth="1"/>
    <col min="10216" max="10216" width="13.28515625" style="60" customWidth="1"/>
    <col min="10217" max="10217" width="9.85546875" style="60" customWidth="1"/>
    <col min="10218" max="10218" width="17.140625" style="60" customWidth="1"/>
    <col min="10219" max="10219" width="9.140625" style="60" customWidth="1"/>
    <col min="10220" max="10220" width="10.85546875" style="60" customWidth="1"/>
    <col min="10221" max="10221" width="11.28515625" style="60" customWidth="1"/>
    <col min="10222" max="10222" width="16.28515625" style="60" customWidth="1"/>
    <col min="10223" max="10223" width="8.28515625" style="60" customWidth="1"/>
    <col min="10224" max="10224" width="10.28515625" style="60" customWidth="1"/>
    <col min="10225" max="10225" width="11.28515625" style="60" customWidth="1"/>
    <col min="10226" max="10226" width="9.7109375" style="60" customWidth="1"/>
    <col min="10227" max="10468" width="9.140625" style="60" customWidth="1"/>
    <col min="10469" max="10469" width="30.140625" style="60" customWidth="1"/>
    <col min="10470" max="10470" width="52.140625" style="60" customWidth="1"/>
    <col min="10471" max="10471" width="47.7109375" style="60" customWidth="1"/>
    <col min="10472" max="10472" width="13.28515625" style="60" customWidth="1"/>
    <col min="10473" max="10473" width="9.85546875" style="60" customWidth="1"/>
    <col min="10474" max="10474" width="17.140625" style="60" customWidth="1"/>
    <col min="10475" max="10475" width="9.140625" style="60" customWidth="1"/>
    <col min="10476" max="10476" width="10.85546875" style="60" customWidth="1"/>
    <col min="10477" max="10477" width="11.28515625" style="60" customWidth="1"/>
    <col min="10478" max="10478" width="16.28515625" style="60" customWidth="1"/>
    <col min="10479" max="10479" width="8.28515625" style="60" customWidth="1"/>
    <col min="10480" max="10480" width="10.28515625" style="60" customWidth="1"/>
    <col min="10481" max="10481" width="11.28515625" style="60" customWidth="1"/>
    <col min="10482" max="10482" width="9.7109375" style="60" customWidth="1"/>
    <col min="10483" max="10724" width="9.140625" style="60" customWidth="1"/>
    <col min="10725" max="10725" width="30.140625" style="60" customWidth="1"/>
    <col min="10726" max="10726" width="52.140625" style="60" customWidth="1"/>
    <col min="10727" max="10727" width="47.7109375" style="60" customWidth="1"/>
    <col min="10728" max="10728" width="13.28515625" style="60" customWidth="1"/>
    <col min="10729" max="10729" width="9.85546875" style="60" customWidth="1"/>
    <col min="10730" max="10730" width="17.140625" style="60" customWidth="1"/>
    <col min="10731" max="10731" width="9.140625" style="60" customWidth="1"/>
    <col min="10732" max="10732" width="10.85546875" style="60" customWidth="1"/>
    <col min="10733" max="10733" width="11.28515625" style="60" customWidth="1"/>
    <col min="10734" max="10734" width="16.28515625" style="60" customWidth="1"/>
    <col min="10735" max="10735" width="8.28515625" style="60" customWidth="1"/>
    <col min="10736" max="10736" width="10.28515625" style="60" customWidth="1"/>
    <col min="10737" max="10737" width="11.28515625" style="60" customWidth="1"/>
    <col min="10738" max="10738" width="9.7109375" style="60" customWidth="1"/>
    <col min="10739" max="10980" width="9.140625" style="60" customWidth="1"/>
    <col min="10981" max="10981" width="30.140625" style="60" customWidth="1"/>
    <col min="10982" max="10982" width="52.140625" style="60" customWidth="1"/>
    <col min="10983" max="10983" width="47.7109375" style="60" customWidth="1"/>
    <col min="10984" max="10984" width="13.28515625" style="60" customWidth="1"/>
    <col min="10985" max="10985" width="9.85546875" style="60" customWidth="1"/>
    <col min="10986" max="10986" width="17.140625" style="60" customWidth="1"/>
    <col min="10987" max="10987" width="9.140625" style="60" customWidth="1"/>
    <col min="10988" max="10988" width="10.85546875" style="60" customWidth="1"/>
    <col min="10989" max="10989" width="11.28515625" style="60" customWidth="1"/>
    <col min="10990" max="10990" width="16.28515625" style="60" customWidth="1"/>
    <col min="10991" max="10991" width="8.28515625" style="60" customWidth="1"/>
    <col min="10992" max="10992" width="10.28515625" style="60" customWidth="1"/>
    <col min="10993" max="10993" width="11.28515625" style="60" customWidth="1"/>
    <col min="10994" max="10994" width="9.7109375" style="60" customWidth="1"/>
    <col min="10995" max="11236" width="9.140625" style="60" customWidth="1"/>
    <col min="11237" max="11237" width="30.140625" style="60" customWidth="1"/>
    <col min="11238" max="11238" width="52.140625" style="60" customWidth="1"/>
    <col min="11239" max="11239" width="47.7109375" style="60" customWidth="1"/>
    <col min="11240" max="11240" width="13.28515625" style="60" customWidth="1"/>
    <col min="11241" max="11241" width="9.85546875" style="60" customWidth="1"/>
    <col min="11242" max="11242" width="17.140625" style="60" customWidth="1"/>
    <col min="11243" max="11243" width="9.140625" style="60" customWidth="1"/>
    <col min="11244" max="11244" width="10.85546875" style="60" customWidth="1"/>
    <col min="11245" max="11245" width="11.28515625" style="60" customWidth="1"/>
    <col min="11246" max="11246" width="16.28515625" style="60" customWidth="1"/>
    <col min="11247" max="11247" width="8.28515625" style="60" customWidth="1"/>
    <col min="11248" max="11248" width="10.28515625" style="60" customWidth="1"/>
    <col min="11249" max="11249" width="11.28515625" style="60" customWidth="1"/>
    <col min="11250" max="11250" width="9.7109375" style="60" customWidth="1"/>
    <col min="11251" max="11492" width="9.140625" style="60" customWidth="1"/>
    <col min="11493" max="11493" width="30.140625" style="60" customWidth="1"/>
    <col min="11494" max="11494" width="52.140625" style="60" customWidth="1"/>
    <col min="11495" max="11495" width="47.7109375" style="60" customWidth="1"/>
    <col min="11496" max="11496" width="13.28515625" style="60" customWidth="1"/>
    <col min="11497" max="11497" width="9.85546875" style="60" customWidth="1"/>
    <col min="11498" max="11498" width="17.140625" style="60" customWidth="1"/>
    <col min="11499" max="11499" width="9.140625" style="60" customWidth="1"/>
    <col min="11500" max="11500" width="10.85546875" style="60" customWidth="1"/>
    <col min="11501" max="11501" width="11.28515625" style="60" customWidth="1"/>
    <col min="11502" max="11502" width="16.28515625" style="60" customWidth="1"/>
    <col min="11503" max="11503" width="8.28515625" style="60" customWidth="1"/>
    <col min="11504" max="11504" width="10.28515625" style="60" customWidth="1"/>
    <col min="11505" max="11505" width="11.28515625" style="60" customWidth="1"/>
    <col min="11506" max="11506" width="9.7109375" style="60" customWidth="1"/>
    <col min="11507" max="11748" width="9.140625" style="60" customWidth="1"/>
    <col min="11749" max="11749" width="30.140625" style="60" customWidth="1"/>
    <col min="11750" max="11750" width="52.140625" style="60" customWidth="1"/>
    <col min="11751" max="11751" width="47.7109375" style="60" customWidth="1"/>
    <col min="11752" max="11752" width="13.28515625" style="60" customWidth="1"/>
    <col min="11753" max="11753" width="9.85546875" style="60" customWidth="1"/>
    <col min="11754" max="11754" width="17.140625" style="60" customWidth="1"/>
    <col min="11755" max="11755" width="9.140625" style="60" customWidth="1"/>
    <col min="11756" max="11756" width="10.85546875" style="60" customWidth="1"/>
    <col min="11757" max="11757" width="11.28515625" style="60" customWidth="1"/>
    <col min="11758" max="11758" width="16.28515625" style="60" customWidth="1"/>
    <col min="11759" max="11759" width="8.28515625" style="60" customWidth="1"/>
    <col min="11760" max="11760" width="10.28515625" style="60" customWidth="1"/>
    <col min="11761" max="11761" width="11.28515625" style="60" customWidth="1"/>
    <col min="11762" max="11762" width="9.7109375" style="60" customWidth="1"/>
    <col min="11763" max="12004" width="9.140625" style="60" customWidth="1"/>
    <col min="12005" max="12005" width="30.140625" style="60" customWidth="1"/>
    <col min="12006" max="12006" width="52.140625" style="60" customWidth="1"/>
    <col min="12007" max="12007" width="47.7109375" style="60" customWidth="1"/>
    <col min="12008" max="12008" width="13.28515625" style="60" customWidth="1"/>
    <col min="12009" max="12009" width="9.85546875" style="60" customWidth="1"/>
    <col min="12010" max="12010" width="17.140625" style="60" customWidth="1"/>
    <col min="12011" max="12011" width="9.140625" style="60" customWidth="1"/>
    <col min="12012" max="12012" width="10.85546875" style="60" customWidth="1"/>
    <col min="12013" max="12013" width="11.28515625" style="60" customWidth="1"/>
    <col min="12014" max="12014" width="16.28515625" style="60" customWidth="1"/>
    <col min="12015" max="12015" width="8.28515625" style="60" customWidth="1"/>
    <col min="12016" max="12016" width="10.28515625" style="60" customWidth="1"/>
    <col min="12017" max="12017" width="11.28515625" style="60" customWidth="1"/>
    <col min="12018" max="12018" width="9.7109375" style="60" customWidth="1"/>
    <col min="12019" max="12260" width="9.140625" style="60" customWidth="1"/>
    <col min="12261" max="12261" width="30.140625" style="60" customWidth="1"/>
    <col min="12262" max="12262" width="52.140625" style="60" customWidth="1"/>
    <col min="12263" max="12263" width="47.7109375" style="60" customWidth="1"/>
    <col min="12264" max="12264" width="13.28515625" style="60" customWidth="1"/>
    <col min="12265" max="12265" width="9.85546875" style="60" customWidth="1"/>
    <col min="12266" max="12266" width="17.140625" style="60" customWidth="1"/>
    <col min="12267" max="12267" width="9.140625" style="60" customWidth="1"/>
    <col min="12268" max="12268" width="10.85546875" style="60" customWidth="1"/>
    <col min="12269" max="12269" width="11.28515625" style="60" customWidth="1"/>
    <col min="12270" max="12270" width="16.28515625" style="60" customWidth="1"/>
    <col min="12271" max="12271" width="8.28515625" style="60" customWidth="1"/>
    <col min="12272" max="12272" width="10.28515625" style="60" customWidth="1"/>
    <col min="12273" max="12273" width="11.28515625" style="60" customWidth="1"/>
    <col min="12274" max="12274" width="9.7109375" style="60" customWidth="1"/>
    <col min="12275" max="12516" width="9.140625" style="60" customWidth="1"/>
    <col min="12517" max="12517" width="30.140625" style="60" customWidth="1"/>
    <col min="12518" max="12518" width="52.140625" style="60" customWidth="1"/>
    <col min="12519" max="12519" width="47.7109375" style="60" customWidth="1"/>
    <col min="12520" max="12520" width="13.28515625" style="60" customWidth="1"/>
    <col min="12521" max="12521" width="9.85546875" style="60" customWidth="1"/>
    <col min="12522" max="12522" width="17.140625" style="60" customWidth="1"/>
    <col min="12523" max="12523" width="9.140625" style="60" customWidth="1"/>
    <col min="12524" max="12524" width="10.85546875" style="60" customWidth="1"/>
    <col min="12525" max="12525" width="11.28515625" style="60" customWidth="1"/>
    <col min="12526" max="12526" width="16.28515625" style="60" customWidth="1"/>
    <col min="12527" max="12527" width="8.28515625" style="60" customWidth="1"/>
    <col min="12528" max="12528" width="10.28515625" style="60" customWidth="1"/>
    <col min="12529" max="12529" width="11.28515625" style="60" customWidth="1"/>
    <col min="12530" max="12530" width="9.7109375" style="60" customWidth="1"/>
    <col min="12531" max="12772" width="9.140625" style="60" customWidth="1"/>
    <col min="12773" max="12773" width="30.140625" style="60" customWidth="1"/>
    <col min="12774" max="12774" width="52.140625" style="60" customWidth="1"/>
    <col min="12775" max="12775" width="47.7109375" style="60" customWidth="1"/>
    <col min="12776" max="12776" width="13.28515625" style="60" customWidth="1"/>
    <col min="12777" max="12777" width="9.85546875" style="60" customWidth="1"/>
    <col min="12778" max="12778" width="17.140625" style="60" customWidth="1"/>
    <col min="12779" max="12779" width="9.140625" style="60" customWidth="1"/>
    <col min="12780" max="12780" width="10.85546875" style="60" customWidth="1"/>
    <col min="12781" max="12781" width="11.28515625" style="60" customWidth="1"/>
    <col min="12782" max="12782" width="16.28515625" style="60" customWidth="1"/>
    <col min="12783" max="12783" width="8.28515625" style="60" customWidth="1"/>
    <col min="12784" max="12784" width="10.28515625" style="60" customWidth="1"/>
    <col min="12785" max="12785" width="11.28515625" style="60" customWidth="1"/>
    <col min="12786" max="12786" width="9.7109375" style="60" customWidth="1"/>
    <col min="12787" max="13028" width="9.140625" style="60" customWidth="1"/>
    <col min="13029" max="13029" width="30.140625" style="60" customWidth="1"/>
    <col min="13030" max="13030" width="52.140625" style="60" customWidth="1"/>
    <col min="13031" max="13031" width="47.7109375" style="60" customWidth="1"/>
    <col min="13032" max="13032" width="13.28515625" style="60" customWidth="1"/>
    <col min="13033" max="13033" width="9.85546875" style="60" customWidth="1"/>
    <col min="13034" max="13034" width="17.140625" style="60" customWidth="1"/>
    <col min="13035" max="13035" width="9.140625" style="60" customWidth="1"/>
    <col min="13036" max="13036" width="10.85546875" style="60" customWidth="1"/>
    <col min="13037" max="13037" width="11.28515625" style="60" customWidth="1"/>
    <col min="13038" max="13038" width="16.28515625" style="60" customWidth="1"/>
    <col min="13039" max="13039" width="8.28515625" style="60" customWidth="1"/>
    <col min="13040" max="13040" width="10.28515625" style="60" customWidth="1"/>
    <col min="13041" max="13041" width="11.28515625" style="60" customWidth="1"/>
    <col min="13042" max="13042" width="9.7109375" style="60" customWidth="1"/>
    <col min="13043" max="13284" width="9.140625" style="60" customWidth="1"/>
    <col min="13285" max="13285" width="30.140625" style="60" customWidth="1"/>
    <col min="13286" max="13286" width="52.140625" style="60" customWidth="1"/>
    <col min="13287" max="13287" width="47.7109375" style="60" customWidth="1"/>
    <col min="13288" max="13288" width="13.28515625" style="60" customWidth="1"/>
    <col min="13289" max="13289" width="9.85546875" style="60" customWidth="1"/>
    <col min="13290" max="13290" width="17.140625" style="60" customWidth="1"/>
    <col min="13291" max="13291" width="9.140625" style="60" customWidth="1"/>
    <col min="13292" max="13292" width="10.85546875" style="60" customWidth="1"/>
    <col min="13293" max="13293" width="11.28515625" style="60" customWidth="1"/>
    <col min="13294" max="13294" width="16.28515625" style="60" customWidth="1"/>
    <col min="13295" max="13295" width="8.28515625" style="60" customWidth="1"/>
    <col min="13296" max="13296" width="10.28515625" style="60" customWidth="1"/>
    <col min="13297" max="13297" width="11.28515625" style="60" customWidth="1"/>
    <col min="13298" max="13298" width="9.7109375" style="60" customWidth="1"/>
    <col min="13299" max="13540" width="9.140625" style="60" customWidth="1"/>
    <col min="13541" max="13541" width="30.140625" style="60" customWidth="1"/>
    <col min="13542" max="13542" width="52.140625" style="60" customWidth="1"/>
    <col min="13543" max="13543" width="47.7109375" style="60" customWidth="1"/>
    <col min="13544" max="13544" width="13.28515625" style="60" customWidth="1"/>
    <col min="13545" max="13545" width="9.85546875" style="60" customWidth="1"/>
    <col min="13546" max="13546" width="17.140625" style="60" customWidth="1"/>
    <col min="13547" max="13547" width="9.140625" style="60" customWidth="1"/>
    <col min="13548" max="13548" width="10.85546875" style="60" customWidth="1"/>
    <col min="13549" max="13549" width="11.28515625" style="60" customWidth="1"/>
    <col min="13550" max="13550" width="16.28515625" style="60" customWidth="1"/>
    <col min="13551" max="13551" width="8.28515625" style="60" customWidth="1"/>
    <col min="13552" max="13552" width="10.28515625" style="60" customWidth="1"/>
    <col min="13553" max="13553" width="11.28515625" style="60" customWidth="1"/>
    <col min="13554" max="13554" width="9.7109375" style="60" customWidth="1"/>
    <col min="13555" max="13796" width="9.140625" style="60" customWidth="1"/>
    <col min="13797" max="13797" width="30.140625" style="60" customWidth="1"/>
    <col min="13798" max="13798" width="52.140625" style="60" customWidth="1"/>
    <col min="13799" max="13799" width="47.7109375" style="60" customWidth="1"/>
    <col min="13800" max="13800" width="13.28515625" style="60" customWidth="1"/>
    <col min="13801" max="13801" width="9.85546875" style="60" customWidth="1"/>
    <col min="13802" max="13802" width="17.140625" style="60" customWidth="1"/>
    <col min="13803" max="13803" width="9.140625" style="60" customWidth="1"/>
    <col min="13804" max="13804" width="10.85546875" style="60" customWidth="1"/>
    <col min="13805" max="13805" width="11.28515625" style="60" customWidth="1"/>
    <col min="13806" max="13806" width="16.28515625" style="60" customWidth="1"/>
    <col min="13807" max="13807" width="8.28515625" style="60" customWidth="1"/>
    <col min="13808" max="13808" width="10.28515625" style="60" customWidth="1"/>
    <col min="13809" max="13809" width="11.28515625" style="60" customWidth="1"/>
    <col min="13810" max="13810" width="9.7109375" style="60" customWidth="1"/>
    <col min="13811" max="14052" width="9.140625" style="60" customWidth="1"/>
    <col min="14053" max="14053" width="30.140625" style="60" customWidth="1"/>
    <col min="14054" max="14054" width="52.140625" style="60" customWidth="1"/>
    <col min="14055" max="14055" width="47.7109375" style="60" customWidth="1"/>
    <col min="14056" max="14056" width="13.28515625" style="60" customWidth="1"/>
    <col min="14057" max="14057" width="9.85546875" style="60" customWidth="1"/>
    <col min="14058" max="14058" width="17.140625" style="60" customWidth="1"/>
    <col min="14059" max="14059" width="9.140625" style="60" customWidth="1"/>
    <col min="14060" max="14060" width="10.85546875" style="60" customWidth="1"/>
    <col min="14061" max="14061" width="11.28515625" style="60" customWidth="1"/>
    <col min="14062" max="14062" width="16.28515625" style="60" customWidth="1"/>
    <col min="14063" max="14063" width="8.28515625" style="60" customWidth="1"/>
    <col min="14064" max="14064" width="10.28515625" style="60" customWidth="1"/>
    <col min="14065" max="14065" width="11.28515625" style="60" customWidth="1"/>
    <col min="14066" max="14066" width="9.7109375" style="60" customWidth="1"/>
    <col min="14067" max="14308" width="9.140625" style="60" customWidth="1"/>
    <col min="14309" max="14309" width="30.140625" style="60" customWidth="1"/>
    <col min="14310" max="14310" width="52.140625" style="60" customWidth="1"/>
    <col min="14311" max="14311" width="47.7109375" style="60" customWidth="1"/>
    <col min="14312" max="14312" width="13.28515625" style="60" customWidth="1"/>
    <col min="14313" max="14313" width="9.85546875" style="60" customWidth="1"/>
    <col min="14314" max="14314" width="17.140625" style="60" customWidth="1"/>
    <col min="14315" max="14315" width="9.140625" style="60" customWidth="1"/>
    <col min="14316" max="14316" width="10.85546875" style="60" customWidth="1"/>
    <col min="14317" max="14317" width="11.28515625" style="60" customWidth="1"/>
    <col min="14318" max="14318" width="16.28515625" style="60" customWidth="1"/>
    <col min="14319" max="14319" width="8.28515625" style="60" customWidth="1"/>
    <col min="14320" max="14320" width="10.28515625" style="60" customWidth="1"/>
    <col min="14321" max="14321" width="11.28515625" style="60" customWidth="1"/>
    <col min="14322" max="14322" width="9.7109375" style="60" customWidth="1"/>
    <col min="14323" max="14564" width="9.140625" style="60" customWidth="1"/>
    <col min="14565" max="14565" width="30.140625" style="60" customWidth="1"/>
    <col min="14566" max="14566" width="52.140625" style="60" customWidth="1"/>
    <col min="14567" max="14567" width="47.7109375" style="60" customWidth="1"/>
    <col min="14568" max="14568" width="13.28515625" style="60" customWidth="1"/>
    <col min="14569" max="14569" width="9.85546875" style="60" customWidth="1"/>
    <col min="14570" max="14570" width="17.140625" style="60" customWidth="1"/>
    <col min="14571" max="14571" width="9.140625" style="60" customWidth="1"/>
    <col min="14572" max="14572" width="10.85546875" style="60" customWidth="1"/>
    <col min="14573" max="14573" width="11.28515625" style="60" customWidth="1"/>
    <col min="14574" max="14574" width="16.28515625" style="60" customWidth="1"/>
    <col min="14575" max="14575" width="8.28515625" style="60" customWidth="1"/>
    <col min="14576" max="14576" width="10.28515625" style="60" customWidth="1"/>
    <col min="14577" max="14577" width="11.28515625" style="60" customWidth="1"/>
    <col min="14578" max="14578" width="9.7109375" style="60" customWidth="1"/>
    <col min="14579" max="14820" width="9.140625" style="60" customWidth="1"/>
    <col min="14821" max="14821" width="30.140625" style="60" customWidth="1"/>
    <col min="14822" max="14822" width="52.140625" style="60" customWidth="1"/>
    <col min="14823" max="14823" width="47.7109375" style="60" customWidth="1"/>
    <col min="14824" max="14824" width="13.28515625" style="60" customWidth="1"/>
    <col min="14825" max="14825" width="9.85546875" style="60" customWidth="1"/>
    <col min="14826" max="14826" width="17.140625" style="60" customWidth="1"/>
    <col min="14827" max="14827" width="9.140625" style="60" customWidth="1"/>
    <col min="14828" max="14828" width="10.85546875" style="60" customWidth="1"/>
    <col min="14829" max="14829" width="11.28515625" style="60" customWidth="1"/>
    <col min="14830" max="14830" width="16.28515625" style="60" customWidth="1"/>
    <col min="14831" max="14831" width="8.28515625" style="60" customWidth="1"/>
    <col min="14832" max="14832" width="10.28515625" style="60" customWidth="1"/>
    <col min="14833" max="14833" width="11.28515625" style="60" customWidth="1"/>
    <col min="14834" max="14834" width="9.7109375" style="60" customWidth="1"/>
    <col min="14835" max="15076" width="9.140625" style="60" customWidth="1"/>
    <col min="15077" max="15077" width="30.140625" style="60" customWidth="1"/>
    <col min="15078" max="15078" width="52.140625" style="60" customWidth="1"/>
    <col min="15079" max="15079" width="47.7109375" style="60" customWidth="1"/>
    <col min="15080" max="15080" width="13.28515625" style="60" customWidth="1"/>
    <col min="15081" max="15081" width="9.85546875" style="60" customWidth="1"/>
    <col min="15082" max="15082" width="17.140625" style="60" customWidth="1"/>
    <col min="15083" max="15083" width="9.140625" style="60" customWidth="1"/>
    <col min="15084" max="15084" width="10.85546875" style="60" customWidth="1"/>
    <col min="15085" max="15085" width="11.28515625" style="60" customWidth="1"/>
    <col min="15086" max="15086" width="16.28515625" style="60" customWidth="1"/>
    <col min="15087" max="15087" width="8.28515625" style="60" customWidth="1"/>
    <col min="15088" max="15088" width="10.28515625" style="60" customWidth="1"/>
    <col min="15089" max="15089" width="11.28515625" style="60" customWidth="1"/>
    <col min="15090" max="15090" width="9.7109375" style="60" customWidth="1"/>
    <col min="15091" max="15332" width="9.140625" style="60" customWidth="1"/>
    <col min="15333" max="15333" width="30.140625" style="60" customWidth="1"/>
    <col min="15334" max="15334" width="52.140625" style="60" customWidth="1"/>
    <col min="15335" max="15335" width="47.7109375" style="60" customWidth="1"/>
    <col min="15336" max="15336" width="13.28515625" style="60" customWidth="1"/>
    <col min="15337" max="15337" width="9.85546875" style="60" customWidth="1"/>
    <col min="15338" max="15338" width="17.140625" style="60" customWidth="1"/>
    <col min="15339" max="15339" width="9.140625" style="60" customWidth="1"/>
    <col min="15340" max="15340" width="10.85546875" style="60" customWidth="1"/>
    <col min="15341" max="15341" width="11.28515625" style="60" customWidth="1"/>
    <col min="15342" max="15342" width="16.28515625" style="60" customWidth="1"/>
    <col min="15343" max="15343" width="8.28515625" style="60" customWidth="1"/>
    <col min="15344" max="15344" width="10.28515625" style="60" customWidth="1"/>
    <col min="15345" max="15345" width="11.28515625" style="60" customWidth="1"/>
    <col min="15346" max="15346" width="9.7109375" style="60" customWidth="1"/>
    <col min="15347" max="15588" width="9.140625" style="60" customWidth="1"/>
    <col min="15589" max="15589" width="30.140625" style="60" customWidth="1"/>
    <col min="15590" max="15590" width="52.140625" style="60" customWidth="1"/>
    <col min="15591" max="15591" width="47.7109375" style="60" customWidth="1"/>
    <col min="15592" max="15592" width="13.28515625" style="60" customWidth="1"/>
    <col min="15593" max="15593" width="9.85546875" style="60" customWidth="1"/>
    <col min="15594" max="15594" width="17.140625" style="60" customWidth="1"/>
    <col min="15595" max="15595" width="9.140625" style="60" customWidth="1"/>
    <col min="15596" max="15596" width="10.85546875" style="60" customWidth="1"/>
    <col min="15597" max="15597" width="11.28515625" style="60" customWidth="1"/>
    <col min="15598" max="15598" width="16.28515625" style="60" customWidth="1"/>
    <col min="15599" max="15599" width="8.28515625" style="60" customWidth="1"/>
    <col min="15600" max="15600" width="10.28515625" style="60" customWidth="1"/>
    <col min="15601" max="15601" width="11.28515625" style="60" customWidth="1"/>
    <col min="15602" max="15602" width="9.7109375" style="60" customWidth="1"/>
    <col min="15603" max="15844" width="9.140625" style="60" customWidth="1"/>
    <col min="15845" max="15845" width="30.140625" style="60" customWidth="1"/>
    <col min="15846" max="15846" width="52.140625" style="60" customWidth="1"/>
    <col min="15847" max="15847" width="47.7109375" style="60" customWidth="1"/>
    <col min="15848" max="15848" width="13.28515625" style="60" customWidth="1"/>
    <col min="15849" max="15849" width="9.85546875" style="60" customWidth="1"/>
    <col min="15850" max="15850" width="17.140625" style="60" customWidth="1"/>
    <col min="15851" max="15851" width="9.140625" style="60" customWidth="1"/>
    <col min="15852" max="15852" width="10.85546875" style="60" customWidth="1"/>
    <col min="15853" max="15853" width="11.28515625" style="60" customWidth="1"/>
    <col min="15854" max="15854" width="16.28515625" style="60" customWidth="1"/>
    <col min="15855" max="15855" width="8.28515625" style="60" customWidth="1"/>
    <col min="15856" max="15856" width="10.28515625" style="60" customWidth="1"/>
    <col min="15857" max="15857" width="11.28515625" style="60" customWidth="1"/>
    <col min="15858" max="15858" width="9.7109375" style="60" customWidth="1"/>
    <col min="15859" max="16100" width="9.140625" style="60" customWidth="1"/>
    <col min="16101" max="16101" width="30.140625" style="60" customWidth="1"/>
    <col min="16102" max="16102" width="52.140625" style="60" customWidth="1"/>
    <col min="16103" max="16103" width="47.7109375" style="60" customWidth="1"/>
    <col min="16104" max="16104" width="13.28515625" style="60" customWidth="1"/>
    <col min="16105" max="16105" width="9.85546875" style="60" customWidth="1"/>
    <col min="16106" max="16106" width="17.140625" style="60" customWidth="1"/>
    <col min="16107" max="16107" width="9.140625" style="60" customWidth="1"/>
    <col min="16108" max="16108" width="10.85546875" style="60" customWidth="1"/>
    <col min="16109" max="16109" width="11.28515625" style="60" customWidth="1"/>
    <col min="16110" max="16110" width="16.28515625" style="60" customWidth="1"/>
    <col min="16111" max="16111" width="8.28515625" style="60" customWidth="1"/>
    <col min="16112" max="16112" width="10.28515625" style="60" customWidth="1"/>
    <col min="16113" max="16113" width="11.28515625" style="60" customWidth="1"/>
    <col min="16114" max="16114" width="9.7109375" style="60" customWidth="1"/>
    <col min="16115" max="16384" width="9.140625" style="60" customWidth="1"/>
  </cols>
  <sheetData>
    <row r="1" spans="1:16" x14ac:dyDescent="0.25">
      <c r="A1" s="171" t="s">
        <v>142</v>
      </c>
      <c r="B1" s="205" t="s">
        <v>143</v>
      </c>
      <c r="C1" s="171" t="s">
        <v>144</v>
      </c>
      <c r="D1" s="171" t="s">
        <v>145</v>
      </c>
      <c r="E1" s="171" t="s">
        <v>146</v>
      </c>
      <c r="F1" s="171" t="s">
        <v>147</v>
      </c>
      <c r="G1" s="171" t="s">
        <v>148</v>
      </c>
      <c r="H1" s="171" t="s">
        <v>149</v>
      </c>
      <c r="I1" s="173" t="s">
        <v>150</v>
      </c>
      <c r="J1" s="173" t="s">
        <v>151</v>
      </c>
      <c r="K1" s="171" t="s">
        <v>152</v>
      </c>
      <c r="L1" s="173" t="s">
        <v>127</v>
      </c>
      <c r="M1" s="206" t="s">
        <v>81</v>
      </c>
      <c r="N1" s="206" t="s">
        <v>127</v>
      </c>
      <c r="O1" s="206" t="s">
        <v>81</v>
      </c>
      <c r="P1" s="206" t="s">
        <v>127</v>
      </c>
    </row>
    <row r="2" spans="1:16" ht="14.45" x14ac:dyDescent="0.3">
      <c r="A2" s="258">
        <v>860687</v>
      </c>
      <c r="B2" s="259">
        <v>42949.375694444447</v>
      </c>
      <c r="C2" s="260">
        <v>30905830</v>
      </c>
      <c r="D2" s="260" t="s">
        <v>170</v>
      </c>
      <c r="E2" s="260" t="s">
        <v>174</v>
      </c>
      <c r="F2" s="260" t="s">
        <v>176</v>
      </c>
      <c r="G2" s="260" t="s">
        <v>424</v>
      </c>
      <c r="H2" s="260" t="s">
        <v>174</v>
      </c>
      <c r="I2" s="261">
        <v>5000</v>
      </c>
      <c r="J2" s="261"/>
      <c r="K2" s="260">
        <v>644940</v>
      </c>
      <c r="L2" s="193">
        <f>I2+J2*EERR!$D$2</f>
        <v>5000</v>
      </c>
      <c r="M2" s="123">
        <f>L2/EERR!$D$2</f>
        <v>7.7610828262759215</v>
      </c>
      <c r="N2" s="123">
        <f>SUMIF(Agosto!$B$3:$B$92,A2,Agosto!$T$3:$T$92)</f>
        <v>0</v>
      </c>
    </row>
    <row r="3" spans="1:16" ht="14.45" x14ac:dyDescent="0.3">
      <c r="A3" s="258">
        <v>95557</v>
      </c>
      <c r="B3" s="259">
        <v>42949.666666666664</v>
      </c>
      <c r="C3" s="260">
        <v>30975278</v>
      </c>
      <c r="D3" s="260" t="s">
        <v>170</v>
      </c>
      <c r="E3" s="260" t="s">
        <v>171</v>
      </c>
      <c r="F3" s="260" t="s">
        <v>172</v>
      </c>
      <c r="G3" s="260" t="s">
        <v>770</v>
      </c>
      <c r="H3" s="260" t="s">
        <v>173</v>
      </c>
      <c r="I3" s="261"/>
      <c r="J3" s="261">
        <v>195</v>
      </c>
      <c r="K3" s="260">
        <v>19</v>
      </c>
      <c r="L3" s="193">
        <f>I3+J3*EERR!$D$2</f>
        <v>125626.8</v>
      </c>
      <c r="M3" s="123">
        <f>L3/EERR!$D$2</f>
        <v>195</v>
      </c>
      <c r="N3" s="123">
        <f>SUMIF(Agosto!$B$3:$B$92,A3,Agosto!$T$3:$T$92)</f>
        <v>376880.4</v>
      </c>
    </row>
    <row r="4" spans="1:16" ht="14.45" x14ac:dyDescent="0.3">
      <c r="A4" s="258">
        <v>11111</v>
      </c>
      <c r="B4" s="259">
        <v>42950.902083333334</v>
      </c>
      <c r="C4" s="260">
        <v>30905830</v>
      </c>
      <c r="D4" s="260" t="s">
        <v>170</v>
      </c>
      <c r="E4" s="260" t="s">
        <v>174</v>
      </c>
      <c r="F4" s="260" t="s">
        <v>175</v>
      </c>
      <c r="G4" s="260" t="s">
        <v>771</v>
      </c>
      <c r="H4" s="260" t="s">
        <v>174</v>
      </c>
      <c r="I4" s="261">
        <v>3000</v>
      </c>
      <c r="J4" s="261"/>
      <c r="K4" s="260" t="s">
        <v>772</v>
      </c>
      <c r="L4" s="193">
        <f>I4+J4*EERR!$D$2</f>
        <v>3000</v>
      </c>
      <c r="M4" s="123">
        <f>L4/EERR!$D$2</f>
        <v>4.6566496957655534</v>
      </c>
      <c r="N4" s="123">
        <f>SUMIF(Agosto!$B$3:$B$92,A4,Agosto!$T$3:$T$92)</f>
        <v>0</v>
      </c>
    </row>
    <row r="5" spans="1:16" ht="14.45" x14ac:dyDescent="0.3">
      <c r="A5" s="277">
        <v>87377</v>
      </c>
      <c r="B5" s="262">
        <v>42951.42291666667</v>
      </c>
      <c r="C5" s="294">
        <v>30975278</v>
      </c>
      <c r="D5" s="294" t="s">
        <v>170</v>
      </c>
      <c r="E5" s="294" t="s">
        <v>171</v>
      </c>
      <c r="F5" s="294" t="s">
        <v>175</v>
      </c>
      <c r="G5" s="294" t="s">
        <v>773</v>
      </c>
      <c r="H5" s="294" t="s">
        <v>173</v>
      </c>
      <c r="I5" s="295"/>
      <c r="J5" s="295">
        <v>780</v>
      </c>
      <c r="K5" s="294">
        <v>54347</v>
      </c>
      <c r="L5" s="193">
        <f>I5+J5*EERR!$D$2</f>
        <v>502507.2</v>
      </c>
      <c r="M5" s="123">
        <f>L5/EERR!$D$2</f>
        <v>780</v>
      </c>
      <c r="N5" s="123">
        <f>SUMIF(Agosto!$B$3:$B$92,A5,Agosto!$T$3:$T$92)</f>
        <v>628134</v>
      </c>
    </row>
    <row r="6" spans="1:16" ht="14.45" x14ac:dyDescent="0.3">
      <c r="A6" s="277">
        <v>40443</v>
      </c>
      <c r="B6" s="262">
        <v>42951.439583333333</v>
      </c>
      <c r="C6" s="294">
        <v>30905830</v>
      </c>
      <c r="D6" s="294" t="s">
        <v>170</v>
      </c>
      <c r="E6" s="294" t="s">
        <v>174</v>
      </c>
      <c r="F6" s="294" t="s">
        <v>175</v>
      </c>
      <c r="G6" s="294" t="s">
        <v>425</v>
      </c>
      <c r="H6" s="294" t="s">
        <v>174</v>
      </c>
      <c r="I6" s="295">
        <v>1000</v>
      </c>
      <c r="J6" s="295"/>
      <c r="K6" s="294">
        <v>363676</v>
      </c>
      <c r="L6" s="193">
        <f>I6+J6*EERR!$D$2</f>
        <v>1000</v>
      </c>
      <c r="M6" s="123">
        <f>L6/EERR!$D$2</f>
        <v>1.5522165652551845</v>
      </c>
      <c r="N6" s="123">
        <f>SUMIF(Agosto!$B$3:$B$92,A6,Agosto!$T$3:$T$92)</f>
        <v>0</v>
      </c>
    </row>
    <row r="7" spans="1:16" ht="14.45" x14ac:dyDescent="0.3">
      <c r="A7" s="258">
        <v>58649</v>
      </c>
      <c r="B7" s="259">
        <v>42951.519444444442</v>
      </c>
      <c r="C7" s="260">
        <v>30905830</v>
      </c>
      <c r="D7" s="260" t="s">
        <v>170</v>
      </c>
      <c r="E7" s="260" t="s">
        <v>174</v>
      </c>
      <c r="F7" s="260" t="s">
        <v>172</v>
      </c>
      <c r="G7" s="260" t="s">
        <v>774</v>
      </c>
      <c r="H7" s="260" t="s">
        <v>174</v>
      </c>
      <c r="I7" s="261">
        <v>407498</v>
      </c>
      <c r="J7" s="261"/>
      <c r="K7" s="260">
        <v>81</v>
      </c>
      <c r="L7" s="193">
        <f>I7+J7*EERR!$D$2</f>
        <v>407498</v>
      </c>
      <c r="M7" s="123">
        <f>L7/EERR!$D$2</f>
        <v>632.5251459083571</v>
      </c>
      <c r="N7" s="123">
        <f>SUMIF(Agosto!$B$3:$B$92,A7,Agosto!$T$3:$T$92)</f>
        <v>407498</v>
      </c>
    </row>
    <row r="8" spans="1:16" ht="14.45" x14ac:dyDescent="0.3">
      <c r="A8" s="258">
        <v>21710</v>
      </c>
      <c r="B8" s="259">
        <v>42951.612500000003</v>
      </c>
      <c r="C8" s="260">
        <v>30975278</v>
      </c>
      <c r="D8" s="260" t="s">
        <v>170</v>
      </c>
      <c r="E8" s="260" t="s">
        <v>171</v>
      </c>
      <c r="F8" s="260" t="s">
        <v>175</v>
      </c>
      <c r="G8" s="260" t="s">
        <v>775</v>
      </c>
      <c r="H8" s="260" t="s">
        <v>173</v>
      </c>
      <c r="I8" s="261"/>
      <c r="J8" s="261">
        <v>176</v>
      </c>
      <c r="K8" s="260" t="s">
        <v>776</v>
      </c>
      <c r="L8" s="193">
        <f>I8+J8*EERR!$D$2</f>
        <v>113386.24000000001</v>
      </c>
      <c r="M8" s="123">
        <f>L8/EERR!$D$2</f>
        <v>176</v>
      </c>
      <c r="N8" s="123">
        <f>SUMIF(Agosto!$B$3:$B$92,A8,Agosto!$T$3:$T$92)</f>
        <v>451934.36</v>
      </c>
    </row>
    <row r="9" spans="1:16" ht="14.45" x14ac:dyDescent="0.3">
      <c r="A9" s="258">
        <v>66678</v>
      </c>
      <c r="B9" s="259">
        <v>42951.617361111108</v>
      </c>
      <c r="C9" s="260">
        <v>30975278</v>
      </c>
      <c r="D9" s="260" t="s">
        <v>170</v>
      </c>
      <c r="E9" s="260" t="s">
        <v>171</v>
      </c>
      <c r="F9" s="260" t="s">
        <v>175</v>
      </c>
      <c r="G9" s="260" t="s">
        <v>777</v>
      </c>
      <c r="H9" s="260" t="s">
        <v>173</v>
      </c>
      <c r="I9" s="261"/>
      <c r="J9" s="261">
        <v>176</v>
      </c>
      <c r="K9" s="260">
        <v>16279</v>
      </c>
      <c r="L9" s="193">
        <f>I9+J9*EERR!$D$2</f>
        <v>113386.24000000001</v>
      </c>
      <c r="M9" s="123">
        <f>L9/EERR!$D$2</f>
        <v>176</v>
      </c>
      <c r="N9" s="123">
        <f>SUMIF(Agosto!$B$3:$B$92,A9,Agosto!$T$3:$T$92)</f>
        <v>678384.72</v>
      </c>
    </row>
    <row r="10" spans="1:16" ht="14.45" x14ac:dyDescent="0.3">
      <c r="A10" s="258">
        <v>68320</v>
      </c>
      <c r="B10" s="259">
        <v>42951.62777777778</v>
      </c>
      <c r="C10" s="260">
        <v>30975278</v>
      </c>
      <c r="D10" s="260" t="s">
        <v>170</v>
      </c>
      <c r="E10" s="260" t="s">
        <v>171</v>
      </c>
      <c r="F10" s="260" t="s">
        <v>175</v>
      </c>
      <c r="G10" s="260" t="s">
        <v>778</v>
      </c>
      <c r="H10" s="260" t="s">
        <v>173</v>
      </c>
      <c r="I10" s="261"/>
      <c r="J10" s="261">
        <v>195</v>
      </c>
      <c r="K10" s="260">
        <v>60110</v>
      </c>
      <c r="L10" s="193">
        <f>I10+J10*EERR!$D$2</f>
        <v>125626.8</v>
      </c>
      <c r="M10" s="123">
        <f>L10/EERR!$D$2</f>
        <v>195</v>
      </c>
      <c r="N10" s="123">
        <f>SUMIF(Agosto!$B$3:$B$92,A10,Agosto!$T$3:$T$92)</f>
        <v>753760.8</v>
      </c>
    </row>
    <row r="11" spans="1:16" ht="14.45" x14ac:dyDescent="0.3">
      <c r="A11" s="258">
        <v>83732</v>
      </c>
      <c r="B11" s="259">
        <v>42951.633333333331</v>
      </c>
      <c r="C11" s="260">
        <v>30975278</v>
      </c>
      <c r="D11" s="260" t="s">
        <v>170</v>
      </c>
      <c r="E11" s="260" t="s">
        <v>171</v>
      </c>
      <c r="F11" s="260" t="s">
        <v>175</v>
      </c>
      <c r="G11" s="260" t="s">
        <v>779</v>
      </c>
      <c r="H11" s="260" t="s">
        <v>173</v>
      </c>
      <c r="I11" s="261"/>
      <c r="J11" s="261">
        <v>176</v>
      </c>
      <c r="K11" s="260">
        <v>76331</v>
      </c>
      <c r="L11" s="193">
        <f>I11+J11*EERR!$D$2</f>
        <v>113386.24000000001</v>
      </c>
      <c r="M11" s="123">
        <f>L11/EERR!$D$2</f>
        <v>176</v>
      </c>
      <c r="N11" s="123">
        <f>SUMIF(Agosto!$B$3:$B$92,A11,Agosto!$T$3:$T$92)</f>
        <v>565320.6</v>
      </c>
    </row>
    <row r="12" spans="1:16" ht="14.45" x14ac:dyDescent="0.3">
      <c r="A12" s="258">
        <v>23892</v>
      </c>
      <c r="B12" s="259">
        <v>42951.635416666664</v>
      </c>
      <c r="C12" s="260">
        <v>30975278</v>
      </c>
      <c r="D12" s="260" t="s">
        <v>170</v>
      </c>
      <c r="E12" s="260" t="s">
        <v>171</v>
      </c>
      <c r="F12" s="260" t="s">
        <v>176</v>
      </c>
      <c r="G12" s="260" t="s">
        <v>780</v>
      </c>
      <c r="H12" s="260" t="s">
        <v>173</v>
      </c>
      <c r="I12" s="261"/>
      <c r="J12" s="261">
        <v>195</v>
      </c>
      <c r="K12" s="260">
        <v>474805</v>
      </c>
      <c r="L12" s="193">
        <f>I12+J12*EERR!$D$2</f>
        <v>125626.8</v>
      </c>
      <c r="M12" s="123">
        <f>L12/EERR!$D$2</f>
        <v>195</v>
      </c>
      <c r="N12" s="123">
        <f>SUMIF(Agosto!$B$3:$B$92,A12,Agosto!$T$3:$T$92)</f>
        <v>628134</v>
      </c>
    </row>
    <row r="13" spans="1:16" ht="14.45" x14ac:dyDescent="0.3">
      <c r="A13" s="258">
        <v>95847</v>
      </c>
      <c r="B13" s="259">
        <v>42951.637499999997</v>
      </c>
      <c r="C13" s="260">
        <v>30975278</v>
      </c>
      <c r="D13" s="260" t="s">
        <v>170</v>
      </c>
      <c r="E13" s="260" t="s">
        <v>171</v>
      </c>
      <c r="F13" s="260" t="s">
        <v>176</v>
      </c>
      <c r="G13" s="260" t="s">
        <v>781</v>
      </c>
      <c r="H13" s="260" t="s">
        <v>173</v>
      </c>
      <c r="I13" s="261"/>
      <c r="J13" s="261">
        <v>220</v>
      </c>
      <c r="K13" s="260">
        <v>139614</v>
      </c>
      <c r="L13" s="193">
        <f>I13+J13*EERR!$D$2</f>
        <v>141732.79999999999</v>
      </c>
      <c r="M13" s="123">
        <f>L13/EERR!$D$2</f>
        <v>219.99999999999997</v>
      </c>
      <c r="N13" s="123">
        <f>SUMIF(Agosto!$B$3:$B$92,A13,Agosto!$T$3:$T$92)</f>
        <v>141732.79999999999</v>
      </c>
    </row>
    <row r="14" spans="1:16" ht="14.45" x14ac:dyDescent="0.3">
      <c r="A14" s="258">
        <v>52897</v>
      </c>
      <c r="B14" s="259">
        <v>42952.618055555555</v>
      </c>
      <c r="C14" s="260">
        <v>30905830</v>
      </c>
      <c r="D14" s="260" t="s">
        <v>170</v>
      </c>
      <c r="E14" s="260" t="s">
        <v>174</v>
      </c>
      <c r="F14" s="260" t="s">
        <v>176</v>
      </c>
      <c r="G14" s="260" t="s">
        <v>444</v>
      </c>
      <c r="H14" s="260" t="s">
        <v>174</v>
      </c>
      <c r="I14" s="261">
        <v>452497</v>
      </c>
      <c r="J14" s="261"/>
      <c r="K14" s="260">
        <v>725287</v>
      </c>
      <c r="L14" s="193">
        <f>I14+J14*EERR!$D$2</f>
        <v>452497</v>
      </c>
      <c r="M14" s="123">
        <f>L14/EERR!$D$2</f>
        <v>702.37333912827512</v>
      </c>
      <c r="N14" s="123">
        <f>SUMIF(Agosto!$B$3:$B$92,A14,Agosto!$T$3:$T$92)</f>
        <v>914044</v>
      </c>
    </row>
    <row r="15" spans="1:16" ht="14.45" x14ac:dyDescent="0.3">
      <c r="A15" s="258">
        <v>82717</v>
      </c>
      <c r="B15" s="259">
        <v>42952.948611111111</v>
      </c>
      <c r="C15" s="260">
        <v>30975278</v>
      </c>
      <c r="D15" s="260" t="s">
        <v>170</v>
      </c>
      <c r="E15" s="260" t="s">
        <v>171</v>
      </c>
      <c r="F15" s="260" t="s">
        <v>175</v>
      </c>
      <c r="G15" s="260" t="s">
        <v>449</v>
      </c>
      <c r="H15" s="260" t="s">
        <v>173</v>
      </c>
      <c r="I15" s="261"/>
      <c r="J15" s="261">
        <v>878</v>
      </c>
      <c r="K15" s="260">
        <v>48429</v>
      </c>
      <c r="L15" s="193">
        <f>I15+J15*EERR!$D$2</f>
        <v>565642.72</v>
      </c>
      <c r="M15" s="123">
        <f>L15/EERR!$D$2</f>
        <v>878</v>
      </c>
      <c r="N15" s="123">
        <f>SUMIF(Agosto!$B$3:$B$92,A15,Agosto!$T$3:$T$92)</f>
        <v>678384.72</v>
      </c>
    </row>
    <row r="16" spans="1:16" ht="14.45" x14ac:dyDescent="0.3">
      <c r="A16" s="258">
        <v>84997</v>
      </c>
      <c r="B16" s="259">
        <v>42953.566666666666</v>
      </c>
      <c r="C16" s="260">
        <v>30975278</v>
      </c>
      <c r="D16" s="260" t="s">
        <v>170</v>
      </c>
      <c r="E16" s="260" t="s">
        <v>171</v>
      </c>
      <c r="F16" s="260" t="s">
        <v>176</v>
      </c>
      <c r="G16" s="260" t="s">
        <v>458</v>
      </c>
      <c r="H16" s="260" t="s">
        <v>173</v>
      </c>
      <c r="I16" s="261"/>
      <c r="J16" s="261">
        <v>390</v>
      </c>
      <c r="K16" s="260">
        <v>21482</v>
      </c>
      <c r="L16" s="193">
        <f>I16+J16*EERR!$D$2</f>
        <v>251253.6</v>
      </c>
      <c r="M16" s="123">
        <f>L16/EERR!$D$2</f>
        <v>390</v>
      </c>
      <c r="N16" s="123">
        <f>SUMIF(Agosto!$B$3:$B$92,A16,Agosto!$T$3:$T$92)</f>
        <v>376880.4</v>
      </c>
    </row>
    <row r="17" spans="1:14" ht="14.45" x14ac:dyDescent="0.3">
      <c r="A17" s="258">
        <v>6986</v>
      </c>
      <c r="B17" s="259">
        <v>42954.321527777778</v>
      </c>
      <c r="C17" s="260">
        <v>30975278</v>
      </c>
      <c r="D17" s="260" t="s">
        <v>170</v>
      </c>
      <c r="E17" s="260" t="s">
        <v>171</v>
      </c>
      <c r="F17" s="260" t="s">
        <v>176</v>
      </c>
      <c r="G17" s="260" t="s">
        <v>782</v>
      </c>
      <c r="H17" s="260" t="s">
        <v>173</v>
      </c>
      <c r="I17" s="261"/>
      <c r="J17" s="261">
        <v>585</v>
      </c>
      <c r="K17" s="260">
        <v>124022</v>
      </c>
      <c r="L17" s="193">
        <f>I17+J17*EERR!$D$2</f>
        <v>376880.4</v>
      </c>
      <c r="M17" s="123">
        <f>L17/EERR!$D$2</f>
        <v>585</v>
      </c>
      <c r="N17" s="123">
        <f>SUMIF(Agosto!$B$3:$B$92,A17,Agosto!$T$3:$T$92)</f>
        <v>1005014.4</v>
      </c>
    </row>
    <row r="18" spans="1:14" ht="14.45" x14ac:dyDescent="0.3">
      <c r="A18" s="258">
        <v>9239</v>
      </c>
      <c r="B18" s="259">
        <v>42954.820833333331</v>
      </c>
      <c r="C18" s="260">
        <v>30975278</v>
      </c>
      <c r="D18" s="260" t="s">
        <v>170</v>
      </c>
      <c r="E18" s="260" t="s">
        <v>171</v>
      </c>
      <c r="F18" s="260" t="s">
        <v>175</v>
      </c>
      <c r="G18" s="260" t="s">
        <v>783</v>
      </c>
      <c r="H18" s="260" t="s">
        <v>173</v>
      </c>
      <c r="I18" s="261"/>
      <c r="J18" s="261">
        <v>195</v>
      </c>
      <c r="K18" s="260">
        <v>85430</v>
      </c>
      <c r="L18" s="193">
        <f>I18+J18*EERR!$D$2</f>
        <v>125626.8</v>
      </c>
      <c r="M18" s="123">
        <f>L18/EERR!$D$2</f>
        <v>195</v>
      </c>
      <c r="N18" s="123">
        <f>SUMIF(Agosto!$B$3:$B$92,A18,Agosto!$T$3:$T$92)</f>
        <v>753760.8</v>
      </c>
    </row>
    <row r="19" spans="1:14" ht="14.45" x14ac:dyDescent="0.3">
      <c r="A19" s="258">
        <v>84997</v>
      </c>
      <c r="B19" s="259">
        <v>42956.452777777777</v>
      </c>
      <c r="C19" s="260">
        <v>30905830</v>
      </c>
      <c r="D19" s="260" t="s">
        <v>170</v>
      </c>
      <c r="E19" s="260" t="s">
        <v>174</v>
      </c>
      <c r="F19" s="260" t="s">
        <v>176</v>
      </c>
      <c r="G19" s="260" t="s">
        <v>458</v>
      </c>
      <c r="H19" s="260" t="s">
        <v>174</v>
      </c>
      <c r="I19" s="261">
        <v>3000</v>
      </c>
      <c r="J19" s="261"/>
      <c r="K19" s="260">
        <v>336478</v>
      </c>
      <c r="L19" s="193">
        <f>I19+J19*EERR!$D$2</f>
        <v>3000</v>
      </c>
      <c r="M19" s="123">
        <f>L19/EERR!$D$2</f>
        <v>4.6566496957655534</v>
      </c>
      <c r="N19" s="123">
        <f>SUMIF(Agosto!$B$3:$B$92,A19,Agosto!$T$3:$T$92)</f>
        <v>376880.4</v>
      </c>
    </row>
    <row r="20" spans="1:14" ht="14.45" x14ac:dyDescent="0.3">
      <c r="A20" s="258">
        <v>6404</v>
      </c>
      <c r="B20" s="259">
        <v>42956.554166666669</v>
      </c>
      <c r="C20" s="260">
        <v>30975278</v>
      </c>
      <c r="D20" s="260" t="s">
        <v>170</v>
      </c>
      <c r="E20" s="260" t="s">
        <v>171</v>
      </c>
      <c r="F20" s="260" t="s">
        <v>175</v>
      </c>
      <c r="G20" s="260" t="s">
        <v>784</v>
      </c>
      <c r="H20" s="260" t="s">
        <v>173</v>
      </c>
      <c r="I20" s="261"/>
      <c r="J20" s="261">
        <v>195</v>
      </c>
      <c r="K20" s="260">
        <v>183877</v>
      </c>
      <c r="L20" s="193">
        <f>I20+J20*EERR!$D$2</f>
        <v>125626.8</v>
      </c>
      <c r="M20" s="123">
        <f>L20/EERR!$D$2</f>
        <v>195</v>
      </c>
      <c r="N20" s="123">
        <f>SUMIF(Agosto!$B$3:$B$92,A20,Agosto!$T$3:$T$92)</f>
        <v>628134</v>
      </c>
    </row>
    <row r="21" spans="1:14" ht="14.45" x14ac:dyDescent="0.3">
      <c r="A21" s="258">
        <v>15880</v>
      </c>
      <c r="B21" s="259">
        <v>42956.555555555555</v>
      </c>
      <c r="C21" s="260">
        <v>30905830</v>
      </c>
      <c r="D21" s="260" t="s">
        <v>170</v>
      </c>
      <c r="E21" s="260" t="s">
        <v>174</v>
      </c>
      <c r="F21" s="260" t="s">
        <v>175</v>
      </c>
      <c r="G21" s="260" t="s">
        <v>785</v>
      </c>
      <c r="H21" s="260" t="s">
        <v>174</v>
      </c>
      <c r="I21" s="261">
        <v>150833</v>
      </c>
      <c r="J21" s="261"/>
      <c r="K21" s="260">
        <v>373008</v>
      </c>
      <c r="L21" s="193">
        <f>I21+J21*EERR!$D$2</f>
        <v>150833</v>
      </c>
      <c r="M21" s="123">
        <f>L21/EERR!$D$2</f>
        <v>234.12548118713522</v>
      </c>
      <c r="N21" s="123">
        <f>SUMIF(Agosto!$B$3:$B$92,A21,Agosto!$T$3:$T$92)</f>
        <v>0</v>
      </c>
    </row>
    <row r="22" spans="1:14" ht="14.45" x14ac:dyDescent="0.3">
      <c r="A22" s="258">
        <v>84142</v>
      </c>
      <c r="B22" s="259">
        <v>42956.556250000001</v>
      </c>
      <c r="C22" s="260">
        <v>30975278</v>
      </c>
      <c r="D22" s="260" t="s">
        <v>170</v>
      </c>
      <c r="E22" s="260" t="s">
        <v>171</v>
      </c>
      <c r="F22" s="260" t="s">
        <v>176</v>
      </c>
      <c r="G22" s="260" t="s">
        <v>786</v>
      </c>
      <c r="H22" s="260" t="s">
        <v>173</v>
      </c>
      <c r="I22" s="261"/>
      <c r="J22" s="261">
        <v>195</v>
      </c>
      <c r="K22" s="260">
        <v>58243</v>
      </c>
      <c r="L22" s="193">
        <f>I22+J22*EERR!$D$2</f>
        <v>125626.8</v>
      </c>
      <c r="M22" s="123">
        <f>L22/EERR!$D$2</f>
        <v>195</v>
      </c>
      <c r="N22" s="123">
        <f>SUMIF(Agosto!$B$3:$B$92,A22,Agosto!$T$3:$T$92)</f>
        <v>502507.2</v>
      </c>
    </row>
    <row r="23" spans="1:14" ht="14.45" x14ac:dyDescent="0.3">
      <c r="A23" s="258">
        <v>85310</v>
      </c>
      <c r="B23" s="259">
        <v>42956.558333333334</v>
      </c>
      <c r="C23" s="260">
        <v>30975278</v>
      </c>
      <c r="D23" s="260" t="s">
        <v>170</v>
      </c>
      <c r="E23" s="260" t="s">
        <v>171</v>
      </c>
      <c r="F23" s="260" t="s">
        <v>175</v>
      </c>
      <c r="G23" s="260" t="s">
        <v>787</v>
      </c>
      <c r="H23" s="260" t="s">
        <v>173</v>
      </c>
      <c r="I23" s="261"/>
      <c r="J23" s="261">
        <v>195</v>
      </c>
      <c r="K23" s="260">
        <v>93135</v>
      </c>
      <c r="L23" s="193">
        <f>I23+J23*EERR!$D$2</f>
        <v>125626.8</v>
      </c>
      <c r="M23" s="123">
        <f>L23/EERR!$D$2</f>
        <v>195</v>
      </c>
      <c r="N23" s="123">
        <f>SUMIF(Agosto!$B$3:$B$92,A23,Agosto!$T$3:$T$92)</f>
        <v>628134</v>
      </c>
    </row>
    <row r="24" spans="1:14" ht="14.45" x14ac:dyDescent="0.3">
      <c r="A24" s="258">
        <v>93251</v>
      </c>
      <c r="B24" s="259">
        <v>42956.558333333334</v>
      </c>
      <c r="C24" s="260">
        <v>30975278</v>
      </c>
      <c r="D24" s="260" t="s">
        <v>170</v>
      </c>
      <c r="E24" s="260" t="s">
        <v>171</v>
      </c>
      <c r="F24" s="260" t="s">
        <v>175</v>
      </c>
      <c r="G24" s="260" t="s">
        <v>788</v>
      </c>
      <c r="H24" s="260" t="s">
        <v>173</v>
      </c>
      <c r="I24" s="261"/>
      <c r="J24" s="261">
        <v>195</v>
      </c>
      <c r="K24" s="260">
        <v>96142</v>
      </c>
      <c r="L24" s="193">
        <f>I24+J24*EERR!$D$2</f>
        <v>125626.8</v>
      </c>
      <c r="M24" s="123">
        <f>L24/EERR!$D$2</f>
        <v>195</v>
      </c>
      <c r="N24" s="123">
        <f>SUMIF(Agosto!$B$3:$B$92,A24,Agosto!$T$3:$T$92)</f>
        <v>628134</v>
      </c>
    </row>
    <row r="25" spans="1:14" ht="14.45" x14ac:dyDescent="0.3">
      <c r="A25" s="258">
        <v>76007</v>
      </c>
      <c r="B25" s="259">
        <v>42956.559027777781</v>
      </c>
      <c r="C25" s="260">
        <v>30975278</v>
      </c>
      <c r="D25" s="260" t="s">
        <v>170</v>
      </c>
      <c r="E25" s="260" t="s">
        <v>171</v>
      </c>
      <c r="F25" s="260" t="s">
        <v>175</v>
      </c>
      <c r="G25" s="260" t="s">
        <v>789</v>
      </c>
      <c r="H25" s="260" t="s">
        <v>173</v>
      </c>
      <c r="I25" s="261"/>
      <c r="J25" s="261">
        <v>176</v>
      </c>
      <c r="K25" s="260">
        <v>98556</v>
      </c>
      <c r="L25" s="193">
        <f>I25+J25*EERR!$D$2</f>
        <v>113386.24000000001</v>
      </c>
      <c r="M25" s="123">
        <f>L25/EERR!$D$2</f>
        <v>176</v>
      </c>
      <c r="N25" s="123">
        <f>SUMIF(Agosto!$B$3:$B$92,A25,Agosto!$T$3:$T$92)</f>
        <v>565320.6</v>
      </c>
    </row>
    <row r="26" spans="1:14" ht="14.45" x14ac:dyDescent="0.3">
      <c r="A26" s="258">
        <v>47781</v>
      </c>
      <c r="B26" s="259">
        <v>42956.55972222222</v>
      </c>
      <c r="C26" s="260">
        <v>30975278</v>
      </c>
      <c r="D26" s="260" t="s">
        <v>170</v>
      </c>
      <c r="E26" s="260" t="s">
        <v>171</v>
      </c>
      <c r="F26" s="260" t="s">
        <v>176</v>
      </c>
      <c r="G26" s="260" t="s">
        <v>790</v>
      </c>
      <c r="H26" s="260" t="s">
        <v>173</v>
      </c>
      <c r="I26" s="261"/>
      <c r="J26" s="261">
        <v>195</v>
      </c>
      <c r="K26" s="260">
        <v>664270</v>
      </c>
      <c r="L26" s="193">
        <f>I26+J26*EERR!$D$2</f>
        <v>125626.8</v>
      </c>
      <c r="M26" s="123">
        <f>L26/EERR!$D$2</f>
        <v>195</v>
      </c>
      <c r="N26" s="123">
        <f>SUMIF(Agosto!$B$3:$B$92,A26,Agosto!$T$3:$T$92)</f>
        <v>0</v>
      </c>
    </row>
    <row r="27" spans="1:14" ht="14.45" x14ac:dyDescent="0.3">
      <c r="A27" s="258">
        <v>33764</v>
      </c>
      <c r="B27" s="259">
        <v>42956.560416666667</v>
      </c>
      <c r="C27" s="260">
        <v>30975278</v>
      </c>
      <c r="D27" s="260" t="s">
        <v>170</v>
      </c>
      <c r="E27" s="260" t="s">
        <v>171</v>
      </c>
      <c r="F27" s="260" t="s">
        <v>176</v>
      </c>
      <c r="G27" s="260" t="s">
        <v>791</v>
      </c>
      <c r="H27" s="260" t="s">
        <v>173</v>
      </c>
      <c r="I27" s="261"/>
      <c r="J27" s="261">
        <v>195</v>
      </c>
      <c r="K27" s="260">
        <v>2378</v>
      </c>
      <c r="L27" s="193">
        <f>I27+J27*EERR!$D$2</f>
        <v>125626.8</v>
      </c>
      <c r="M27" s="123">
        <f>L27/EERR!$D$2</f>
        <v>195</v>
      </c>
      <c r="N27" s="123">
        <f>SUMIF(Agosto!$B$3:$B$92,A27,Agosto!$T$3:$T$92)</f>
        <v>0</v>
      </c>
    </row>
    <row r="28" spans="1:14" ht="14.45" x14ac:dyDescent="0.3">
      <c r="A28" s="258">
        <v>84087</v>
      </c>
      <c r="B28" s="259">
        <v>42956.561111111114</v>
      </c>
      <c r="C28" s="260">
        <v>30975278</v>
      </c>
      <c r="D28" s="260" t="s">
        <v>170</v>
      </c>
      <c r="E28" s="260" t="s">
        <v>171</v>
      </c>
      <c r="F28" s="260" t="s">
        <v>172</v>
      </c>
      <c r="G28" s="260" t="s">
        <v>792</v>
      </c>
      <c r="H28" s="260" t="s">
        <v>173</v>
      </c>
      <c r="I28" s="261"/>
      <c r="J28" s="261">
        <v>185</v>
      </c>
      <c r="K28" s="260">
        <v>16</v>
      </c>
      <c r="L28" s="193">
        <f>I28+J28*EERR!$D$2</f>
        <v>119184.40000000001</v>
      </c>
      <c r="M28" s="123">
        <f>L28/EERR!$D$2</f>
        <v>185</v>
      </c>
      <c r="N28" s="123">
        <f>SUMIF(Agosto!$B$3:$B$92,A28,Agosto!$T$3:$T$92)</f>
        <v>0</v>
      </c>
    </row>
    <row r="29" spans="1:14" ht="14.45" x14ac:dyDescent="0.3">
      <c r="A29" s="258">
        <v>29569</v>
      </c>
      <c r="B29" s="259">
        <v>42956.561111111114</v>
      </c>
      <c r="C29" s="260">
        <v>30975278</v>
      </c>
      <c r="D29" s="260" t="s">
        <v>170</v>
      </c>
      <c r="E29" s="260" t="s">
        <v>171</v>
      </c>
      <c r="F29" s="260" t="s">
        <v>172</v>
      </c>
      <c r="G29" s="260" t="s">
        <v>792</v>
      </c>
      <c r="H29" s="260" t="s">
        <v>173</v>
      </c>
      <c r="I29" s="261"/>
      <c r="J29" s="261">
        <v>185</v>
      </c>
      <c r="K29" s="260">
        <v>83</v>
      </c>
      <c r="L29" s="193">
        <f>I29+J29*EERR!$D$2</f>
        <v>119184.40000000001</v>
      </c>
      <c r="M29" s="123">
        <f>L29/EERR!$D$2</f>
        <v>185</v>
      </c>
      <c r="N29" s="123">
        <f>SUMIF(Agosto!$B$3:$B$92,A29,Agosto!$T$3:$T$92)</f>
        <v>0</v>
      </c>
    </row>
    <row r="30" spans="1:14" ht="14.45" x14ac:dyDescent="0.3">
      <c r="A30" s="258">
        <v>74058</v>
      </c>
      <c r="B30" s="259">
        <v>42956.561805555553</v>
      </c>
      <c r="C30" s="260">
        <v>30975278</v>
      </c>
      <c r="D30" s="260" t="s">
        <v>170</v>
      </c>
      <c r="E30" s="260" t="s">
        <v>171</v>
      </c>
      <c r="F30" s="260" t="s">
        <v>176</v>
      </c>
      <c r="G30" s="260" t="s">
        <v>793</v>
      </c>
      <c r="H30" s="260" t="s">
        <v>173</v>
      </c>
      <c r="I30" s="261"/>
      <c r="J30" s="261">
        <v>185</v>
      </c>
      <c r="K30" s="260">
        <v>71941</v>
      </c>
      <c r="L30" s="193">
        <f>I30+J30*EERR!$D$2</f>
        <v>119184.40000000001</v>
      </c>
      <c r="M30" s="123">
        <f>L30/EERR!$D$2</f>
        <v>185</v>
      </c>
      <c r="N30" s="123">
        <f>SUMIF(Agosto!$B$3:$B$92,A30,Agosto!$T$3:$T$92)</f>
        <v>0</v>
      </c>
    </row>
    <row r="31" spans="1:14" ht="14.45" x14ac:dyDescent="0.3">
      <c r="A31" s="258">
        <v>7224</v>
      </c>
      <c r="B31" s="259">
        <v>42956.5625</v>
      </c>
      <c r="C31" s="260">
        <v>30975278</v>
      </c>
      <c r="D31" s="260" t="s">
        <v>170</v>
      </c>
      <c r="E31" s="260" t="s">
        <v>171</v>
      </c>
      <c r="F31" s="260" t="s">
        <v>176</v>
      </c>
      <c r="G31" s="260" t="s">
        <v>794</v>
      </c>
      <c r="H31" s="260" t="s">
        <v>173</v>
      </c>
      <c r="I31" s="261"/>
      <c r="J31" s="261">
        <v>195</v>
      </c>
      <c r="K31" s="260">
        <v>21660</v>
      </c>
      <c r="L31" s="193">
        <f>I31+J31*EERR!$D$2</f>
        <v>125626.8</v>
      </c>
      <c r="M31" s="123">
        <f>L31/EERR!$D$2</f>
        <v>195</v>
      </c>
      <c r="N31" s="123">
        <f>SUMIF(Agosto!$B$3:$B$92,A31,Agosto!$T$3:$T$92)</f>
        <v>0</v>
      </c>
    </row>
    <row r="32" spans="1:14" ht="14.45" x14ac:dyDescent="0.3">
      <c r="A32" s="258">
        <v>46123</v>
      </c>
      <c r="B32" s="259">
        <v>42956.563194444447</v>
      </c>
      <c r="C32" s="260">
        <v>30975278</v>
      </c>
      <c r="D32" s="260" t="s">
        <v>170</v>
      </c>
      <c r="E32" s="260" t="s">
        <v>171</v>
      </c>
      <c r="F32" s="260" t="s">
        <v>175</v>
      </c>
      <c r="G32" s="260" t="s">
        <v>795</v>
      </c>
      <c r="H32" s="260" t="s">
        <v>173</v>
      </c>
      <c r="I32" s="261"/>
      <c r="J32" s="261">
        <v>585</v>
      </c>
      <c r="K32" s="260" t="s">
        <v>796</v>
      </c>
      <c r="L32" s="193">
        <f>I32+J32*EERR!$D$2</f>
        <v>376880.4</v>
      </c>
      <c r="M32" s="123">
        <f>L32/EERR!$D$2</f>
        <v>585</v>
      </c>
      <c r="N32" s="123">
        <f>SUMIF(Agosto!$B$3:$B$92,A32,Agosto!$T$3:$T$92)</f>
        <v>0</v>
      </c>
    </row>
    <row r="33" spans="1:14" ht="14.45" x14ac:dyDescent="0.3">
      <c r="A33" s="258">
        <v>91737</v>
      </c>
      <c r="B33" s="259">
        <v>42956.564583333333</v>
      </c>
      <c r="C33" s="260">
        <v>30975278</v>
      </c>
      <c r="D33" s="260" t="s">
        <v>170</v>
      </c>
      <c r="E33" s="260" t="s">
        <v>171</v>
      </c>
      <c r="F33" s="260" t="s">
        <v>175</v>
      </c>
      <c r="G33" s="260" t="s">
        <v>797</v>
      </c>
      <c r="H33" s="260" t="s">
        <v>173</v>
      </c>
      <c r="I33" s="261"/>
      <c r="J33" s="261">
        <v>195</v>
      </c>
      <c r="K33" s="260" t="s">
        <v>798</v>
      </c>
      <c r="L33" s="193">
        <f>I33+J33*EERR!$D$2</f>
        <v>125626.8</v>
      </c>
      <c r="M33" s="123">
        <f>L33/EERR!$D$2</f>
        <v>195</v>
      </c>
      <c r="N33" s="123">
        <f>SUMIF(Agosto!$B$3:$B$92,A33,Agosto!$T$3:$T$92)</f>
        <v>0</v>
      </c>
    </row>
    <row r="34" spans="1:14" ht="14.45" x14ac:dyDescent="0.3">
      <c r="A34" s="258">
        <v>99627</v>
      </c>
      <c r="B34" s="259">
        <v>42956.599305555559</v>
      </c>
      <c r="C34" s="260">
        <v>30905830</v>
      </c>
      <c r="D34" s="260" t="s">
        <v>170</v>
      </c>
      <c r="E34" s="260" t="s">
        <v>174</v>
      </c>
      <c r="F34" s="260" t="s">
        <v>175</v>
      </c>
      <c r="G34" s="260" t="s">
        <v>799</v>
      </c>
      <c r="H34" s="260" t="s">
        <v>174</v>
      </c>
      <c r="I34" s="261">
        <v>150833</v>
      </c>
      <c r="J34" s="261"/>
      <c r="K34" s="260">
        <v>947807</v>
      </c>
      <c r="L34" s="193">
        <f>I34+J34*EERR!$D$2</f>
        <v>150833</v>
      </c>
      <c r="M34" s="123">
        <f>L34/EERR!$D$2</f>
        <v>234.12548118713522</v>
      </c>
      <c r="N34" s="123">
        <f>SUMIF(Agosto!$B$3:$B$92,A34,Agosto!$T$3:$T$92)</f>
        <v>449249</v>
      </c>
    </row>
    <row r="35" spans="1:14" x14ac:dyDescent="0.25">
      <c r="A35" s="277">
        <v>80597</v>
      </c>
      <c r="B35" s="262">
        <v>42956.631249999999</v>
      </c>
      <c r="C35" s="294">
        <v>30975278</v>
      </c>
      <c r="D35" s="294" t="s">
        <v>170</v>
      </c>
      <c r="E35" s="294" t="s">
        <v>171</v>
      </c>
      <c r="F35" s="294" t="s">
        <v>172</v>
      </c>
      <c r="G35" s="294" t="s">
        <v>800</v>
      </c>
      <c r="H35" s="294" t="s">
        <v>173</v>
      </c>
      <c r="I35" s="295"/>
      <c r="J35" s="295">
        <v>176</v>
      </c>
      <c r="K35" s="294">
        <v>75</v>
      </c>
      <c r="L35" s="193">
        <f>I35+J35*EERR!$D$2</f>
        <v>113386.24000000001</v>
      </c>
      <c r="M35" s="123">
        <f>L35/EERR!$D$2</f>
        <v>176</v>
      </c>
      <c r="N35" s="123">
        <f>SUMIF(Agosto!$B$3:$B$92,A35,Agosto!$T$3:$T$92)</f>
        <v>339192.36</v>
      </c>
    </row>
    <row r="36" spans="1:14" x14ac:dyDescent="0.25">
      <c r="A36" s="277">
        <v>78665</v>
      </c>
      <c r="B36" s="262">
        <v>42957.79583333333</v>
      </c>
      <c r="C36" s="294">
        <v>30975278</v>
      </c>
      <c r="D36" s="294" t="s">
        <v>170</v>
      </c>
      <c r="E36" s="294" t="s">
        <v>171</v>
      </c>
      <c r="F36" s="294" t="s">
        <v>175</v>
      </c>
      <c r="G36" s="294" t="s">
        <v>463</v>
      </c>
      <c r="H36" s="294" t="s">
        <v>173</v>
      </c>
      <c r="I36" s="295"/>
      <c r="J36" s="295">
        <v>2228</v>
      </c>
      <c r="K36" s="294">
        <v>64356</v>
      </c>
      <c r="L36" s="193">
        <f>I36+J36*EERR!$D$2</f>
        <v>1435366.72</v>
      </c>
      <c r="M36" s="123">
        <f>L36/EERR!$D$2</f>
        <v>2228</v>
      </c>
      <c r="N36" s="123">
        <f>SUMIF(Agosto!$B$3:$B$92,A36,Agosto!$T$3:$T$92)</f>
        <v>1554744.3920000002</v>
      </c>
    </row>
    <row r="37" spans="1:14" x14ac:dyDescent="0.25">
      <c r="A37" s="258">
        <v>49016</v>
      </c>
      <c r="B37" s="259">
        <v>42958.645138888889</v>
      </c>
      <c r="C37" s="260">
        <v>30905830</v>
      </c>
      <c r="D37" s="260" t="s">
        <v>170</v>
      </c>
      <c r="E37" s="260" t="s">
        <v>174</v>
      </c>
      <c r="F37" s="260" t="s">
        <v>801</v>
      </c>
      <c r="G37" s="260" t="s">
        <v>465</v>
      </c>
      <c r="H37" s="260" t="s">
        <v>174</v>
      </c>
      <c r="I37" s="261">
        <v>652290</v>
      </c>
      <c r="J37" s="261"/>
      <c r="K37" s="260">
        <v>891691</v>
      </c>
      <c r="L37" s="193">
        <f>I37+J37*EERR!$D$2</f>
        <v>652290</v>
      </c>
      <c r="M37" s="123">
        <f>L37/EERR!$D$2</f>
        <v>1012.4953433503042</v>
      </c>
      <c r="N37" s="123">
        <f>SUMIF(Agosto!$B$3:$B$92,A37,Agosto!$T$3:$T$92)</f>
        <v>831078</v>
      </c>
    </row>
    <row r="38" spans="1:14" x14ac:dyDescent="0.25">
      <c r="A38" s="258">
        <v>78231</v>
      </c>
      <c r="B38" s="259">
        <v>42958.668055555558</v>
      </c>
      <c r="C38" s="260">
        <v>30975278</v>
      </c>
      <c r="D38" s="260" t="s">
        <v>170</v>
      </c>
      <c r="E38" s="260" t="s">
        <v>171</v>
      </c>
      <c r="F38" s="260" t="s">
        <v>176</v>
      </c>
      <c r="G38" s="260" t="s">
        <v>802</v>
      </c>
      <c r="H38" s="260" t="s">
        <v>173</v>
      </c>
      <c r="I38" s="261"/>
      <c r="J38" s="261">
        <v>220</v>
      </c>
      <c r="K38" s="260">
        <v>623727</v>
      </c>
      <c r="L38" s="193">
        <f>I38+J38*EERR!$D$2</f>
        <v>141732.79999999999</v>
      </c>
      <c r="M38" s="123">
        <f>L38/EERR!$D$2</f>
        <v>219.99999999999997</v>
      </c>
      <c r="N38" s="123">
        <f>SUMIF(Agosto!$B$3:$B$92,A38,Agosto!$T$3:$T$92)</f>
        <v>141732.79999999999</v>
      </c>
    </row>
    <row r="39" spans="1:14" x14ac:dyDescent="0.25">
      <c r="A39" s="258">
        <v>52918</v>
      </c>
      <c r="B39" s="259">
        <v>42959.393750000003</v>
      </c>
      <c r="C39" s="260">
        <v>30905830</v>
      </c>
      <c r="D39" s="260" t="s">
        <v>170</v>
      </c>
      <c r="E39" s="260" t="s">
        <v>174</v>
      </c>
      <c r="F39" s="260" t="s">
        <v>175</v>
      </c>
      <c r="G39" s="260" t="s">
        <v>464</v>
      </c>
      <c r="H39" s="260" t="s">
        <v>174</v>
      </c>
      <c r="I39" s="261">
        <v>170170</v>
      </c>
      <c r="J39" s="261"/>
      <c r="K39" s="260">
        <v>761556</v>
      </c>
      <c r="L39" s="193">
        <f>I39+J39*EERR!$D$2</f>
        <v>170170</v>
      </c>
      <c r="M39" s="123">
        <f>L39/EERR!$D$2</f>
        <v>264.14069290947475</v>
      </c>
      <c r="N39" s="123">
        <f>SUMIF(Agosto!$B$3:$B$92,A39,Agosto!$T$3:$T$92)</f>
        <v>342958</v>
      </c>
    </row>
    <row r="40" spans="1:14" x14ac:dyDescent="0.25">
      <c r="A40" s="258">
        <v>78620</v>
      </c>
      <c r="B40" s="259">
        <v>42959.480555555558</v>
      </c>
      <c r="C40" s="260">
        <v>30905830</v>
      </c>
      <c r="D40" s="260" t="s">
        <v>170</v>
      </c>
      <c r="E40" s="260" t="s">
        <v>174</v>
      </c>
      <c r="F40" s="260" t="s">
        <v>172</v>
      </c>
      <c r="G40" s="260" t="s">
        <v>460</v>
      </c>
      <c r="H40" s="260" t="s">
        <v>174</v>
      </c>
      <c r="I40" s="261">
        <v>5000</v>
      </c>
      <c r="J40" s="261"/>
      <c r="K40" s="260">
        <v>62</v>
      </c>
      <c r="L40" s="193">
        <f>I40+J40*EERR!$D$2</f>
        <v>5000</v>
      </c>
      <c r="M40" s="123">
        <f>L40/EERR!$D$2</f>
        <v>7.7610828262759215</v>
      </c>
      <c r="N40" s="123">
        <f>SUMIF(Agosto!$B$3:$B$92,A40,Agosto!$T$3:$T$92)</f>
        <v>628134</v>
      </c>
    </row>
    <row r="41" spans="1:14" x14ac:dyDescent="0.25">
      <c r="A41" s="258">
        <v>78620</v>
      </c>
      <c r="B41" s="259">
        <v>42959.480555555558</v>
      </c>
      <c r="C41" s="260">
        <v>30905830</v>
      </c>
      <c r="D41" s="260" t="s">
        <v>170</v>
      </c>
      <c r="E41" s="260" t="s">
        <v>413</v>
      </c>
      <c r="F41" s="260" t="s">
        <v>172</v>
      </c>
      <c r="G41" s="260" t="s">
        <v>460</v>
      </c>
      <c r="H41" s="260" t="s">
        <v>174</v>
      </c>
      <c r="I41" s="261">
        <v>-5000</v>
      </c>
      <c r="J41" s="261"/>
      <c r="K41" s="260">
        <v>62</v>
      </c>
      <c r="L41" s="193">
        <f>I41+J41*EERR!$D$2</f>
        <v>-5000</v>
      </c>
      <c r="M41" s="123">
        <f>L41/EERR!$D$2</f>
        <v>-7.7610828262759215</v>
      </c>
      <c r="N41" s="123">
        <f>SUMIF(Agosto!$B$3:$B$92,A41,Agosto!$T$3:$T$92)</f>
        <v>628134</v>
      </c>
    </row>
    <row r="42" spans="1:14" x14ac:dyDescent="0.25">
      <c r="A42" s="258">
        <v>71570</v>
      </c>
      <c r="B42" s="259">
        <v>42959.560416666667</v>
      </c>
      <c r="C42" s="260">
        <v>30905830</v>
      </c>
      <c r="D42" s="260" t="s">
        <v>170</v>
      </c>
      <c r="E42" s="260" t="s">
        <v>174</v>
      </c>
      <c r="F42" s="260" t="s">
        <v>175</v>
      </c>
      <c r="G42" s="260" t="s">
        <v>473</v>
      </c>
      <c r="H42" s="260" t="s">
        <v>174</v>
      </c>
      <c r="I42" s="261">
        <v>321830</v>
      </c>
      <c r="J42" s="261"/>
      <c r="K42" s="260">
        <v>677069</v>
      </c>
      <c r="L42" s="193">
        <f>I42+J42*EERR!$D$2</f>
        <v>321830</v>
      </c>
      <c r="M42" s="123">
        <f>L42/EERR!$D$2</f>
        <v>499.549857196076</v>
      </c>
      <c r="N42" s="123">
        <f>SUMIF(Agosto!$B$3:$B$92,A42,Agosto!$T$3:$T$92)</f>
        <v>485232</v>
      </c>
    </row>
    <row r="43" spans="1:14" x14ac:dyDescent="0.25">
      <c r="A43" s="258">
        <v>38497</v>
      </c>
      <c r="B43" s="259">
        <v>42960.580555555556</v>
      </c>
      <c r="C43" s="260">
        <v>30975278</v>
      </c>
      <c r="D43" s="260" t="s">
        <v>170</v>
      </c>
      <c r="E43" s="260" t="s">
        <v>171</v>
      </c>
      <c r="F43" s="260" t="s">
        <v>175</v>
      </c>
      <c r="G43" s="260" t="s">
        <v>474</v>
      </c>
      <c r="H43" s="260" t="s">
        <v>173</v>
      </c>
      <c r="I43" s="261"/>
      <c r="J43" s="261">
        <v>805</v>
      </c>
      <c r="K43" s="260">
        <v>13682</v>
      </c>
      <c r="L43" s="193">
        <f>I43+J43*EERR!$D$2</f>
        <v>518613.2</v>
      </c>
      <c r="M43" s="123">
        <f>L43/EERR!$D$2</f>
        <v>805</v>
      </c>
      <c r="N43" s="123">
        <f>SUMIF(Agosto!$B$3:$B$92,A43,Agosto!$T$3:$T$92)</f>
        <v>660346</v>
      </c>
    </row>
    <row r="44" spans="1:14" x14ac:dyDescent="0.25">
      <c r="A44" s="258">
        <v>36071</v>
      </c>
      <c r="B44" s="259">
        <v>42960.635416666664</v>
      </c>
      <c r="C44" s="260">
        <v>30905830</v>
      </c>
      <c r="D44" s="260" t="s">
        <v>170</v>
      </c>
      <c r="E44" s="260" t="s">
        <v>174</v>
      </c>
      <c r="F44" s="260" t="s">
        <v>175</v>
      </c>
      <c r="G44" s="260" t="s">
        <v>502</v>
      </c>
      <c r="H44" s="260" t="s">
        <v>174</v>
      </c>
      <c r="I44" s="261">
        <v>510510</v>
      </c>
      <c r="J44" s="261"/>
      <c r="K44" s="260">
        <v>436263</v>
      </c>
      <c r="L44" s="193">
        <f>I44+J44*EERR!$D$2</f>
        <v>510510</v>
      </c>
      <c r="M44" s="123">
        <f>L44/EERR!$D$2</f>
        <v>792.42207872842414</v>
      </c>
      <c r="N44" s="123">
        <f>SUMIF(Agosto!$B$3:$B$92,A44,Agosto!$T$3:$T$92)</f>
        <v>645842</v>
      </c>
    </row>
    <row r="45" spans="1:14" x14ac:dyDescent="0.25">
      <c r="A45" s="258">
        <v>83416</v>
      </c>
      <c r="B45" s="259">
        <v>42960.647916666669</v>
      </c>
      <c r="C45" s="260">
        <v>30975278</v>
      </c>
      <c r="D45" s="260" t="s">
        <v>170</v>
      </c>
      <c r="E45" s="260" t="s">
        <v>171</v>
      </c>
      <c r="F45" s="260" t="s">
        <v>176</v>
      </c>
      <c r="G45" s="260" t="s">
        <v>803</v>
      </c>
      <c r="H45" s="260" t="s">
        <v>173</v>
      </c>
      <c r="I45" s="261"/>
      <c r="J45" s="261">
        <v>220</v>
      </c>
      <c r="K45" s="260">
        <v>221418</v>
      </c>
      <c r="L45" s="193">
        <f>I45+J45*EERR!$D$2</f>
        <v>141732.79999999999</v>
      </c>
      <c r="M45" s="123">
        <f>L45/EERR!$D$2</f>
        <v>219.99999999999997</v>
      </c>
      <c r="N45" s="123">
        <f>SUMIF(Agosto!$B$3:$B$92,A45,Agosto!$T$3:$T$92)</f>
        <v>283465.59999999998</v>
      </c>
    </row>
    <row r="46" spans="1:14" x14ac:dyDescent="0.25">
      <c r="A46" s="258">
        <v>95847</v>
      </c>
      <c r="B46" s="259">
        <v>42961.509722222225</v>
      </c>
      <c r="C46" s="260">
        <v>30905830</v>
      </c>
      <c r="D46" s="260" t="s">
        <v>170</v>
      </c>
      <c r="E46" s="260" t="s">
        <v>174</v>
      </c>
      <c r="F46" s="260" t="s">
        <v>176</v>
      </c>
      <c r="G46" s="260" t="s">
        <v>781</v>
      </c>
      <c r="H46" s="260" t="s">
        <v>174</v>
      </c>
      <c r="I46" s="261">
        <v>5000</v>
      </c>
      <c r="J46" s="261"/>
      <c r="K46" s="260">
        <v>164619</v>
      </c>
      <c r="L46" s="193">
        <f>I46+J46*EERR!$D$2</f>
        <v>5000</v>
      </c>
      <c r="M46" s="123">
        <f>L46/EERR!$D$2</f>
        <v>7.7610828262759215</v>
      </c>
      <c r="N46" s="123">
        <f>SUMIF(Agosto!$B$3:$B$92,A46,Agosto!$T$3:$T$92)</f>
        <v>141732.79999999999</v>
      </c>
    </row>
    <row r="47" spans="1:14" x14ac:dyDescent="0.25">
      <c r="A47" s="258">
        <v>4042</v>
      </c>
      <c r="B47" s="259">
        <v>42961.767361111109</v>
      </c>
      <c r="C47" s="260">
        <v>30975278</v>
      </c>
      <c r="D47" s="260" t="s">
        <v>170</v>
      </c>
      <c r="E47" s="260" t="s">
        <v>171</v>
      </c>
      <c r="F47" s="260" t="s">
        <v>176</v>
      </c>
      <c r="G47" s="260" t="s">
        <v>804</v>
      </c>
      <c r="H47" s="260" t="s">
        <v>173</v>
      </c>
      <c r="I47" s="261"/>
      <c r="J47" s="261">
        <v>575</v>
      </c>
      <c r="K47" s="260">
        <v>51928</v>
      </c>
      <c r="L47" s="193">
        <f>I47+J47*EERR!$D$2</f>
        <v>370438</v>
      </c>
      <c r="M47" s="123">
        <f>L47/EERR!$D$2</f>
        <v>575</v>
      </c>
      <c r="N47" s="123">
        <f>SUMIF(Agosto!$B$3:$B$92,A47,Agosto!$T$3:$T$92)</f>
        <v>512170.8</v>
      </c>
    </row>
    <row r="48" spans="1:14" x14ac:dyDescent="0.25">
      <c r="A48" s="258">
        <v>15589</v>
      </c>
      <c r="B48" s="259">
        <v>42962.481249999997</v>
      </c>
      <c r="C48" s="260">
        <v>30905830</v>
      </c>
      <c r="D48" s="260" t="s">
        <v>170</v>
      </c>
      <c r="E48" s="260" t="s">
        <v>174</v>
      </c>
      <c r="F48" s="260" t="s">
        <v>175</v>
      </c>
      <c r="G48" s="260" t="s">
        <v>805</v>
      </c>
      <c r="H48" s="260" t="s">
        <v>174</v>
      </c>
      <c r="I48" s="261">
        <v>150368</v>
      </c>
      <c r="J48" s="261"/>
      <c r="K48" s="260">
        <v>183028</v>
      </c>
      <c r="L48" s="193">
        <f>I48+J48*EERR!$D$2</f>
        <v>150368</v>
      </c>
      <c r="M48" s="123">
        <f>L48/EERR!$D$2</f>
        <v>233.40370048429156</v>
      </c>
      <c r="N48" s="123">
        <f>SUMIF(Agosto!$B$3:$B$92,A48,Agosto!$T$3:$T$92)</f>
        <v>450641</v>
      </c>
    </row>
    <row r="49" spans="1:14" x14ac:dyDescent="0.25">
      <c r="A49" s="258">
        <v>88927</v>
      </c>
      <c r="B49" s="259">
        <v>42962.481249999997</v>
      </c>
      <c r="C49" s="260">
        <v>30975278</v>
      </c>
      <c r="D49" s="260" t="s">
        <v>170</v>
      </c>
      <c r="E49" s="260" t="s">
        <v>171</v>
      </c>
      <c r="F49" s="260" t="s">
        <v>176</v>
      </c>
      <c r="G49" s="260" t="s">
        <v>793</v>
      </c>
      <c r="H49" s="260" t="s">
        <v>173</v>
      </c>
      <c r="I49" s="261"/>
      <c r="J49" s="261">
        <v>185</v>
      </c>
      <c r="K49" s="260">
        <v>32602</v>
      </c>
      <c r="L49" s="193">
        <f>I49+J49*EERR!$D$2</f>
        <v>119184.40000000001</v>
      </c>
      <c r="M49" s="123">
        <f>L49/EERR!$D$2</f>
        <v>185</v>
      </c>
      <c r="N49" s="123">
        <f>SUMIF(Agosto!$B$3:$B$92,A49,Agosto!$T$3:$T$92)</f>
        <v>0</v>
      </c>
    </row>
    <row r="50" spans="1:14" x14ac:dyDescent="0.25">
      <c r="A50" s="258">
        <v>50453</v>
      </c>
      <c r="B50" s="259">
        <v>42962.481944444444</v>
      </c>
      <c r="C50" s="260">
        <v>30975278</v>
      </c>
      <c r="D50" s="260" t="s">
        <v>170</v>
      </c>
      <c r="E50" s="260" t="s">
        <v>171</v>
      </c>
      <c r="F50" s="260" t="s">
        <v>176</v>
      </c>
      <c r="G50" s="260" t="s">
        <v>806</v>
      </c>
      <c r="H50" s="260" t="s">
        <v>173</v>
      </c>
      <c r="I50" s="261"/>
      <c r="J50" s="261">
        <v>176</v>
      </c>
      <c r="K50" s="260">
        <v>35320</v>
      </c>
      <c r="L50" s="193">
        <f>I50+J50*EERR!$D$2</f>
        <v>113386.24000000001</v>
      </c>
      <c r="M50" s="123">
        <f>L50/EERR!$D$2</f>
        <v>176</v>
      </c>
      <c r="N50" s="123">
        <f>SUMIF(Agosto!$B$3:$B$92,A50,Agosto!$T$3:$T$92)</f>
        <v>0</v>
      </c>
    </row>
    <row r="51" spans="1:14" x14ac:dyDescent="0.25">
      <c r="A51" s="258">
        <v>61322</v>
      </c>
      <c r="B51" s="259">
        <v>42962.482638888891</v>
      </c>
      <c r="C51" s="260">
        <v>30975278</v>
      </c>
      <c r="D51" s="260" t="s">
        <v>170</v>
      </c>
      <c r="E51" s="260" t="s">
        <v>171</v>
      </c>
      <c r="F51" s="260" t="s">
        <v>176</v>
      </c>
      <c r="G51" s="260" t="s">
        <v>807</v>
      </c>
      <c r="H51" s="260" t="s">
        <v>173</v>
      </c>
      <c r="I51" s="261"/>
      <c r="J51" s="261">
        <v>195</v>
      </c>
      <c r="K51" s="260">
        <v>50032</v>
      </c>
      <c r="L51" s="193">
        <f>I51+J51*EERR!$D$2</f>
        <v>125626.8</v>
      </c>
      <c r="M51" s="123">
        <f>L51/EERR!$D$2</f>
        <v>195</v>
      </c>
      <c r="N51" s="123">
        <f>SUMIF(Agosto!$B$3:$B$92,A51,Agosto!$T$3:$T$92)</f>
        <v>0</v>
      </c>
    </row>
    <row r="52" spans="1:14" x14ac:dyDescent="0.25">
      <c r="A52" s="258">
        <v>46700</v>
      </c>
      <c r="B52" s="259">
        <v>42962.484722222223</v>
      </c>
      <c r="C52" s="260">
        <v>30975278</v>
      </c>
      <c r="D52" s="260" t="s">
        <v>170</v>
      </c>
      <c r="E52" s="260" t="s">
        <v>171</v>
      </c>
      <c r="F52" s="260" t="s">
        <v>175</v>
      </c>
      <c r="G52" s="260" t="s">
        <v>808</v>
      </c>
      <c r="H52" s="260" t="s">
        <v>173</v>
      </c>
      <c r="I52" s="261"/>
      <c r="J52" s="261">
        <v>390</v>
      </c>
      <c r="K52" s="260">
        <v>54500</v>
      </c>
      <c r="L52" s="193">
        <f>I52+J52*EERR!$D$2</f>
        <v>251253.6</v>
      </c>
      <c r="M52" s="123">
        <f>L52/EERR!$D$2</f>
        <v>390</v>
      </c>
      <c r="N52" s="123">
        <f>SUMIF(Agosto!$B$3:$B$92,A52,Agosto!$T$3:$T$92)</f>
        <v>0</v>
      </c>
    </row>
    <row r="53" spans="1:14" x14ac:dyDescent="0.25">
      <c r="A53" s="258">
        <v>37697</v>
      </c>
      <c r="B53" s="259">
        <v>42962.48541666667</v>
      </c>
      <c r="C53" s="260">
        <v>30975278</v>
      </c>
      <c r="D53" s="260" t="s">
        <v>170</v>
      </c>
      <c r="E53" s="260" t="s">
        <v>171</v>
      </c>
      <c r="F53" s="260" t="s">
        <v>176</v>
      </c>
      <c r="G53" s="260" t="s">
        <v>809</v>
      </c>
      <c r="H53" s="260" t="s">
        <v>173</v>
      </c>
      <c r="I53" s="261"/>
      <c r="J53" s="261">
        <v>195</v>
      </c>
      <c r="K53" s="260">
        <v>820295</v>
      </c>
      <c r="L53" s="193">
        <f>I53+J53*EERR!$D$2</f>
        <v>125626.8</v>
      </c>
      <c r="M53" s="123">
        <f>L53/EERR!$D$2</f>
        <v>195</v>
      </c>
      <c r="N53" s="123">
        <f>SUMIF(Agosto!$B$3:$B$92,A53,Agosto!$T$3:$T$92)</f>
        <v>0</v>
      </c>
    </row>
    <row r="54" spans="1:14" x14ac:dyDescent="0.25">
      <c r="A54" s="258">
        <v>13475</v>
      </c>
      <c r="B54" s="259">
        <v>42962.486111111109</v>
      </c>
      <c r="C54" s="260">
        <v>30975278</v>
      </c>
      <c r="D54" s="260" t="s">
        <v>170</v>
      </c>
      <c r="E54" s="260" t="s">
        <v>171</v>
      </c>
      <c r="F54" s="260" t="s">
        <v>176</v>
      </c>
      <c r="G54" s="260" t="s">
        <v>810</v>
      </c>
      <c r="H54" s="260" t="s">
        <v>173</v>
      </c>
      <c r="I54" s="261"/>
      <c r="J54" s="261">
        <v>195</v>
      </c>
      <c r="K54" s="260">
        <v>603960</v>
      </c>
      <c r="L54" s="193">
        <f>I54+J54*EERR!$D$2</f>
        <v>125626.8</v>
      </c>
      <c r="M54" s="123">
        <f>L54/EERR!$D$2</f>
        <v>195</v>
      </c>
      <c r="N54" s="123">
        <f>SUMIF(Agosto!$B$3:$B$92,A54,Agosto!$T$3:$T$92)</f>
        <v>0</v>
      </c>
    </row>
    <row r="55" spans="1:14" x14ac:dyDescent="0.25">
      <c r="A55" s="258">
        <v>62852</v>
      </c>
      <c r="B55" s="259">
        <v>42962.486805555556</v>
      </c>
      <c r="C55" s="260">
        <v>30975278</v>
      </c>
      <c r="D55" s="260" t="s">
        <v>170</v>
      </c>
      <c r="E55" s="260" t="s">
        <v>171</v>
      </c>
      <c r="F55" s="260" t="s">
        <v>172</v>
      </c>
      <c r="G55" s="260" t="s">
        <v>811</v>
      </c>
      <c r="H55" s="260" t="s">
        <v>173</v>
      </c>
      <c r="I55" s="261"/>
      <c r="J55" s="261">
        <v>195</v>
      </c>
      <c r="K55" s="260">
        <v>61</v>
      </c>
      <c r="L55" s="193">
        <f>I55+J55*EERR!$D$2</f>
        <v>125626.8</v>
      </c>
      <c r="M55" s="123">
        <f>L55/EERR!$D$2</f>
        <v>195</v>
      </c>
      <c r="N55" s="123">
        <f>SUMIF(Agosto!$B$3:$B$92,A55,Agosto!$T$3:$T$92)</f>
        <v>0</v>
      </c>
    </row>
    <row r="56" spans="1:14" x14ac:dyDescent="0.25">
      <c r="A56" s="258">
        <v>320</v>
      </c>
      <c r="B56" s="259">
        <v>42962.549305555556</v>
      </c>
      <c r="C56" s="260">
        <v>30975278</v>
      </c>
      <c r="D56" s="260" t="s">
        <v>170</v>
      </c>
      <c r="E56" s="260" t="s">
        <v>171</v>
      </c>
      <c r="F56" s="260" t="s">
        <v>176</v>
      </c>
      <c r="G56" s="260" t="s">
        <v>812</v>
      </c>
      <c r="H56" s="260" t="s">
        <v>173</v>
      </c>
      <c r="I56" s="261"/>
      <c r="J56" s="261">
        <v>195</v>
      </c>
      <c r="K56" s="260">
        <v>113363</v>
      </c>
      <c r="L56" s="193">
        <f>I56+J56*EERR!$D$2</f>
        <v>125626.8</v>
      </c>
      <c r="M56" s="123">
        <f>L56/EERR!$D$2</f>
        <v>195</v>
      </c>
      <c r="N56" s="123">
        <f>SUMIF(Agosto!$B$3:$B$92,A56,Agosto!$T$3:$T$92)</f>
        <v>376880.4</v>
      </c>
    </row>
    <row r="57" spans="1:14" x14ac:dyDescent="0.25">
      <c r="A57" s="258">
        <v>53566</v>
      </c>
      <c r="B57" s="259">
        <v>42962.725694444445</v>
      </c>
      <c r="C57" s="260">
        <v>30975278</v>
      </c>
      <c r="D57" s="260" t="s">
        <v>170</v>
      </c>
      <c r="E57" s="260" t="s">
        <v>171</v>
      </c>
      <c r="F57" s="260" t="s">
        <v>175</v>
      </c>
      <c r="G57" s="260" t="s">
        <v>475</v>
      </c>
      <c r="H57" s="260" t="s">
        <v>173</v>
      </c>
      <c r="I57" s="261"/>
      <c r="J57" s="261">
        <v>351</v>
      </c>
      <c r="K57" s="260" t="s">
        <v>813</v>
      </c>
      <c r="L57" s="193">
        <f>I57+J57*EERR!$D$2</f>
        <v>226128.24</v>
      </c>
      <c r="M57" s="123">
        <f>L57/EERR!$D$2</f>
        <v>351</v>
      </c>
      <c r="N57" s="123">
        <f>SUMIF(Agosto!$B$3:$B$92,A57,Agosto!$T$3:$T$92)</f>
        <v>0</v>
      </c>
    </row>
    <row r="58" spans="1:14" x14ac:dyDescent="0.25">
      <c r="A58" s="258">
        <v>98804</v>
      </c>
      <c r="B58" s="259">
        <v>42962.789583333331</v>
      </c>
      <c r="C58" s="260">
        <v>30905830</v>
      </c>
      <c r="D58" s="260" t="s">
        <v>170</v>
      </c>
      <c r="E58" s="260" t="s">
        <v>174</v>
      </c>
      <c r="F58" s="260" t="s">
        <v>175</v>
      </c>
      <c r="G58" s="260" t="s">
        <v>477</v>
      </c>
      <c r="H58" s="260" t="s">
        <v>174</v>
      </c>
      <c r="I58" s="261">
        <v>451105</v>
      </c>
      <c r="J58" s="261"/>
      <c r="K58" s="260">
        <v>704706</v>
      </c>
      <c r="L58" s="193">
        <f>I58+J58*EERR!$D$2</f>
        <v>451105</v>
      </c>
      <c r="M58" s="123">
        <f>L58/EERR!$D$2</f>
        <v>700.21265366943999</v>
      </c>
      <c r="N58" s="123">
        <f>SUMIF(Agosto!$B$3:$B$92,A58,Agosto!$T$3:$T$92)</f>
        <v>603561</v>
      </c>
    </row>
    <row r="59" spans="1:14" x14ac:dyDescent="0.25">
      <c r="A59" s="258">
        <v>8872</v>
      </c>
      <c r="B59" s="259">
        <v>42964.423611111109</v>
      </c>
      <c r="C59" s="260">
        <v>30975278</v>
      </c>
      <c r="D59" s="260" t="s">
        <v>170</v>
      </c>
      <c r="E59" s="260" t="s">
        <v>171</v>
      </c>
      <c r="F59" s="260" t="s">
        <v>176</v>
      </c>
      <c r="G59" s="260" t="s">
        <v>496</v>
      </c>
      <c r="H59" s="260" t="s">
        <v>173</v>
      </c>
      <c r="I59" s="261"/>
      <c r="J59" s="261">
        <v>975</v>
      </c>
      <c r="K59" s="260">
        <v>25031</v>
      </c>
      <c r="L59" s="193">
        <f>I59+J59*EERR!$D$2</f>
        <v>628134</v>
      </c>
      <c r="M59" s="123">
        <f>L59/EERR!$D$2</f>
        <v>975</v>
      </c>
      <c r="N59" s="123">
        <f>SUMIF(Agosto!$B$3:$B$92,A59,Agosto!$T$3:$T$92)</f>
        <v>753760.8</v>
      </c>
    </row>
    <row r="60" spans="1:14" x14ac:dyDescent="0.25">
      <c r="A60" s="258">
        <v>60375</v>
      </c>
      <c r="B60" s="259">
        <v>42964.472916666666</v>
      </c>
      <c r="C60" s="260">
        <v>30975278</v>
      </c>
      <c r="D60" s="260" t="s">
        <v>170</v>
      </c>
      <c r="E60" s="260" t="s">
        <v>171</v>
      </c>
      <c r="F60" s="260" t="s">
        <v>172</v>
      </c>
      <c r="G60" s="260" t="s">
        <v>814</v>
      </c>
      <c r="H60" s="260" t="s">
        <v>173</v>
      </c>
      <c r="I60" s="261"/>
      <c r="J60" s="261">
        <v>195</v>
      </c>
      <c r="K60" s="260">
        <v>95</v>
      </c>
      <c r="L60" s="193">
        <f>I60+J60*EERR!$D$2</f>
        <v>125626.8</v>
      </c>
      <c r="M60" s="123">
        <f>L60/EERR!$D$2</f>
        <v>195</v>
      </c>
      <c r="N60" s="123">
        <f>SUMIF(Agosto!$B$3:$B$92,A60,Agosto!$T$3:$T$92)</f>
        <v>0</v>
      </c>
    </row>
    <row r="61" spans="1:14" x14ac:dyDescent="0.25">
      <c r="A61" s="258">
        <v>8273</v>
      </c>
      <c r="B61" s="259">
        <v>42964.477083333331</v>
      </c>
      <c r="C61" s="260">
        <v>30975278</v>
      </c>
      <c r="D61" s="260" t="s">
        <v>170</v>
      </c>
      <c r="E61" s="260" t="s">
        <v>171</v>
      </c>
      <c r="F61" s="260" t="s">
        <v>176</v>
      </c>
      <c r="G61" s="260" t="s">
        <v>815</v>
      </c>
      <c r="H61" s="260" t="s">
        <v>173</v>
      </c>
      <c r="I61" s="261"/>
      <c r="J61" s="261">
        <v>176</v>
      </c>
      <c r="K61" s="260">
        <v>790483</v>
      </c>
      <c r="L61" s="193">
        <f>I61+J61*EERR!$D$2</f>
        <v>113386.24000000001</v>
      </c>
      <c r="M61" s="123">
        <f>L61/EERR!$D$2</f>
        <v>176</v>
      </c>
      <c r="N61" s="123">
        <f>SUMIF(Agosto!$B$3:$B$92,A61,Agosto!$T$3:$T$92)</f>
        <v>0</v>
      </c>
    </row>
    <row r="62" spans="1:14" x14ac:dyDescent="0.25">
      <c r="A62" s="277">
        <v>95557</v>
      </c>
      <c r="B62" s="262">
        <v>42965.658333333333</v>
      </c>
      <c r="C62" s="294">
        <v>30975278</v>
      </c>
      <c r="D62" s="294" t="s">
        <v>170</v>
      </c>
      <c r="E62" s="294" t="s">
        <v>171</v>
      </c>
      <c r="F62" s="294" t="s">
        <v>172</v>
      </c>
      <c r="G62" s="294" t="s">
        <v>770</v>
      </c>
      <c r="H62" s="294" t="s">
        <v>173</v>
      </c>
      <c r="I62" s="295"/>
      <c r="J62" s="295">
        <v>390</v>
      </c>
      <c r="K62" s="294">
        <v>68</v>
      </c>
      <c r="L62" s="193">
        <f>I62+J62*EERR!$D$2</f>
        <v>251253.6</v>
      </c>
      <c r="M62" s="123">
        <f>L62/EERR!$D$2</f>
        <v>390</v>
      </c>
      <c r="N62" s="123">
        <f>SUMIF(Agosto!$B$3:$B$92,A62,Agosto!$T$3:$T$92)</f>
        <v>376880.4</v>
      </c>
    </row>
    <row r="63" spans="1:14" x14ac:dyDescent="0.25">
      <c r="A63" s="258">
        <v>21710</v>
      </c>
      <c r="B63" s="262">
        <v>42965.770138888889</v>
      </c>
      <c r="C63" s="294">
        <v>30975278</v>
      </c>
      <c r="D63" s="294" t="s">
        <v>170</v>
      </c>
      <c r="E63" s="294" t="s">
        <v>171</v>
      </c>
      <c r="F63" s="294" t="s">
        <v>801</v>
      </c>
      <c r="G63" s="294" t="s">
        <v>775</v>
      </c>
      <c r="H63" s="294" t="s">
        <v>173</v>
      </c>
      <c r="I63" s="295"/>
      <c r="J63" s="295">
        <v>526</v>
      </c>
      <c r="K63" s="294" t="s">
        <v>816</v>
      </c>
      <c r="L63" s="193">
        <f>I63+J63*EERR!$D$2</f>
        <v>338870.24</v>
      </c>
      <c r="M63" s="123">
        <f>L63/EERR!$D$2</f>
        <v>526</v>
      </c>
      <c r="N63" s="123">
        <f>SUMIF(Agosto!$B$3:$B$92,A63,Agosto!$T$3:$T$92)</f>
        <v>451934.36</v>
      </c>
    </row>
    <row r="64" spans="1:14" x14ac:dyDescent="0.25">
      <c r="A64" s="258">
        <v>21577</v>
      </c>
      <c r="B64" s="262">
        <v>42965.831250000003</v>
      </c>
      <c r="C64" s="294">
        <v>30975278</v>
      </c>
      <c r="D64" s="294" t="s">
        <v>170</v>
      </c>
      <c r="E64" s="294" t="s">
        <v>171</v>
      </c>
      <c r="F64" s="294" t="s">
        <v>176</v>
      </c>
      <c r="G64" s="294" t="s">
        <v>817</v>
      </c>
      <c r="H64" s="294" t="s">
        <v>173</v>
      </c>
      <c r="I64" s="295"/>
      <c r="J64" s="295">
        <v>195</v>
      </c>
      <c r="K64" s="294" t="s">
        <v>818</v>
      </c>
      <c r="L64" s="193">
        <f>I64+J64*EERR!$D$2</f>
        <v>125626.8</v>
      </c>
      <c r="M64" s="123">
        <f>L64/EERR!$D$2</f>
        <v>195</v>
      </c>
      <c r="N64" s="123">
        <f>SUMIF(Agosto!$B$3:$B$92,A64,Agosto!$T$3:$T$92)</f>
        <v>125626.8</v>
      </c>
    </row>
    <row r="65" spans="1:14" x14ac:dyDescent="0.25">
      <c r="A65" s="258">
        <v>29193</v>
      </c>
      <c r="B65" s="259">
        <v>42966.393750000003</v>
      </c>
      <c r="C65" s="260">
        <v>30975278</v>
      </c>
      <c r="D65" s="260" t="s">
        <v>170</v>
      </c>
      <c r="E65" s="260" t="s">
        <v>171</v>
      </c>
      <c r="F65" s="260" t="s">
        <v>176</v>
      </c>
      <c r="G65" s="260" t="s">
        <v>819</v>
      </c>
      <c r="H65" s="260" t="s">
        <v>173</v>
      </c>
      <c r="I65" s="261"/>
      <c r="J65" s="261">
        <v>858</v>
      </c>
      <c r="K65" s="260">
        <v>452863</v>
      </c>
      <c r="L65" s="193">
        <f>I65+J65*EERR!$D$2</f>
        <v>552757.92000000004</v>
      </c>
      <c r="M65" s="123">
        <f>L65/EERR!$D$2</f>
        <v>858</v>
      </c>
      <c r="N65" s="123">
        <f>SUMIF(Agosto!$B$3:$B$92,A65,Agosto!$T$3:$T$92)</f>
        <v>0</v>
      </c>
    </row>
    <row r="66" spans="1:14" x14ac:dyDescent="0.25">
      <c r="A66" s="258">
        <v>85375</v>
      </c>
      <c r="B66" s="259">
        <v>42966.393750000003</v>
      </c>
      <c r="C66" s="260">
        <v>30975278</v>
      </c>
      <c r="D66" s="260" t="s">
        <v>170</v>
      </c>
      <c r="E66" s="260" t="s">
        <v>171</v>
      </c>
      <c r="F66" s="260" t="s">
        <v>176</v>
      </c>
      <c r="G66" s="260" t="s">
        <v>819</v>
      </c>
      <c r="H66" s="260" t="s">
        <v>173</v>
      </c>
      <c r="I66" s="261"/>
      <c r="J66" s="261">
        <v>463</v>
      </c>
      <c r="K66" s="260">
        <v>454233</v>
      </c>
      <c r="L66" s="193">
        <f>I66+J66*EERR!$D$2</f>
        <v>298283.12</v>
      </c>
      <c r="M66" s="123">
        <f>L66/EERR!$D$2</f>
        <v>463</v>
      </c>
      <c r="N66" s="123">
        <f>SUMIF(Agosto!$B$3:$B$92,A66,Agosto!$T$3:$T$92)</f>
        <v>0</v>
      </c>
    </row>
    <row r="67" spans="1:14" x14ac:dyDescent="0.25">
      <c r="A67" s="258">
        <v>85371</v>
      </c>
      <c r="B67" s="259">
        <v>42966.395138888889</v>
      </c>
      <c r="C67" s="260">
        <v>30975278</v>
      </c>
      <c r="D67" s="260" t="s">
        <v>170</v>
      </c>
      <c r="E67" s="260" t="s">
        <v>171</v>
      </c>
      <c r="F67" s="260" t="s">
        <v>176</v>
      </c>
      <c r="G67" s="260" t="s">
        <v>819</v>
      </c>
      <c r="H67" s="260" t="s">
        <v>173</v>
      </c>
      <c r="I67" s="261"/>
      <c r="J67" s="261">
        <v>463</v>
      </c>
      <c r="K67" s="260">
        <v>455630</v>
      </c>
      <c r="L67" s="193">
        <f>I67+J67*EERR!$D$2</f>
        <v>298283.12</v>
      </c>
      <c r="M67" s="123">
        <f>L67/EERR!$D$2</f>
        <v>463</v>
      </c>
      <c r="N67" s="123">
        <f>SUMIF(Agosto!$B$3:$B$92,A67,Agosto!$T$3:$T$92)</f>
        <v>0</v>
      </c>
    </row>
    <row r="68" spans="1:14" x14ac:dyDescent="0.25">
      <c r="A68" s="258">
        <v>26576</v>
      </c>
      <c r="B68" s="259">
        <v>42966.395833333336</v>
      </c>
      <c r="C68" s="260">
        <v>30975278</v>
      </c>
      <c r="D68" s="260" t="s">
        <v>170</v>
      </c>
      <c r="E68" s="260" t="s">
        <v>171</v>
      </c>
      <c r="F68" s="260" t="s">
        <v>176</v>
      </c>
      <c r="G68" s="260" t="s">
        <v>819</v>
      </c>
      <c r="H68" s="260" t="s">
        <v>173</v>
      </c>
      <c r="I68" s="261"/>
      <c r="J68" s="261">
        <v>176</v>
      </c>
      <c r="K68" s="260">
        <v>457193</v>
      </c>
      <c r="L68" s="193">
        <f>I68+J68*EERR!$D$2</f>
        <v>113386.24000000001</v>
      </c>
      <c r="M68" s="123">
        <f>L68/EERR!$D$2</f>
        <v>176</v>
      </c>
      <c r="N68" s="123">
        <f>SUMIF(Agosto!$B$3:$B$92,A68,Agosto!$T$3:$T$92)</f>
        <v>0</v>
      </c>
    </row>
    <row r="69" spans="1:14" x14ac:dyDescent="0.25">
      <c r="A69" s="258">
        <v>48024</v>
      </c>
      <c r="B69" s="259">
        <v>42966.685416666667</v>
      </c>
      <c r="C69" s="260">
        <v>30975278</v>
      </c>
      <c r="D69" s="260" t="s">
        <v>170</v>
      </c>
      <c r="E69" s="260" t="s">
        <v>171</v>
      </c>
      <c r="F69" s="260" t="s">
        <v>176</v>
      </c>
      <c r="G69" s="260" t="s">
        <v>487</v>
      </c>
      <c r="H69" s="260" t="s">
        <v>173</v>
      </c>
      <c r="I69" s="261"/>
      <c r="J69" s="261">
        <v>352</v>
      </c>
      <c r="K69" s="260">
        <v>42758</v>
      </c>
      <c r="L69" s="193">
        <f>I69+J69*EERR!$D$2</f>
        <v>226772.48000000001</v>
      </c>
      <c r="M69" s="123">
        <f>L69/EERR!$D$2</f>
        <v>352</v>
      </c>
      <c r="N69" s="123">
        <f>SUMIF(Agosto!$B$3:$B$92,A69,Agosto!$T$3:$T$92)</f>
        <v>338870.24</v>
      </c>
    </row>
    <row r="70" spans="1:14" x14ac:dyDescent="0.25">
      <c r="A70" s="258">
        <v>96060</v>
      </c>
      <c r="B70" s="259">
        <v>42966.816666666666</v>
      </c>
      <c r="C70" s="260">
        <v>30975278</v>
      </c>
      <c r="D70" s="260" t="s">
        <v>170</v>
      </c>
      <c r="E70" s="260" t="s">
        <v>171</v>
      </c>
      <c r="F70" s="260" t="s">
        <v>176</v>
      </c>
      <c r="G70" s="260" t="s">
        <v>501</v>
      </c>
      <c r="H70" s="260" t="s">
        <v>173</v>
      </c>
      <c r="I70" s="261"/>
      <c r="J70" s="261">
        <v>780</v>
      </c>
      <c r="K70" s="260">
        <v>855380</v>
      </c>
      <c r="L70" s="193">
        <f>I70+J70*EERR!$D$2</f>
        <v>502507.2</v>
      </c>
      <c r="M70" s="123">
        <f>L70/EERR!$D$2</f>
        <v>780</v>
      </c>
      <c r="N70" s="123">
        <f>SUMIF(Agosto!$B$3:$B$92,A70,Agosto!$T$3:$T$92)</f>
        <v>628134</v>
      </c>
    </row>
    <row r="71" spans="1:14" x14ac:dyDescent="0.25">
      <c r="A71" s="277">
        <v>291</v>
      </c>
      <c r="B71" s="262">
        <v>42966.829861111109</v>
      </c>
      <c r="C71" s="294">
        <v>30975278</v>
      </c>
      <c r="D71" s="294" t="s">
        <v>170</v>
      </c>
      <c r="E71" s="294" t="s">
        <v>171</v>
      </c>
      <c r="F71" s="294" t="s">
        <v>801</v>
      </c>
      <c r="G71" s="294" t="s">
        <v>485</v>
      </c>
      <c r="H71" s="294" t="s">
        <v>173</v>
      </c>
      <c r="I71" s="295"/>
      <c r="J71" s="295">
        <v>585</v>
      </c>
      <c r="K71" s="294" t="s">
        <v>820</v>
      </c>
      <c r="L71" s="193">
        <f>I71+J71*EERR!$D$2</f>
        <v>376880.4</v>
      </c>
      <c r="M71" s="123">
        <f>L71/EERR!$D$2</f>
        <v>585</v>
      </c>
      <c r="N71" s="123">
        <f>SUMIF(Agosto!$B$3:$B$92,A71,Agosto!$T$3:$T$92)</f>
        <v>502507.2</v>
      </c>
    </row>
    <row r="72" spans="1:14" x14ac:dyDescent="0.25">
      <c r="A72" s="258">
        <v>59699</v>
      </c>
      <c r="B72" s="259">
        <v>42967.68472222222</v>
      </c>
      <c r="C72" s="260">
        <v>30975278</v>
      </c>
      <c r="D72" s="260" t="s">
        <v>170</v>
      </c>
      <c r="E72" s="260" t="s">
        <v>171</v>
      </c>
      <c r="F72" s="260" t="s">
        <v>176</v>
      </c>
      <c r="G72" s="260" t="s">
        <v>821</v>
      </c>
      <c r="H72" s="260" t="s">
        <v>173</v>
      </c>
      <c r="I72" s="261"/>
      <c r="J72" s="261">
        <v>527</v>
      </c>
      <c r="K72" s="260">
        <v>12567</v>
      </c>
      <c r="L72" s="193">
        <f>I72+J72*EERR!$D$2</f>
        <v>339514.48</v>
      </c>
      <c r="M72" s="123">
        <f>L72/EERR!$D$2</f>
        <v>527</v>
      </c>
      <c r="N72" s="123">
        <f>SUMIF(Agosto!$B$3:$B$92,A72,Agosto!$T$3:$T$92)</f>
        <v>452256.48</v>
      </c>
    </row>
    <row r="73" spans="1:14" x14ac:dyDescent="0.25">
      <c r="A73" s="277">
        <v>62741</v>
      </c>
      <c r="B73" s="262">
        <v>42969.402083333334</v>
      </c>
      <c r="C73" s="294">
        <v>30905830</v>
      </c>
      <c r="D73" s="294" t="s">
        <v>170</v>
      </c>
      <c r="E73" s="294" t="s">
        <v>174</v>
      </c>
      <c r="F73" s="294" t="s">
        <v>175</v>
      </c>
      <c r="G73" s="294" t="s">
        <v>822</v>
      </c>
      <c r="H73" s="294" t="s">
        <v>174</v>
      </c>
      <c r="I73" s="295">
        <v>149208</v>
      </c>
      <c r="J73" s="295"/>
      <c r="K73" s="294">
        <v>416674</v>
      </c>
      <c r="L73" s="193">
        <f>I73+J73*EERR!$D$2</f>
        <v>149208</v>
      </c>
      <c r="M73" s="123">
        <f>L73/EERR!$D$2</f>
        <v>231.60312926859555</v>
      </c>
      <c r="N73" s="123">
        <f>SUMIF(Agosto!$B$3:$B$92,A73,Agosto!$T$3:$T$92)</f>
        <v>0</v>
      </c>
    </row>
    <row r="74" spans="1:14" x14ac:dyDescent="0.25">
      <c r="A74" s="277">
        <v>83045</v>
      </c>
      <c r="B74" s="262">
        <v>42969.484027777777</v>
      </c>
      <c r="C74" s="294">
        <v>30975278</v>
      </c>
      <c r="D74" s="294" t="s">
        <v>170</v>
      </c>
      <c r="E74" s="294" t="s">
        <v>171</v>
      </c>
      <c r="F74" s="294" t="s">
        <v>176</v>
      </c>
      <c r="G74" s="294" t="s">
        <v>494</v>
      </c>
      <c r="H74" s="294" t="s">
        <v>173</v>
      </c>
      <c r="I74" s="295"/>
      <c r="J74" s="295">
        <v>975</v>
      </c>
      <c r="K74" s="294">
        <v>73008</v>
      </c>
      <c r="L74" s="193">
        <f>I74+J74*EERR!$D$2</f>
        <v>628134</v>
      </c>
      <c r="M74" s="123">
        <f>L74/EERR!$D$2</f>
        <v>975</v>
      </c>
      <c r="N74" s="123">
        <f>SUMIF(Agosto!$B$3:$B$92,A74,Agosto!$T$3:$T$92)</f>
        <v>753760.8</v>
      </c>
    </row>
    <row r="75" spans="1:14" x14ac:dyDescent="0.25">
      <c r="A75" s="277">
        <v>82201</v>
      </c>
      <c r="B75" s="262">
        <v>42969.683333333334</v>
      </c>
      <c r="C75" s="294">
        <v>30975278</v>
      </c>
      <c r="D75" s="294" t="s">
        <v>170</v>
      </c>
      <c r="E75" s="294" t="s">
        <v>171</v>
      </c>
      <c r="F75" s="294" t="s">
        <v>175</v>
      </c>
      <c r="G75" s="294" t="s">
        <v>823</v>
      </c>
      <c r="H75" s="294" t="s">
        <v>173</v>
      </c>
      <c r="I75" s="295"/>
      <c r="J75" s="295">
        <v>195</v>
      </c>
      <c r="K75" s="294">
        <v>227424</v>
      </c>
      <c r="L75" s="193">
        <f>I75+J75*EERR!$D$2</f>
        <v>125626.8</v>
      </c>
      <c r="M75" s="123">
        <f>L75/EERR!$D$2</f>
        <v>195</v>
      </c>
      <c r="N75" s="123">
        <f>SUMIF(Agosto!$B$3:$B$92,A75,Agosto!$T$3:$T$92)</f>
        <v>753760.8</v>
      </c>
    </row>
    <row r="76" spans="1:14" x14ac:dyDescent="0.25">
      <c r="A76" s="258">
        <v>58757</v>
      </c>
      <c r="B76" s="259">
        <v>42969.684027777781</v>
      </c>
      <c r="C76" s="260">
        <v>30975278</v>
      </c>
      <c r="D76" s="260" t="s">
        <v>170</v>
      </c>
      <c r="E76" s="260" t="s">
        <v>171</v>
      </c>
      <c r="F76" s="260" t="s">
        <v>175</v>
      </c>
      <c r="G76" s="260" t="s">
        <v>824</v>
      </c>
      <c r="H76" s="260" t="s">
        <v>173</v>
      </c>
      <c r="I76" s="261"/>
      <c r="J76" s="261">
        <v>195</v>
      </c>
      <c r="K76" s="260">
        <v>260172</v>
      </c>
      <c r="L76" s="193">
        <f>I76+J76*EERR!$D$2</f>
        <v>125626.8</v>
      </c>
      <c r="M76" s="123">
        <f>L76/EERR!$D$2</f>
        <v>195</v>
      </c>
      <c r="N76" s="123">
        <f>SUMIF(Agosto!$B$3:$B$92,A76,Agosto!$T$3:$T$92)</f>
        <v>0</v>
      </c>
    </row>
    <row r="77" spans="1:14" x14ac:dyDescent="0.25">
      <c r="A77" s="258">
        <v>53254</v>
      </c>
      <c r="B77" s="259">
        <v>42969.685416666667</v>
      </c>
      <c r="C77" s="260">
        <v>30905830</v>
      </c>
      <c r="D77" s="260" t="s">
        <v>170</v>
      </c>
      <c r="E77" s="260" t="s">
        <v>174</v>
      </c>
      <c r="F77" s="260" t="s">
        <v>175</v>
      </c>
      <c r="G77" s="260" t="s">
        <v>825</v>
      </c>
      <c r="H77" s="260" t="s">
        <v>174</v>
      </c>
      <c r="I77" s="261">
        <v>149208</v>
      </c>
      <c r="J77" s="261"/>
      <c r="K77" s="260">
        <v>434588</v>
      </c>
      <c r="L77" s="193">
        <f>I77+J77*EERR!$D$2</f>
        <v>149208</v>
      </c>
      <c r="M77" s="123">
        <f>L77/EERR!$D$2</f>
        <v>231.60312926859555</v>
      </c>
      <c r="N77" s="123">
        <f>SUMIF(Agosto!$B$3:$B$92,A77,Agosto!$T$3:$T$92)</f>
        <v>0</v>
      </c>
    </row>
    <row r="78" spans="1:14" x14ac:dyDescent="0.25">
      <c r="A78" s="258">
        <v>5429</v>
      </c>
      <c r="B78" s="259">
        <v>42969.686111111114</v>
      </c>
      <c r="C78" s="260">
        <v>30975278</v>
      </c>
      <c r="D78" s="260" t="s">
        <v>170</v>
      </c>
      <c r="E78" s="260" t="s">
        <v>171</v>
      </c>
      <c r="F78" s="260" t="s">
        <v>172</v>
      </c>
      <c r="G78" s="260" t="s">
        <v>826</v>
      </c>
      <c r="H78" s="260" t="s">
        <v>173</v>
      </c>
      <c r="I78" s="261"/>
      <c r="J78" s="261">
        <v>220</v>
      </c>
      <c r="K78" s="260">
        <v>57</v>
      </c>
      <c r="L78" s="193">
        <f>I78+J78*EERR!$D$2</f>
        <v>141732.79999999999</v>
      </c>
      <c r="M78" s="123">
        <f>L78/EERR!$D$2</f>
        <v>219.99999999999997</v>
      </c>
      <c r="N78" s="123">
        <f>SUMIF(Agosto!$B$3:$B$92,A78,Agosto!$T$3:$T$92)</f>
        <v>0</v>
      </c>
    </row>
    <row r="79" spans="1:14" x14ac:dyDescent="0.25">
      <c r="A79" s="258">
        <v>23633</v>
      </c>
      <c r="B79" s="259">
        <v>42969.686805555553</v>
      </c>
      <c r="C79" s="260">
        <v>30975278</v>
      </c>
      <c r="D79" s="260" t="s">
        <v>170</v>
      </c>
      <c r="E79" s="260" t="s">
        <v>171</v>
      </c>
      <c r="F79" s="260" t="s">
        <v>176</v>
      </c>
      <c r="G79" s="260" t="s">
        <v>827</v>
      </c>
      <c r="H79" s="260" t="s">
        <v>173</v>
      </c>
      <c r="I79" s="261"/>
      <c r="J79" s="261">
        <v>220</v>
      </c>
      <c r="K79" s="260" t="s">
        <v>828</v>
      </c>
      <c r="L79" s="193">
        <f>I79+J79*EERR!$D$2</f>
        <v>141732.79999999999</v>
      </c>
      <c r="M79" s="123">
        <f>L79/EERR!$D$2</f>
        <v>219.99999999999997</v>
      </c>
      <c r="N79" s="123">
        <f>SUMIF(Agosto!$B$3:$B$92,A79,Agosto!$T$3:$T$92)</f>
        <v>0</v>
      </c>
    </row>
    <row r="80" spans="1:14" x14ac:dyDescent="0.25">
      <c r="A80" s="258">
        <v>31622</v>
      </c>
      <c r="B80" s="259">
        <v>42969.6875</v>
      </c>
      <c r="C80" s="260">
        <v>30975278</v>
      </c>
      <c r="D80" s="260" t="s">
        <v>170</v>
      </c>
      <c r="E80" s="260" t="s">
        <v>171</v>
      </c>
      <c r="F80" s="260" t="s">
        <v>175</v>
      </c>
      <c r="G80" s="260" t="s">
        <v>829</v>
      </c>
      <c r="H80" s="260" t="s">
        <v>173</v>
      </c>
      <c r="I80" s="261"/>
      <c r="J80" s="261">
        <v>195</v>
      </c>
      <c r="K80" s="260">
        <v>23212</v>
      </c>
      <c r="L80" s="193">
        <f>I80+J80*EERR!$D$2</f>
        <v>125626.8</v>
      </c>
      <c r="M80" s="123">
        <f>L80/EERR!$D$2</f>
        <v>195</v>
      </c>
      <c r="N80" s="123">
        <f>SUMIF(Agosto!$B$3:$B$92,A80,Agosto!$T$3:$T$92)</f>
        <v>0</v>
      </c>
    </row>
    <row r="81" spans="1:14" x14ac:dyDescent="0.25">
      <c r="A81" s="258">
        <v>79315</v>
      </c>
      <c r="B81" s="259">
        <v>42969.688194444447</v>
      </c>
      <c r="C81" s="260">
        <v>30905830</v>
      </c>
      <c r="D81" s="260" t="s">
        <v>170</v>
      </c>
      <c r="E81" s="260" t="s">
        <v>174</v>
      </c>
      <c r="F81" s="260" t="s">
        <v>175</v>
      </c>
      <c r="G81" s="260" t="s">
        <v>830</v>
      </c>
      <c r="H81" s="260" t="s">
        <v>174</v>
      </c>
      <c r="I81" s="261">
        <v>168337</v>
      </c>
      <c r="J81" s="261"/>
      <c r="K81" s="260">
        <v>6241</v>
      </c>
      <c r="L81" s="193">
        <f>I81+J81*EERR!$D$2</f>
        <v>168337</v>
      </c>
      <c r="M81" s="123">
        <f>L81/EERR!$D$2</f>
        <v>261.29547994536199</v>
      </c>
      <c r="N81" s="123">
        <f>SUMIF(Agosto!$B$3:$B$92,A81,Agosto!$T$3:$T$92)</f>
        <v>0</v>
      </c>
    </row>
    <row r="82" spans="1:14" x14ac:dyDescent="0.25">
      <c r="A82" s="277">
        <v>60238</v>
      </c>
      <c r="B82" s="262">
        <v>42969.688888888886</v>
      </c>
      <c r="C82" s="260">
        <v>30975278</v>
      </c>
      <c r="D82" s="260" t="s">
        <v>170</v>
      </c>
      <c r="E82" s="260" t="s">
        <v>171</v>
      </c>
      <c r="F82" s="260" t="s">
        <v>175</v>
      </c>
      <c r="G82" s="260" t="s">
        <v>831</v>
      </c>
      <c r="H82" s="260" t="s">
        <v>173</v>
      </c>
      <c r="I82" s="261"/>
      <c r="J82" s="261">
        <v>195</v>
      </c>
      <c r="K82" s="260">
        <v>325272</v>
      </c>
      <c r="L82" s="193">
        <f>I82+J82*EERR!$D$2</f>
        <v>125626.8</v>
      </c>
      <c r="M82" s="123">
        <f>L82/EERR!$D$2</f>
        <v>195</v>
      </c>
      <c r="N82" s="123">
        <f>SUMIF(Agosto!$B$3:$B$92,A82,Agosto!$T$3:$T$92)</f>
        <v>0</v>
      </c>
    </row>
    <row r="83" spans="1:14" x14ac:dyDescent="0.25">
      <c r="A83" s="258">
        <v>6530</v>
      </c>
      <c r="B83" s="259">
        <v>42969.689583333333</v>
      </c>
      <c r="C83" s="260">
        <v>30975278</v>
      </c>
      <c r="D83" s="260" t="s">
        <v>170</v>
      </c>
      <c r="E83" s="260" t="s">
        <v>171</v>
      </c>
      <c r="F83" s="260" t="s">
        <v>175</v>
      </c>
      <c r="G83" s="260" t="s">
        <v>832</v>
      </c>
      <c r="H83" s="260" t="s">
        <v>173</v>
      </c>
      <c r="I83" s="261"/>
      <c r="J83" s="261">
        <v>195</v>
      </c>
      <c r="K83" s="260">
        <v>32090</v>
      </c>
      <c r="L83" s="193">
        <f>I83+J83*EERR!$D$2</f>
        <v>125626.8</v>
      </c>
      <c r="M83" s="123">
        <f>L83/EERR!$D$2</f>
        <v>195</v>
      </c>
      <c r="N83" s="123">
        <f>SUMIF(Agosto!$B$3:$B$92,A83,Agosto!$T$3:$T$92)</f>
        <v>0</v>
      </c>
    </row>
    <row r="84" spans="1:14" x14ac:dyDescent="0.25">
      <c r="A84" s="258">
        <v>51174</v>
      </c>
      <c r="B84" s="259">
        <v>42969.69027777778</v>
      </c>
      <c r="C84" s="260">
        <v>30975278</v>
      </c>
      <c r="D84" s="260" t="s">
        <v>170</v>
      </c>
      <c r="E84" s="260" t="s">
        <v>171</v>
      </c>
      <c r="F84" s="260" t="s">
        <v>172</v>
      </c>
      <c r="G84" s="260" t="s">
        <v>833</v>
      </c>
      <c r="H84" s="260" t="s">
        <v>173</v>
      </c>
      <c r="I84" s="261"/>
      <c r="J84" s="261">
        <v>220</v>
      </c>
      <c r="K84" s="260">
        <v>63</v>
      </c>
      <c r="L84" s="193">
        <f>I84+J84*EERR!$D$2</f>
        <v>141732.79999999999</v>
      </c>
      <c r="M84" s="123">
        <f>L84/EERR!$D$2</f>
        <v>219.99999999999997</v>
      </c>
      <c r="N84" s="123">
        <f>SUMIF(Agosto!$B$3:$B$92,A84,Agosto!$T$3:$T$92)</f>
        <v>0</v>
      </c>
    </row>
    <row r="85" spans="1:14" x14ac:dyDescent="0.25">
      <c r="A85" s="258">
        <v>57837</v>
      </c>
      <c r="B85" s="259">
        <v>42969.691666666666</v>
      </c>
      <c r="C85" s="260">
        <v>30905830</v>
      </c>
      <c r="D85" s="260" t="s">
        <v>170</v>
      </c>
      <c r="E85" s="260" t="s">
        <v>174</v>
      </c>
      <c r="F85" s="260" t="s">
        <v>176</v>
      </c>
      <c r="G85" s="260" t="s">
        <v>834</v>
      </c>
      <c r="H85" s="260" t="s">
        <v>174</v>
      </c>
      <c r="I85" s="261">
        <v>447624</v>
      </c>
      <c r="J85" s="261"/>
      <c r="K85" s="260">
        <v>807493</v>
      </c>
      <c r="L85" s="193">
        <f>I85+J85*EERR!$D$2</f>
        <v>447624</v>
      </c>
      <c r="M85" s="123">
        <f>L85/EERR!$D$2</f>
        <v>694.80938780578663</v>
      </c>
      <c r="N85" s="123">
        <f>SUMIF(Agosto!$B$3:$B$92,A85,Agosto!$T$3:$T$92)</f>
        <v>0</v>
      </c>
    </row>
    <row r="86" spans="1:14" x14ac:dyDescent="0.25">
      <c r="A86" s="258">
        <v>99208</v>
      </c>
      <c r="B86" s="259">
        <v>42969.693055555559</v>
      </c>
      <c r="C86" s="260">
        <v>30975278</v>
      </c>
      <c r="D86" s="260" t="s">
        <v>170</v>
      </c>
      <c r="E86" s="260" t="s">
        <v>171</v>
      </c>
      <c r="F86" s="260" t="s">
        <v>175</v>
      </c>
      <c r="G86" s="260" t="s">
        <v>835</v>
      </c>
      <c r="H86" s="260" t="s">
        <v>173</v>
      </c>
      <c r="I86" s="261"/>
      <c r="J86" s="261">
        <v>209</v>
      </c>
      <c r="K86" s="260">
        <v>690913</v>
      </c>
      <c r="L86" s="193">
        <f>I86+J86*EERR!$D$2</f>
        <v>134646.16</v>
      </c>
      <c r="M86" s="123">
        <f>L86/EERR!$D$2</f>
        <v>209</v>
      </c>
      <c r="N86" s="123">
        <f>SUMIF(Agosto!$B$3:$B$92,A86,Agosto!$T$3:$T$92)</f>
        <v>0</v>
      </c>
    </row>
    <row r="87" spans="1:14" x14ac:dyDescent="0.25">
      <c r="A87" s="258">
        <v>25903</v>
      </c>
      <c r="B87" s="259">
        <v>42970.943749999999</v>
      </c>
      <c r="C87" s="260">
        <v>30975278</v>
      </c>
      <c r="D87" s="260" t="s">
        <v>170</v>
      </c>
      <c r="E87" s="260" t="s">
        <v>171</v>
      </c>
      <c r="F87" s="260" t="s">
        <v>175</v>
      </c>
      <c r="G87" s="260" t="s">
        <v>836</v>
      </c>
      <c r="H87" s="260" t="s">
        <v>173</v>
      </c>
      <c r="I87" s="261"/>
      <c r="J87" s="261">
        <v>878</v>
      </c>
      <c r="K87" s="260">
        <v>78642</v>
      </c>
      <c r="L87" s="193">
        <f>I87+J87*EERR!$D$2</f>
        <v>565642.72</v>
      </c>
      <c r="M87" s="123">
        <f>L87/EERR!$D$2</f>
        <v>878</v>
      </c>
      <c r="N87" s="123">
        <f>SUMIF(Agosto!$B$3:$B$92,A87,Agosto!$T$3:$T$92)</f>
        <v>678384.72</v>
      </c>
    </row>
    <row r="88" spans="1:14" x14ac:dyDescent="0.25">
      <c r="A88" s="258">
        <v>13931</v>
      </c>
      <c r="B88" s="259">
        <v>42971.475694444445</v>
      </c>
      <c r="C88" s="260">
        <v>30975278</v>
      </c>
      <c r="D88" s="260" t="s">
        <v>170</v>
      </c>
      <c r="E88" s="260" t="s">
        <v>171</v>
      </c>
      <c r="F88" s="260" t="s">
        <v>175</v>
      </c>
      <c r="G88" s="260" t="s">
        <v>495</v>
      </c>
      <c r="H88" s="260" t="s">
        <v>173</v>
      </c>
      <c r="I88" s="261"/>
      <c r="J88" s="261">
        <v>195</v>
      </c>
      <c r="K88" s="260">
        <v>717355</v>
      </c>
      <c r="L88" s="193">
        <f>I88+J88*EERR!$D$2</f>
        <v>125626.8</v>
      </c>
      <c r="M88" s="123">
        <f>L88/EERR!$D$2</f>
        <v>195</v>
      </c>
      <c r="N88" s="123">
        <f>SUMIF(Agosto!$B$3:$B$92,A88,Agosto!$T$3:$T$92)</f>
        <v>502507.2</v>
      </c>
    </row>
    <row r="89" spans="1:14" x14ac:dyDescent="0.25">
      <c r="A89" s="258">
        <v>15880</v>
      </c>
      <c r="B89" s="259">
        <v>42971.477083333331</v>
      </c>
      <c r="C89" s="260">
        <v>30905830</v>
      </c>
      <c r="D89" s="260" t="s">
        <v>170</v>
      </c>
      <c r="E89" s="260" t="s">
        <v>174</v>
      </c>
      <c r="F89" s="260" t="s">
        <v>175</v>
      </c>
      <c r="G89" s="260" t="s">
        <v>785</v>
      </c>
      <c r="H89" s="260" t="s">
        <v>174</v>
      </c>
      <c r="I89" s="261">
        <v>298416</v>
      </c>
      <c r="J89" s="261"/>
      <c r="K89" s="260">
        <v>525724</v>
      </c>
      <c r="L89" s="193">
        <f>I89+J89*EERR!$D$2</f>
        <v>298416</v>
      </c>
      <c r="M89" s="123">
        <f>L89/EERR!$D$2</f>
        <v>463.2062585371911</v>
      </c>
      <c r="N89" s="123">
        <f>SUMIF(Agosto!$B$3:$B$92,A89,Agosto!$T$3:$T$92)</f>
        <v>0</v>
      </c>
    </row>
    <row r="90" spans="1:14" x14ac:dyDescent="0.25">
      <c r="A90" s="258">
        <v>84142</v>
      </c>
      <c r="B90" s="259">
        <v>42971.563888888886</v>
      </c>
      <c r="C90" s="260">
        <v>30975278</v>
      </c>
      <c r="D90" s="260" t="s">
        <v>170</v>
      </c>
      <c r="E90" s="260" t="s">
        <v>171</v>
      </c>
      <c r="F90" s="260" t="s">
        <v>175</v>
      </c>
      <c r="G90" s="260" t="s">
        <v>837</v>
      </c>
      <c r="H90" s="260" t="s">
        <v>173</v>
      </c>
      <c r="I90" s="261"/>
      <c r="J90" s="261">
        <v>585</v>
      </c>
      <c r="K90" s="260">
        <v>757226</v>
      </c>
      <c r="L90" s="193">
        <f>I90+J90*EERR!$D$2</f>
        <v>376880.4</v>
      </c>
      <c r="M90" s="123">
        <f>L90/EERR!$D$2</f>
        <v>585</v>
      </c>
      <c r="N90" s="123">
        <f>SUMIF(Agosto!$B$3:$B$92,A90,Agosto!$T$3:$T$92)</f>
        <v>502507.2</v>
      </c>
    </row>
    <row r="91" spans="1:14" x14ac:dyDescent="0.25">
      <c r="A91" s="258">
        <v>806</v>
      </c>
      <c r="B91" s="259">
        <v>42971.570138888892</v>
      </c>
      <c r="C91" s="260">
        <v>30975278</v>
      </c>
      <c r="D91" s="260" t="s">
        <v>170</v>
      </c>
      <c r="E91" s="260" t="s">
        <v>171</v>
      </c>
      <c r="F91" s="260" t="s">
        <v>175</v>
      </c>
      <c r="G91" s="260" t="s">
        <v>838</v>
      </c>
      <c r="H91" s="260" t="s">
        <v>173</v>
      </c>
      <c r="I91" s="261"/>
      <c r="J91" s="261">
        <v>220</v>
      </c>
      <c r="K91" s="260">
        <v>822264</v>
      </c>
      <c r="L91" s="193">
        <f>I91+J91*EERR!$D$2</f>
        <v>141732.79999999999</v>
      </c>
      <c r="M91" s="123">
        <f>L91/EERR!$D$2</f>
        <v>219.99999999999997</v>
      </c>
      <c r="N91" s="123">
        <f>SUMIF(Agosto!$B$3:$B$92,A91,Agosto!$T$3:$T$92)</f>
        <v>0</v>
      </c>
    </row>
    <row r="92" spans="1:14" x14ac:dyDescent="0.25">
      <c r="A92" s="258">
        <v>99627</v>
      </c>
      <c r="B92" s="259">
        <v>42972.414583333331</v>
      </c>
      <c r="C92" s="260">
        <v>30905830</v>
      </c>
      <c r="D92" s="260" t="s">
        <v>170</v>
      </c>
      <c r="E92" s="260" t="s">
        <v>174</v>
      </c>
      <c r="F92" s="260" t="s">
        <v>176</v>
      </c>
      <c r="G92" s="260" t="s">
        <v>839</v>
      </c>
      <c r="H92" s="260" t="s">
        <v>174</v>
      </c>
      <c r="I92" s="261">
        <v>298416</v>
      </c>
      <c r="J92" s="261"/>
      <c r="K92" s="260">
        <v>569507</v>
      </c>
      <c r="L92" s="193">
        <f>I92+J92*EERR!$D$2</f>
        <v>298416</v>
      </c>
      <c r="M92" s="123">
        <f>L92/EERR!$D$2</f>
        <v>463.2062585371911</v>
      </c>
      <c r="N92" s="123">
        <f>SUMIF(Agosto!$B$3:$B$92,A92,Agosto!$T$3:$T$92)</f>
        <v>449249</v>
      </c>
    </row>
    <row r="93" spans="1:14" x14ac:dyDescent="0.25">
      <c r="A93" s="258">
        <v>80597</v>
      </c>
      <c r="B93" s="259">
        <v>42972.661805555559</v>
      </c>
      <c r="C93" s="260">
        <v>30975278</v>
      </c>
      <c r="D93" s="260" t="s">
        <v>170</v>
      </c>
      <c r="E93" s="260" t="s">
        <v>171</v>
      </c>
      <c r="F93" s="260" t="s">
        <v>176</v>
      </c>
      <c r="G93" s="260" t="s">
        <v>840</v>
      </c>
      <c r="H93" s="260" t="s">
        <v>173</v>
      </c>
      <c r="I93" s="261"/>
      <c r="J93" s="261">
        <v>351</v>
      </c>
      <c r="K93" s="260" t="s">
        <v>841</v>
      </c>
      <c r="L93" s="193">
        <f>I93+J93*EERR!$D$2</f>
        <v>226128.24</v>
      </c>
      <c r="M93" s="123">
        <f>L93/EERR!$D$2</f>
        <v>351</v>
      </c>
      <c r="N93" s="123">
        <f>SUMIF(Agosto!$B$3:$B$92,A93,Agosto!$T$3:$T$92)</f>
        <v>339192.36</v>
      </c>
    </row>
    <row r="94" spans="1:14" x14ac:dyDescent="0.25">
      <c r="A94" s="258">
        <v>320</v>
      </c>
      <c r="B94" s="259">
        <v>42972.674305555556</v>
      </c>
      <c r="C94" s="260">
        <v>30975278</v>
      </c>
      <c r="D94" s="260" t="s">
        <v>170</v>
      </c>
      <c r="E94" s="260" t="s">
        <v>171</v>
      </c>
      <c r="F94" s="260" t="s">
        <v>176</v>
      </c>
      <c r="G94" s="260" t="s">
        <v>812</v>
      </c>
      <c r="H94" s="260" t="s">
        <v>173</v>
      </c>
      <c r="I94" s="261"/>
      <c r="J94" s="261">
        <v>390</v>
      </c>
      <c r="K94" s="260">
        <v>120663</v>
      </c>
      <c r="L94" s="193">
        <f>I94+J94*EERR!$D$2</f>
        <v>251253.6</v>
      </c>
      <c r="M94" s="123">
        <f>L94/EERR!$D$2</f>
        <v>390</v>
      </c>
      <c r="N94" s="123">
        <f>SUMIF(Agosto!$B$3:$B$92,A94,Agosto!$T$3:$T$92)</f>
        <v>376880.4</v>
      </c>
    </row>
    <row r="95" spans="1:14" x14ac:dyDescent="0.25">
      <c r="A95" s="258">
        <v>15589</v>
      </c>
      <c r="B95" s="259">
        <v>42972.684027777781</v>
      </c>
      <c r="C95" s="260">
        <v>30905830</v>
      </c>
      <c r="D95" s="260" t="s">
        <v>170</v>
      </c>
      <c r="E95" s="260" t="s">
        <v>174</v>
      </c>
      <c r="F95" s="260" t="s">
        <v>175</v>
      </c>
      <c r="G95" s="260" t="s">
        <v>805</v>
      </c>
      <c r="H95" s="260" t="s">
        <v>174</v>
      </c>
      <c r="I95" s="261">
        <v>300273</v>
      </c>
      <c r="J95" s="261"/>
      <c r="K95" s="260">
        <v>912566</v>
      </c>
      <c r="L95" s="193">
        <f>I95+J95*EERR!$D$2</f>
        <v>300273</v>
      </c>
      <c r="M95" s="123">
        <f>L95/EERR!$D$2</f>
        <v>466.08872469886995</v>
      </c>
      <c r="N95" s="123">
        <f>SUMIF(Agosto!$B$3:$B$92,A95,Agosto!$T$3:$T$92)</f>
        <v>450641</v>
      </c>
    </row>
    <row r="96" spans="1:14" x14ac:dyDescent="0.25">
      <c r="A96" s="258">
        <v>45417</v>
      </c>
      <c r="B96" s="259">
        <v>42972.685416666667</v>
      </c>
      <c r="C96" s="260">
        <v>30905830</v>
      </c>
      <c r="D96" s="260" t="s">
        <v>170</v>
      </c>
      <c r="E96" s="260" t="s">
        <v>174</v>
      </c>
      <c r="F96" s="260" t="s">
        <v>175</v>
      </c>
      <c r="G96" s="260" t="s">
        <v>805</v>
      </c>
      <c r="H96" s="260" t="s">
        <v>174</v>
      </c>
      <c r="I96" s="261">
        <v>141527</v>
      </c>
      <c r="J96" s="261"/>
      <c r="K96" s="260">
        <v>344207</v>
      </c>
      <c r="L96" s="193">
        <f>I96+J96*EERR!$D$2</f>
        <v>141527</v>
      </c>
      <c r="M96" s="123">
        <f>L96/EERR!$D$2</f>
        <v>219.68055383087048</v>
      </c>
      <c r="N96" s="123">
        <f>SUMIF(Agosto!$B$3:$B$92,A96,Agosto!$T$3:$T$92)</f>
        <v>141527</v>
      </c>
    </row>
    <row r="97" spans="1:18" x14ac:dyDescent="0.25">
      <c r="A97" s="258">
        <v>66678</v>
      </c>
      <c r="B97" s="259">
        <v>42973.426388888889</v>
      </c>
      <c r="C97" s="260">
        <v>30975278</v>
      </c>
      <c r="D97" s="260" t="s">
        <v>170</v>
      </c>
      <c r="E97" s="260" t="s">
        <v>171</v>
      </c>
      <c r="F97" s="260" t="s">
        <v>175</v>
      </c>
      <c r="G97" s="260" t="s">
        <v>842</v>
      </c>
      <c r="H97" s="260" t="s">
        <v>173</v>
      </c>
      <c r="I97" s="261"/>
      <c r="J97" s="261">
        <v>878</v>
      </c>
      <c r="K97" s="260">
        <v>898975</v>
      </c>
      <c r="L97" s="193">
        <f>I97+J97*EERR!$D$2</f>
        <v>565642.72</v>
      </c>
      <c r="M97" s="123">
        <f>L97/EERR!$D$2</f>
        <v>878</v>
      </c>
      <c r="N97" s="123">
        <f>SUMIF(Agosto!$B$3:$B$92,A97,Agosto!$T$3:$T$92)</f>
        <v>678384.72</v>
      </c>
    </row>
    <row r="98" spans="1:18" x14ac:dyDescent="0.25">
      <c r="A98" s="258">
        <v>70451</v>
      </c>
      <c r="B98" s="259">
        <v>42974.715277777781</v>
      </c>
      <c r="C98" s="260">
        <v>30975278</v>
      </c>
      <c r="D98" s="260" t="s">
        <v>170</v>
      </c>
      <c r="E98" s="260" t="s">
        <v>171</v>
      </c>
      <c r="F98" s="260" t="s">
        <v>175</v>
      </c>
      <c r="G98" s="260" t="s">
        <v>843</v>
      </c>
      <c r="H98" s="260" t="s">
        <v>173</v>
      </c>
      <c r="I98" s="261"/>
      <c r="J98" s="261">
        <v>370</v>
      </c>
      <c r="K98" s="260">
        <v>181342</v>
      </c>
      <c r="L98" s="193">
        <f>I98+J98*EERR!$D$2</f>
        <v>238368.80000000002</v>
      </c>
      <c r="M98" s="123">
        <f>L98/EERR!$D$2</f>
        <v>370</v>
      </c>
      <c r="N98" s="123">
        <f>SUMIF(Agosto!$B$3:$B$92,A98,Agosto!$T$3:$T$92)</f>
        <v>238368.80000000002</v>
      </c>
    </row>
    <row r="99" spans="1:18" x14ac:dyDescent="0.25">
      <c r="A99" s="258">
        <v>83732</v>
      </c>
      <c r="B99" s="259">
        <v>42975.740277777775</v>
      </c>
      <c r="C99" s="260">
        <v>30975278</v>
      </c>
      <c r="D99" s="260" t="s">
        <v>170</v>
      </c>
      <c r="E99" s="260" t="s">
        <v>171</v>
      </c>
      <c r="F99" s="260" t="s">
        <v>176</v>
      </c>
      <c r="G99" s="260" t="s">
        <v>844</v>
      </c>
      <c r="H99" s="260" t="s">
        <v>173</v>
      </c>
      <c r="I99" s="261"/>
      <c r="J99" s="261">
        <v>702</v>
      </c>
      <c r="K99" s="260">
        <v>638618</v>
      </c>
      <c r="L99" s="193">
        <f>I99+J99*EERR!$D$2</f>
        <v>452256.48</v>
      </c>
      <c r="M99" s="123">
        <f>L99/EERR!$D$2</f>
        <v>702</v>
      </c>
      <c r="N99" s="123">
        <f>SUMIF(Agosto!$B$3:$B$92,A99,Agosto!$T$3:$T$92)</f>
        <v>565320.6</v>
      </c>
    </row>
    <row r="100" spans="1:18" x14ac:dyDescent="0.25">
      <c r="A100" s="258">
        <v>23892</v>
      </c>
      <c r="B100" s="262">
        <v>42977.759027777778</v>
      </c>
      <c r="C100" s="260">
        <v>30975278</v>
      </c>
      <c r="D100" s="260" t="s">
        <v>170</v>
      </c>
      <c r="E100" s="260" t="s">
        <v>171</v>
      </c>
      <c r="F100" s="260" t="s">
        <v>175</v>
      </c>
      <c r="G100" s="260" t="s">
        <v>845</v>
      </c>
      <c r="H100" s="260" t="s">
        <v>173</v>
      </c>
      <c r="I100" s="261"/>
      <c r="J100" s="261">
        <v>780</v>
      </c>
      <c r="K100" s="260">
        <v>634612</v>
      </c>
      <c r="L100" s="193">
        <f>I100+J100*EERR!$D$2</f>
        <v>502507.2</v>
      </c>
      <c r="M100" s="123">
        <f>L100/EERR!$D$2</f>
        <v>780</v>
      </c>
      <c r="N100" s="123">
        <f>SUMIF(Agosto!$B$3:$B$92,A100,Agosto!$T$3:$T$92)</f>
        <v>628134</v>
      </c>
    </row>
    <row r="101" spans="1:18" x14ac:dyDescent="0.25">
      <c r="A101" s="258">
        <v>82201</v>
      </c>
      <c r="B101" s="259">
        <v>42977.861805555556</v>
      </c>
      <c r="C101" s="260">
        <v>30975278</v>
      </c>
      <c r="D101" s="260" t="s">
        <v>170</v>
      </c>
      <c r="E101" s="260" t="s">
        <v>171</v>
      </c>
      <c r="F101" s="260" t="s">
        <v>176</v>
      </c>
      <c r="G101" s="260" t="s">
        <v>846</v>
      </c>
      <c r="H101" s="260" t="s">
        <v>173</v>
      </c>
      <c r="I101" s="261"/>
      <c r="J101" s="261">
        <v>975</v>
      </c>
      <c r="K101" s="260">
        <v>421976</v>
      </c>
      <c r="L101" s="193">
        <f>I101+J101*EERR!$D$2</f>
        <v>628134</v>
      </c>
      <c r="M101" s="123">
        <f>L101/EERR!$D$2</f>
        <v>975</v>
      </c>
      <c r="N101" s="123">
        <f>SUMIF(Agosto!$B$3:$B$92,A101,Agosto!$T$3:$T$92)</f>
        <v>753760.8</v>
      </c>
      <c r="R101" s="60" t="s">
        <v>327</v>
      </c>
    </row>
    <row r="102" spans="1:18" x14ac:dyDescent="0.25">
      <c r="A102" s="258">
        <v>41417</v>
      </c>
      <c r="B102" s="259">
        <v>42978.347222222219</v>
      </c>
      <c r="C102" s="260">
        <v>30975278</v>
      </c>
      <c r="D102" s="260" t="s">
        <v>170</v>
      </c>
      <c r="E102" s="260" t="s">
        <v>171</v>
      </c>
      <c r="F102" s="260" t="s">
        <v>175</v>
      </c>
      <c r="G102" s="260" t="s">
        <v>847</v>
      </c>
      <c r="H102" s="260" t="s">
        <v>173</v>
      </c>
      <c r="I102" s="261"/>
      <c r="J102" s="261">
        <v>195</v>
      </c>
      <c r="K102" s="260">
        <v>84585</v>
      </c>
      <c r="L102" s="193">
        <f>I102+J102*EERR!$D$2</f>
        <v>125626.8</v>
      </c>
      <c r="M102" s="123">
        <f>L102/EERR!$D$2</f>
        <v>195</v>
      </c>
      <c r="N102" s="123">
        <f>SUMIF(Agosto!$B$3:$B$92,A102,Agosto!$T$3:$T$92)</f>
        <v>0</v>
      </c>
    </row>
    <row r="103" spans="1:18" x14ac:dyDescent="0.25">
      <c r="A103" s="258">
        <v>37223</v>
      </c>
      <c r="B103" s="259">
        <v>42978.43472222222</v>
      </c>
      <c r="C103" s="260">
        <v>30905830</v>
      </c>
      <c r="D103" s="260" t="s">
        <v>170</v>
      </c>
      <c r="E103" s="260" t="s">
        <v>174</v>
      </c>
      <c r="F103" s="260" t="s">
        <v>195</v>
      </c>
      <c r="G103" s="260" t="s">
        <v>848</v>
      </c>
      <c r="H103" s="260" t="s">
        <v>196</v>
      </c>
      <c r="I103" s="261">
        <v>437182</v>
      </c>
      <c r="J103" s="261"/>
      <c r="K103" s="260">
        <v>1142</v>
      </c>
      <c r="L103" s="193">
        <f>I103+J103*EERR!$D$2</f>
        <v>437182</v>
      </c>
      <c r="M103" s="123">
        <f>L103/EERR!$D$2</f>
        <v>678.60114243139196</v>
      </c>
      <c r="N103" s="123">
        <f>SUMIF(Agosto!$B$3:$B$92,A103,Agosto!$T$3:$T$92)</f>
        <v>437182</v>
      </c>
    </row>
    <row r="104" spans="1:18" x14ac:dyDescent="0.25">
      <c r="A104" s="258">
        <v>85310</v>
      </c>
      <c r="B104" s="259">
        <v>42978.441666666666</v>
      </c>
      <c r="C104" s="260">
        <v>30975278</v>
      </c>
      <c r="D104" s="260" t="s">
        <v>170</v>
      </c>
      <c r="E104" s="260" t="s">
        <v>171</v>
      </c>
      <c r="F104" s="260" t="s">
        <v>175</v>
      </c>
      <c r="G104" s="260" t="s">
        <v>787</v>
      </c>
      <c r="H104" s="260" t="s">
        <v>173</v>
      </c>
      <c r="I104" s="261"/>
      <c r="J104" s="261">
        <v>780</v>
      </c>
      <c r="K104" s="260">
        <v>79556</v>
      </c>
      <c r="L104" s="193">
        <f>I104+J104*EERR!$D$2</f>
        <v>502507.2</v>
      </c>
      <c r="M104" s="123">
        <f>L104/EERR!$D$2</f>
        <v>780</v>
      </c>
      <c r="N104" s="123">
        <f>SUMIF(Agosto!$B$3:$B$92,A104,Agosto!$T$3:$T$92)</f>
        <v>628134</v>
      </c>
    </row>
    <row r="105" spans="1:18" x14ac:dyDescent="0.25">
      <c r="A105" s="258">
        <v>93251</v>
      </c>
      <c r="B105" s="259">
        <v>42978.442361111112</v>
      </c>
      <c r="C105" s="260">
        <v>30975278</v>
      </c>
      <c r="D105" s="260" t="s">
        <v>170</v>
      </c>
      <c r="E105" s="260" t="s">
        <v>171</v>
      </c>
      <c r="F105" s="260" t="s">
        <v>175</v>
      </c>
      <c r="G105" s="260" t="s">
        <v>788</v>
      </c>
      <c r="H105" s="260" t="s">
        <v>173</v>
      </c>
      <c r="I105" s="261"/>
      <c r="J105" s="261">
        <v>780</v>
      </c>
      <c r="K105" s="260">
        <v>82756</v>
      </c>
      <c r="L105" s="193">
        <f>I105+J105*EERR!$D$2</f>
        <v>502507.2</v>
      </c>
      <c r="M105" s="123">
        <f>L105/EERR!$D$2</f>
        <v>780</v>
      </c>
      <c r="N105" s="123">
        <f>SUMIF(Agosto!$B$3:$B$92,A105,Agosto!$T$3:$T$92)</f>
        <v>628134</v>
      </c>
    </row>
    <row r="106" spans="1:18" x14ac:dyDescent="0.25">
      <c r="A106" s="258">
        <v>76007</v>
      </c>
      <c r="B106" s="259">
        <v>42978.871527777781</v>
      </c>
      <c r="C106" s="260">
        <v>30975278</v>
      </c>
      <c r="D106" s="260" t="s">
        <v>170</v>
      </c>
      <c r="E106" s="260" t="s">
        <v>171</v>
      </c>
      <c r="F106" s="260" t="s">
        <v>801</v>
      </c>
      <c r="G106" s="260" t="s">
        <v>789</v>
      </c>
      <c r="H106" s="260" t="s">
        <v>173</v>
      </c>
      <c r="I106" s="261"/>
      <c r="J106" s="261">
        <v>702</v>
      </c>
      <c r="K106" s="260">
        <v>17034</v>
      </c>
      <c r="L106" s="193">
        <f>I106+J106*EERR!$D$2</f>
        <v>452256.48</v>
      </c>
      <c r="M106" s="123">
        <f>L106/EERR!$D$2</f>
        <v>702</v>
      </c>
      <c r="N106" s="123">
        <f>SUMIF(Agosto!$B$3:$B$92,A106,Agosto!$T$3:$T$92)</f>
        <v>565320.6</v>
      </c>
    </row>
    <row r="107" spans="1:18" x14ac:dyDescent="0.25">
      <c r="A107" s="258"/>
      <c r="B107" s="259"/>
      <c r="C107" s="260"/>
      <c r="D107" s="260"/>
      <c r="E107" s="260"/>
      <c r="F107" s="260"/>
      <c r="G107" s="260"/>
      <c r="H107" s="260"/>
      <c r="I107" s="261"/>
      <c r="J107" s="261"/>
      <c r="K107" s="260"/>
      <c r="L107" s="193">
        <f>I107+J107*EERR!$D$2</f>
        <v>0</v>
      </c>
      <c r="M107" s="123">
        <f>L107/EERR!$D$2</f>
        <v>0</v>
      </c>
      <c r="N107" s="123">
        <f>SUMIF(Agosto!$B$3:$B$92,A107,Agosto!$T$3:$T$92)</f>
        <v>0</v>
      </c>
    </row>
    <row r="108" spans="1:18" x14ac:dyDescent="0.25">
      <c r="A108" s="258"/>
      <c r="B108" s="259"/>
      <c r="C108" s="260"/>
      <c r="D108" s="260"/>
      <c r="E108" s="260"/>
      <c r="F108" s="260"/>
      <c r="G108" s="260"/>
      <c r="H108" s="260"/>
      <c r="I108" s="261"/>
      <c r="J108" s="261"/>
      <c r="K108" s="260"/>
      <c r="L108" s="193">
        <f>I108+J108*EERR!$D$2</f>
        <v>0</v>
      </c>
      <c r="M108" s="123">
        <f>L108/EERR!$D$2</f>
        <v>0</v>
      </c>
      <c r="N108" s="123">
        <f>SUMIF(Agosto!$B$3:$B$92,A108,Agosto!$T$3:$T$92)</f>
        <v>0</v>
      </c>
    </row>
    <row r="109" spans="1:18" x14ac:dyDescent="0.25">
      <c r="A109" s="258"/>
      <c r="B109" s="259"/>
      <c r="C109" s="260"/>
      <c r="D109" s="260"/>
      <c r="E109" s="260"/>
      <c r="F109" s="260"/>
      <c r="G109" s="260"/>
      <c r="H109" s="260"/>
      <c r="I109" s="261"/>
      <c r="J109" s="261"/>
      <c r="K109" s="260"/>
      <c r="L109" s="193">
        <f>I109+J109*EERR!$D$2</f>
        <v>0</v>
      </c>
      <c r="M109" s="123">
        <f>L109/EERR!$D$2</f>
        <v>0</v>
      </c>
      <c r="N109" s="123">
        <f>SUMIF(Agosto!$B$3:$B$92,A109,Agosto!$T$3:$T$92)</f>
        <v>0</v>
      </c>
    </row>
    <row r="110" spans="1:18" x14ac:dyDescent="0.25">
      <c r="A110" s="258"/>
      <c r="B110" s="262"/>
      <c r="C110" s="294"/>
      <c r="D110" s="294"/>
      <c r="E110" s="294"/>
      <c r="F110" s="294"/>
      <c r="G110" s="294"/>
      <c r="H110" s="294"/>
      <c r="I110" s="295"/>
      <c r="J110" s="295"/>
      <c r="K110" s="294"/>
      <c r="L110" s="193">
        <f>I110+J110*EERR!$D$2</f>
        <v>0</v>
      </c>
      <c r="M110" s="123">
        <f>L110/EERR!$D$2</f>
        <v>0</v>
      </c>
      <c r="N110" s="123">
        <f>SUMIF(Agosto!$B$3:$B$92,A110,Agosto!$T$3:$T$92)</f>
        <v>0</v>
      </c>
    </row>
    <row r="111" spans="1:18" x14ac:dyDescent="0.25">
      <c r="A111" s="258"/>
      <c r="B111" s="262"/>
      <c r="C111" s="294"/>
      <c r="D111" s="294"/>
      <c r="E111" s="294"/>
      <c r="F111" s="294"/>
      <c r="G111" s="294"/>
      <c r="H111" s="294"/>
      <c r="I111" s="295"/>
      <c r="J111" s="295"/>
      <c r="K111" s="294"/>
      <c r="L111" s="193">
        <f>I111+J111*EERR!$D$2</f>
        <v>0</v>
      </c>
      <c r="M111" s="123">
        <f>L111/EERR!$D$2</f>
        <v>0</v>
      </c>
      <c r="N111" s="123">
        <f>SUMIF(Agosto!$B$3:$B$92,A111,Agosto!$T$3:$T$92)</f>
        <v>0</v>
      </c>
    </row>
    <row r="112" spans="1:18" x14ac:dyDescent="0.25">
      <c r="A112" s="258"/>
      <c r="B112" s="259"/>
      <c r="C112" s="260"/>
      <c r="D112" s="260"/>
      <c r="E112" s="260"/>
      <c r="F112" s="260"/>
      <c r="G112" s="260"/>
      <c r="H112" s="260"/>
      <c r="I112" s="261"/>
      <c r="J112" s="261"/>
      <c r="K112" s="260"/>
      <c r="L112" s="193">
        <f>I112+J112*EERR!$D$2</f>
        <v>0</v>
      </c>
      <c r="M112" s="123">
        <f>L112/EERR!$D$2</f>
        <v>0</v>
      </c>
      <c r="N112" s="123">
        <f>SUMIF(Agosto!$B$3:$B$92,A112,Agosto!$T$3:$T$92)</f>
        <v>0</v>
      </c>
    </row>
    <row r="113" spans="1:14" x14ac:dyDescent="0.25">
      <c r="A113" s="258"/>
      <c r="B113" s="259"/>
      <c r="C113" s="260"/>
      <c r="D113" s="260"/>
      <c r="E113" s="260"/>
      <c r="F113" s="260"/>
      <c r="G113" s="260"/>
      <c r="H113" s="260"/>
      <c r="I113" s="261"/>
      <c r="J113" s="261"/>
      <c r="K113" s="260"/>
      <c r="L113" s="193">
        <f>I113+J113*EERR!$D$2</f>
        <v>0</v>
      </c>
      <c r="M113" s="123">
        <f>L113/EERR!$D$2</f>
        <v>0</v>
      </c>
      <c r="N113" s="123">
        <f>SUMIF(Agosto!$B$3:$B$92,A113,Agosto!$T$3:$T$92)</f>
        <v>0</v>
      </c>
    </row>
    <row r="114" spans="1:14" x14ac:dyDescent="0.25">
      <c r="A114" s="258"/>
      <c r="B114" s="259"/>
      <c r="C114" s="260"/>
      <c r="D114" s="260"/>
      <c r="E114" s="260"/>
      <c r="F114" s="260"/>
      <c r="G114" s="260"/>
      <c r="H114" s="260"/>
      <c r="I114" s="261"/>
      <c r="J114" s="261"/>
      <c r="K114" s="260"/>
      <c r="L114" s="193">
        <f>I114+J114*EERR!$D$2</f>
        <v>0</v>
      </c>
      <c r="M114" s="123">
        <f>L114/EERR!$D$2</f>
        <v>0</v>
      </c>
      <c r="N114" s="123">
        <f>SUMIF(Agosto!$B$3:$B$92,A114,Agosto!$T$3:$T$92)</f>
        <v>0</v>
      </c>
    </row>
    <row r="115" spans="1:14" x14ac:dyDescent="0.25">
      <c r="A115" s="258"/>
      <c r="B115" s="259"/>
      <c r="C115" s="260"/>
      <c r="D115" s="260"/>
      <c r="E115" s="260"/>
      <c r="F115" s="260"/>
      <c r="G115" s="260"/>
      <c r="H115" s="260"/>
      <c r="I115" s="261"/>
      <c r="J115" s="261"/>
      <c r="K115" s="260"/>
      <c r="L115" s="193">
        <f>I115+J115*EERR!$D$2</f>
        <v>0</v>
      </c>
      <c r="M115" s="123">
        <f>L115/EERR!$D$2</f>
        <v>0</v>
      </c>
      <c r="N115" s="123">
        <f>SUMIF(Agosto!$B$3:$B$92,A115,Agosto!$T$3:$T$92)</f>
        <v>0</v>
      </c>
    </row>
    <row r="116" spans="1:14" x14ac:dyDescent="0.25">
      <c r="A116" s="258"/>
      <c r="B116" s="259"/>
      <c r="C116" s="260"/>
      <c r="D116" s="260"/>
      <c r="E116" s="260"/>
      <c r="F116" s="260"/>
      <c r="G116" s="260"/>
      <c r="H116" s="260"/>
      <c r="I116" s="261"/>
      <c r="J116" s="261"/>
      <c r="K116" s="260"/>
      <c r="L116" s="193">
        <f>I116+J116*EERR!$D$2</f>
        <v>0</v>
      </c>
      <c r="M116" s="123">
        <f>L116/EERR!$D$2</f>
        <v>0</v>
      </c>
      <c r="N116" s="123">
        <f>SUMIF(Agosto!$B$3:$B$92,A116,Agosto!$T$3:$T$92)</f>
        <v>0</v>
      </c>
    </row>
    <row r="117" spans="1:14" x14ac:dyDescent="0.25">
      <c r="A117" s="258"/>
      <c r="B117" s="259"/>
      <c r="C117" s="260"/>
      <c r="D117" s="260"/>
      <c r="E117" s="260"/>
      <c r="F117" s="260"/>
      <c r="G117" s="260"/>
      <c r="H117" s="260"/>
      <c r="I117" s="261"/>
      <c r="J117" s="261"/>
      <c r="K117" s="260"/>
      <c r="L117" s="193">
        <f>I117+J117*EERR!$D$2</f>
        <v>0</v>
      </c>
      <c r="M117" s="123">
        <f>L117/EERR!$D$2</f>
        <v>0</v>
      </c>
      <c r="N117" s="123">
        <f>SUMIF(Agosto!$B$3:$B$92,A117,Agosto!$T$3:$T$92)</f>
        <v>0</v>
      </c>
    </row>
    <row r="118" spans="1:14" x14ac:dyDescent="0.25">
      <c r="A118" s="258"/>
      <c r="B118" s="259"/>
      <c r="C118" s="260"/>
      <c r="D118" s="260"/>
      <c r="E118" s="260"/>
      <c r="F118" s="260"/>
      <c r="G118" s="260"/>
      <c r="H118" s="260"/>
      <c r="I118" s="261"/>
      <c r="J118" s="261"/>
      <c r="K118" s="260"/>
      <c r="L118" s="193">
        <f>I118+J118*EERR!$D$2</f>
        <v>0</v>
      </c>
      <c r="M118" s="123">
        <f>L118/EERR!$D$2</f>
        <v>0</v>
      </c>
      <c r="N118" s="123">
        <f>SUMIF(Agosto!$B$3:$B$92,A118,Agosto!$T$3:$T$92)</f>
        <v>0</v>
      </c>
    </row>
    <row r="119" spans="1:14" x14ac:dyDescent="0.25">
      <c r="A119" s="258"/>
      <c r="B119" s="259"/>
      <c r="C119" s="260"/>
      <c r="D119" s="260"/>
      <c r="E119" s="260"/>
      <c r="F119" s="260"/>
      <c r="G119" s="260"/>
      <c r="H119" s="260"/>
      <c r="I119" s="261"/>
      <c r="J119" s="261"/>
      <c r="K119" s="260"/>
      <c r="L119" s="193">
        <f>I119+J119*EERR!$D$2</f>
        <v>0</v>
      </c>
      <c r="M119" s="123">
        <f>L119/EERR!$D$2</f>
        <v>0</v>
      </c>
      <c r="N119" s="123">
        <f>SUMIF(Agosto!$B$3:$B$92,A119,Agosto!$T$3:$T$92)</f>
        <v>0</v>
      </c>
    </row>
    <row r="120" spans="1:14" x14ac:dyDescent="0.25">
      <c r="A120" s="258"/>
      <c r="B120" s="259"/>
      <c r="C120" s="260"/>
      <c r="D120" s="260"/>
      <c r="E120" s="260"/>
      <c r="F120" s="260"/>
      <c r="G120" s="260"/>
      <c r="H120" s="260"/>
      <c r="I120" s="261"/>
      <c r="J120" s="261"/>
      <c r="K120" s="260"/>
      <c r="L120" s="193">
        <f>I120+J120*EERR!$D$2</f>
        <v>0</v>
      </c>
      <c r="M120" s="123">
        <f>L120/EERR!$D$2</f>
        <v>0</v>
      </c>
      <c r="N120" s="123">
        <f>SUMIF(Agosto!$B$3:$B$92,A120,Agosto!$T$3:$T$92)</f>
        <v>0</v>
      </c>
    </row>
    <row r="121" spans="1:14" x14ac:dyDescent="0.25">
      <c r="A121" s="258"/>
      <c r="B121" s="259"/>
      <c r="C121" s="260"/>
      <c r="D121" s="260"/>
      <c r="E121" s="260"/>
      <c r="F121" s="260"/>
      <c r="G121" s="260"/>
      <c r="H121" s="260"/>
      <c r="I121" s="261"/>
      <c r="J121" s="261"/>
      <c r="K121" s="260"/>
      <c r="L121" s="193">
        <f>I121+J121*EERR!$D$2</f>
        <v>0</v>
      </c>
      <c r="M121" s="123">
        <f>L121/EERR!$D$2</f>
        <v>0</v>
      </c>
      <c r="N121" s="123">
        <f>SUMIF(Agosto!$B$3:$B$92,A121,Agosto!$T$3:$T$92)</f>
        <v>0</v>
      </c>
    </row>
    <row r="122" spans="1:14" x14ac:dyDescent="0.25">
      <c r="A122" s="258"/>
      <c r="B122" s="259"/>
      <c r="C122" s="260"/>
      <c r="D122" s="260"/>
      <c r="E122" s="260"/>
      <c r="F122" s="260"/>
      <c r="G122" s="260"/>
      <c r="H122" s="260"/>
      <c r="I122" s="261"/>
      <c r="J122" s="261"/>
      <c r="K122" s="260"/>
      <c r="L122" s="193">
        <f>I122+J122*EERR!$D$2</f>
        <v>0</v>
      </c>
      <c r="M122" s="123">
        <f>L122/EERR!$D$2</f>
        <v>0</v>
      </c>
      <c r="N122" s="123">
        <f>SUMIF(Agosto!$B$3:$B$92,A122,Agosto!$T$3:$T$92)</f>
        <v>0</v>
      </c>
    </row>
    <row r="123" spans="1:14" x14ac:dyDescent="0.25">
      <c r="A123" s="258"/>
      <c r="B123" s="259"/>
      <c r="C123" s="260"/>
      <c r="D123" s="260"/>
      <c r="E123" s="260"/>
      <c r="F123" s="260"/>
      <c r="G123" s="260"/>
      <c r="H123" s="260"/>
      <c r="I123" s="261"/>
      <c r="J123" s="261"/>
      <c r="K123" s="260"/>
      <c r="L123" s="193">
        <f>I123+J123*EERR!$D$2</f>
        <v>0</v>
      </c>
      <c r="M123" s="123">
        <f>L123/EERR!$D$2</f>
        <v>0</v>
      </c>
      <c r="N123" s="123">
        <f>SUMIF(Agosto!$B$3:$B$92,A123,Agosto!$T$3:$T$92)</f>
        <v>0</v>
      </c>
    </row>
    <row r="124" spans="1:14" x14ac:dyDescent="0.25">
      <c r="A124" s="258"/>
      <c r="B124" s="259"/>
      <c r="C124" s="260"/>
      <c r="D124" s="260"/>
      <c r="E124" s="260"/>
      <c r="F124" s="260"/>
      <c r="G124" s="260"/>
      <c r="H124" s="260"/>
      <c r="I124" s="261"/>
      <c r="J124" s="261"/>
      <c r="K124" s="260"/>
      <c r="L124" s="193">
        <f>I124+J124*EERR!$D$2</f>
        <v>0</v>
      </c>
      <c r="M124" s="123">
        <f>L124/EERR!$D$2</f>
        <v>0</v>
      </c>
      <c r="N124" s="123">
        <f>SUMIF(Agosto!$B$3:$B$92,A124,Agosto!$T$3:$T$92)</f>
        <v>0</v>
      </c>
    </row>
    <row r="125" spans="1:14" x14ac:dyDescent="0.25">
      <c r="A125" s="258"/>
      <c r="B125" s="259"/>
      <c r="C125" s="260"/>
      <c r="D125" s="260"/>
      <c r="E125" s="260"/>
      <c r="F125" s="260"/>
      <c r="G125" s="260"/>
      <c r="H125" s="260"/>
      <c r="I125" s="261"/>
      <c r="J125" s="261"/>
      <c r="K125" s="260"/>
      <c r="L125" s="193">
        <f>I125+J125*EERR!$D$2</f>
        <v>0</v>
      </c>
      <c r="M125" s="123">
        <f>L125/EERR!$D$2</f>
        <v>0</v>
      </c>
      <c r="N125" s="123">
        <f>SUMIF(Agosto!$B$3:$B$92,A125,Agosto!$T$3:$T$92)</f>
        <v>0</v>
      </c>
    </row>
    <row r="126" spans="1:14" x14ac:dyDescent="0.25">
      <c r="A126" s="258"/>
      <c r="B126" s="259"/>
      <c r="C126" s="260"/>
      <c r="D126" s="260"/>
      <c r="E126" s="260"/>
      <c r="F126" s="260"/>
      <c r="G126" s="260"/>
      <c r="H126" s="260"/>
      <c r="I126" s="261"/>
      <c r="J126" s="261"/>
      <c r="K126" s="260"/>
      <c r="L126" s="193">
        <f>I126+J126*EERR!$D$2</f>
        <v>0</v>
      </c>
      <c r="M126" s="123">
        <f>L126/EERR!$D$2</f>
        <v>0</v>
      </c>
      <c r="N126" s="123">
        <f>SUMIF(Agosto!$B$3:$B$92,A126,Agosto!$T$3:$T$92)</f>
        <v>0</v>
      </c>
    </row>
    <row r="127" spans="1:14" x14ac:dyDescent="0.25">
      <c r="A127" s="258"/>
      <c r="B127" s="259"/>
      <c r="C127" s="260"/>
      <c r="D127" s="260"/>
      <c r="E127" s="260"/>
      <c r="F127" s="260"/>
      <c r="G127" s="260"/>
      <c r="H127" s="260"/>
      <c r="I127" s="261"/>
      <c r="J127" s="261"/>
      <c r="K127" s="260"/>
      <c r="L127" s="193">
        <f>I127+J127*EERR!$D$2</f>
        <v>0</v>
      </c>
      <c r="M127" s="123">
        <f>L127/EERR!$D$2</f>
        <v>0</v>
      </c>
      <c r="N127" s="123">
        <f>SUMIF(Agosto!$B$3:$B$92,A127,Agosto!$T$3:$T$92)</f>
        <v>0</v>
      </c>
    </row>
    <row r="128" spans="1:14" x14ac:dyDescent="0.25">
      <c r="A128" s="258"/>
      <c r="B128" s="259"/>
      <c r="C128" s="260"/>
      <c r="D128" s="260"/>
      <c r="E128" s="260"/>
      <c r="F128" s="260"/>
      <c r="G128" s="260"/>
      <c r="H128" s="260"/>
      <c r="I128" s="261"/>
      <c r="J128" s="261"/>
      <c r="K128" s="260"/>
      <c r="L128" s="193">
        <f>I128+J128*EERR!$D$2</f>
        <v>0</v>
      </c>
      <c r="M128" s="123">
        <f>L128/EERR!$D$2</f>
        <v>0</v>
      </c>
      <c r="N128" s="123">
        <f>SUMIF(Agosto!$B$3:$B$92,A128,Agosto!$T$3:$T$92)</f>
        <v>0</v>
      </c>
    </row>
    <row r="129" spans="1:16" x14ac:dyDescent="0.25">
      <c r="A129" s="258"/>
      <c r="B129" s="259"/>
      <c r="C129" s="260"/>
      <c r="D129" s="260"/>
      <c r="E129" s="260"/>
      <c r="F129" s="260"/>
      <c r="G129" s="260"/>
      <c r="H129" s="260"/>
      <c r="I129" s="261"/>
      <c r="J129" s="261"/>
      <c r="K129" s="260"/>
      <c r="L129" s="193">
        <f>I129+J129*EERR!$D$2</f>
        <v>0</v>
      </c>
      <c r="M129" s="123">
        <f>L129/EERR!$D$2</f>
        <v>0</v>
      </c>
      <c r="N129" s="123">
        <f>SUMIF(Agosto!$B$3:$B$92,A129,Agosto!$T$3:$T$92)</f>
        <v>0</v>
      </c>
    </row>
    <row r="130" spans="1:16" x14ac:dyDescent="0.25">
      <c r="A130" s="258"/>
      <c r="B130" s="259"/>
      <c r="C130" s="260"/>
      <c r="D130" s="260"/>
      <c r="E130" s="260"/>
      <c r="F130" s="260"/>
      <c r="G130" s="260"/>
      <c r="H130" s="260"/>
      <c r="I130" s="261"/>
      <c r="J130" s="261"/>
      <c r="K130" s="260"/>
      <c r="L130" s="193">
        <f>I130+J130*EERR!$D$2</f>
        <v>0</v>
      </c>
      <c r="M130" s="123">
        <f>L130/EERR!$D$2</f>
        <v>0</v>
      </c>
      <c r="N130" s="123">
        <f>SUMIF(Agosto!$B$3:$B$92,A130,Agosto!$T$3:$T$92)</f>
        <v>0</v>
      </c>
    </row>
    <row r="131" spans="1:16" x14ac:dyDescent="0.25">
      <c r="A131" s="258"/>
      <c r="B131" s="259"/>
      <c r="C131" s="260"/>
      <c r="D131" s="260"/>
      <c r="E131" s="260"/>
      <c r="F131" s="260"/>
      <c r="G131" s="260"/>
      <c r="H131" s="260"/>
      <c r="I131" s="261"/>
      <c r="J131" s="261"/>
      <c r="K131" s="260"/>
      <c r="L131" s="193">
        <f>I131+J131*EERR!$D$2</f>
        <v>0</v>
      </c>
      <c r="M131" s="123">
        <f>L131/EERR!$D$2</f>
        <v>0</v>
      </c>
      <c r="N131" s="123">
        <f>SUMIF(Agosto!$B$3:$B$92,A131,Agosto!$T$3:$T$92)</f>
        <v>0</v>
      </c>
    </row>
    <row r="132" spans="1:16" x14ac:dyDescent="0.25">
      <c r="A132" s="258"/>
      <c r="B132" s="259"/>
      <c r="C132" s="260"/>
      <c r="D132" s="260"/>
      <c r="E132" s="260"/>
      <c r="F132" s="260"/>
      <c r="G132" s="260"/>
      <c r="H132" s="260"/>
      <c r="I132" s="261"/>
      <c r="J132" s="261"/>
      <c r="K132" s="260"/>
      <c r="L132" s="193">
        <f>I132+J132*EERR!$D$2</f>
        <v>0</v>
      </c>
      <c r="M132" s="123">
        <f>L132/EERR!$D$2</f>
        <v>0</v>
      </c>
      <c r="N132" s="123">
        <f>SUMIF(Agosto!$B$3:$B$92,A132,Agosto!$T$3:$T$92)</f>
        <v>0</v>
      </c>
    </row>
    <row r="133" spans="1:16" x14ac:dyDescent="0.25">
      <c r="A133" s="258"/>
      <c r="B133" s="259"/>
      <c r="C133" s="260"/>
      <c r="D133" s="260"/>
      <c r="E133" s="260"/>
      <c r="F133" s="260"/>
      <c r="G133" s="260"/>
      <c r="H133" s="260"/>
      <c r="I133" s="261"/>
      <c r="J133" s="261"/>
      <c r="K133" s="260"/>
      <c r="L133" s="193">
        <f>I133+J133*EERR!$D$2</f>
        <v>0</v>
      </c>
      <c r="M133" s="123">
        <f>L133/EERR!$D$2</f>
        <v>0</v>
      </c>
      <c r="N133" s="123">
        <f>SUMIF(Agosto!$B$3:$B$92,A133,Agosto!$T$3:$T$92)</f>
        <v>0</v>
      </c>
    </row>
    <row r="134" spans="1:16" x14ac:dyDescent="0.25">
      <c r="A134" s="258"/>
      <c r="B134" s="259"/>
      <c r="C134" s="260"/>
      <c r="D134" s="260"/>
      <c r="E134" s="260"/>
      <c r="F134" s="260"/>
      <c r="G134" s="260"/>
      <c r="H134" s="260"/>
      <c r="I134" s="261"/>
      <c r="J134" s="261"/>
      <c r="K134" s="260"/>
      <c r="L134" s="193">
        <f>I134+J134*EERR!$D$2</f>
        <v>0</v>
      </c>
      <c r="M134" s="123">
        <f>L134/EERR!$D$2</f>
        <v>0</v>
      </c>
      <c r="N134" s="123">
        <f>SUMIF(Agosto!$B$3:$B$92,A134,Agosto!$T$3:$T$92)</f>
        <v>0</v>
      </c>
    </row>
    <row r="135" spans="1:16" x14ac:dyDescent="0.25">
      <c r="A135" s="296"/>
      <c r="B135" s="297"/>
      <c r="C135" s="298"/>
      <c r="D135" s="298"/>
      <c r="E135" s="298"/>
      <c r="F135" s="298"/>
      <c r="G135" s="298"/>
      <c r="H135" s="298"/>
      <c r="I135" s="299"/>
      <c r="J135" s="299"/>
      <c r="K135" s="298"/>
      <c r="L135" s="300">
        <f>I135+J135*EERR!$D$2</f>
        <v>0</v>
      </c>
      <c r="M135" s="299">
        <f>L135/EERR!$D$2</f>
        <v>0</v>
      </c>
      <c r="N135" s="299">
        <f>SUMIF(Agosto!$B$3:$B$92,A135,Agosto!$T$3:$T$92)</f>
        <v>0</v>
      </c>
    </row>
    <row r="136" spans="1:16" x14ac:dyDescent="0.25">
      <c r="A136" s="296"/>
      <c r="B136" s="297"/>
      <c r="C136" s="298"/>
      <c r="D136" s="298"/>
      <c r="E136" s="298"/>
      <c r="F136" s="298"/>
      <c r="G136" s="298"/>
      <c r="H136" s="298"/>
      <c r="I136" s="299"/>
      <c r="J136" s="299"/>
      <c r="K136" s="298"/>
      <c r="L136" s="300">
        <f>I136+J136*EERR!$D$2</f>
        <v>0</v>
      </c>
      <c r="M136" s="299">
        <f>L136/EERR!$D$2</f>
        <v>0</v>
      </c>
      <c r="N136" s="299">
        <f>SUMIF(Agosto!$B$3:$B$92,A136,Agosto!$T$3:$T$92)</f>
        <v>0</v>
      </c>
      <c r="P136" s="60" t="s">
        <v>578</v>
      </c>
    </row>
    <row r="137" spans="1:16" x14ac:dyDescent="0.25">
      <c r="A137" s="258"/>
      <c r="B137" s="259"/>
      <c r="C137" s="260"/>
      <c r="D137" s="260"/>
      <c r="E137" s="260"/>
      <c r="F137" s="260"/>
      <c r="G137" s="260"/>
      <c r="H137" s="260"/>
      <c r="I137" s="261"/>
      <c r="J137" s="261"/>
      <c r="K137" s="260"/>
      <c r="L137" s="193">
        <f>I137+J137*EERR!$D$2</f>
        <v>0</v>
      </c>
      <c r="M137" s="123">
        <f>L137/EERR!$D$2</f>
        <v>0</v>
      </c>
      <c r="N137" s="123">
        <f>SUMIF(Agosto!$B$3:$B$92,A137,Agosto!$T$3:$T$92)</f>
        <v>0</v>
      </c>
    </row>
    <row r="138" spans="1:16" x14ac:dyDescent="0.25">
      <c r="A138" s="258"/>
      <c r="B138" s="259"/>
      <c r="C138" s="260"/>
      <c r="D138" s="260"/>
      <c r="E138" s="260"/>
      <c r="F138" s="260"/>
      <c r="G138" s="260"/>
      <c r="H138" s="260"/>
      <c r="I138" s="261"/>
      <c r="J138" s="261"/>
      <c r="K138" s="260"/>
      <c r="L138" s="193">
        <f>I138+J138*EERR!$D$2</f>
        <v>0</v>
      </c>
      <c r="M138" s="123">
        <f>L138/EERR!$D$2</f>
        <v>0</v>
      </c>
      <c r="N138" s="123">
        <f>SUMIF(Agosto!$B$3:$B$92,A138,Agosto!$T$3:$T$92)</f>
        <v>0</v>
      </c>
    </row>
    <row r="139" spans="1:16" x14ac:dyDescent="0.25">
      <c r="A139" s="258"/>
      <c r="B139" s="259"/>
      <c r="C139" s="260"/>
      <c r="D139" s="260"/>
      <c r="E139" s="260"/>
      <c r="F139" s="260"/>
      <c r="G139" s="260"/>
      <c r="H139" s="260"/>
      <c r="I139" s="261"/>
      <c r="J139" s="261"/>
      <c r="K139" s="260"/>
      <c r="L139" s="193">
        <f>I139+J139*EERR!$D$2</f>
        <v>0</v>
      </c>
      <c r="M139" s="123">
        <f>L139/EERR!$D$2</f>
        <v>0</v>
      </c>
      <c r="N139" s="123">
        <f>SUMIF(Agosto!$B$3:$B$92,A139,Agosto!$T$3:$T$92)</f>
        <v>0</v>
      </c>
    </row>
    <row r="140" spans="1:16" x14ac:dyDescent="0.25">
      <c r="A140" s="258"/>
      <c r="B140" s="259"/>
      <c r="C140" s="260"/>
      <c r="D140" s="260"/>
      <c r="E140" s="260"/>
      <c r="F140" s="260"/>
      <c r="G140" s="260"/>
      <c r="H140" s="260"/>
      <c r="I140" s="261"/>
      <c r="J140" s="261"/>
      <c r="K140" s="260"/>
      <c r="L140" s="193">
        <f>I140+J140*EERR!$D$2</f>
        <v>0</v>
      </c>
      <c r="M140" s="123">
        <f>L140/EERR!$D$2</f>
        <v>0</v>
      </c>
      <c r="N140" s="123">
        <f>SUMIF(Agosto!$B$3:$B$92,A140,Agosto!$T$3:$T$92)</f>
        <v>0</v>
      </c>
    </row>
    <row r="141" spans="1:16" x14ac:dyDescent="0.25">
      <c r="A141" s="258"/>
      <c r="B141" s="259"/>
      <c r="C141" s="260"/>
      <c r="D141" s="260"/>
      <c r="E141" s="260"/>
      <c r="F141" s="260"/>
      <c r="G141" s="260"/>
      <c r="H141" s="260"/>
      <c r="I141" s="261"/>
      <c r="J141" s="261"/>
      <c r="K141" s="260"/>
      <c r="L141" s="193">
        <f>I141+J141*EERR!$D$2</f>
        <v>0</v>
      </c>
      <c r="M141" s="123">
        <f>L141/EERR!$D$2</f>
        <v>0</v>
      </c>
      <c r="N141" s="123">
        <f>SUMIF(Agosto!$B$3:$B$92,A141,Agosto!$T$3:$T$92)</f>
        <v>0</v>
      </c>
    </row>
    <row r="142" spans="1:16" x14ac:dyDescent="0.25">
      <c r="A142" s="258"/>
      <c r="B142" s="259"/>
      <c r="C142" s="260"/>
      <c r="D142" s="260"/>
      <c r="E142" s="260"/>
      <c r="F142" s="260"/>
      <c r="G142" s="260"/>
      <c r="H142" s="260"/>
      <c r="I142" s="261"/>
      <c r="J142" s="261"/>
      <c r="K142" s="260"/>
      <c r="L142" s="193">
        <f>I142+J142*EERR!$D$2</f>
        <v>0</v>
      </c>
      <c r="M142" s="123">
        <f>L142/EERR!$D$2</f>
        <v>0</v>
      </c>
      <c r="N142" s="123">
        <f>SUMIF(Agosto!$B$3:$B$92,A142,Agosto!$T$3:$T$92)</f>
        <v>0</v>
      </c>
    </row>
    <row r="143" spans="1:16" x14ac:dyDescent="0.25">
      <c r="A143" s="258"/>
      <c r="B143" s="259"/>
      <c r="C143" s="260"/>
      <c r="D143" s="260"/>
      <c r="E143" s="260"/>
      <c r="F143" s="260"/>
      <c r="G143" s="260"/>
      <c r="H143" s="260"/>
      <c r="I143" s="261"/>
      <c r="J143" s="261"/>
      <c r="K143" s="260"/>
      <c r="L143" s="193">
        <f>I143+J143*EERR!$D$2</f>
        <v>0</v>
      </c>
      <c r="M143" s="123">
        <f>L143/EERR!$D$2</f>
        <v>0</v>
      </c>
      <c r="N143" s="123">
        <f>SUMIF(Agosto!$B$3:$B$92,A143,Agosto!$T$3:$T$92)</f>
        <v>0</v>
      </c>
    </row>
    <row r="144" spans="1:16" x14ac:dyDescent="0.25">
      <c r="A144" s="258"/>
      <c r="B144" s="259"/>
      <c r="C144" s="260"/>
      <c r="D144" s="260"/>
      <c r="E144" s="260"/>
      <c r="F144" s="260"/>
      <c r="G144" s="260"/>
      <c r="H144" s="260"/>
      <c r="I144" s="261"/>
      <c r="J144" s="261"/>
      <c r="K144" s="260"/>
      <c r="L144" s="193">
        <f>I144+J144*EERR!$D$2</f>
        <v>0</v>
      </c>
      <c r="M144" s="123">
        <f>L144/EERR!$D$2</f>
        <v>0</v>
      </c>
      <c r="N144" s="123">
        <f>SUMIF(Agosto!$B$3:$B$92,A144,Agosto!$T$3:$T$92)</f>
        <v>0</v>
      </c>
    </row>
    <row r="145" spans="1:14" x14ac:dyDescent="0.25">
      <c r="A145" s="258"/>
      <c r="B145" s="259"/>
      <c r="C145" s="260"/>
      <c r="D145" s="260"/>
      <c r="E145" s="260"/>
      <c r="F145" s="260"/>
      <c r="G145" s="260"/>
      <c r="H145" s="260"/>
      <c r="I145" s="261"/>
      <c r="J145" s="261"/>
      <c r="K145" s="260"/>
      <c r="L145" s="193">
        <f>I145+J145*EERR!$D$2</f>
        <v>0</v>
      </c>
      <c r="M145" s="123">
        <f>L145/EERR!$D$2</f>
        <v>0</v>
      </c>
      <c r="N145" s="123">
        <f>SUMIF(Agosto!$B$3:$B$92,A145,Agosto!$T$3:$T$92)</f>
        <v>0</v>
      </c>
    </row>
    <row r="146" spans="1:14" x14ac:dyDescent="0.25">
      <c r="A146" s="258"/>
      <c r="B146" s="259"/>
      <c r="C146" s="260"/>
      <c r="D146" s="260"/>
      <c r="E146" s="260"/>
      <c r="F146" s="260"/>
      <c r="G146" s="260"/>
      <c r="H146" s="260"/>
      <c r="I146" s="261"/>
      <c r="J146" s="261"/>
      <c r="K146" s="260"/>
      <c r="L146" s="193">
        <f>I146+J146*EERR!$D$2</f>
        <v>0</v>
      </c>
      <c r="M146" s="123">
        <f>L146/EERR!$D$2</f>
        <v>0</v>
      </c>
      <c r="N146" s="123">
        <f>SUMIF(Agosto!$B$3:$B$92,A146,Agosto!$T$3:$T$92)</f>
        <v>0</v>
      </c>
    </row>
    <row r="147" spans="1:14" x14ac:dyDescent="0.25">
      <c r="A147" s="258"/>
      <c r="B147" s="259"/>
      <c r="C147" s="260"/>
      <c r="D147" s="260"/>
      <c r="E147" s="260"/>
      <c r="F147" s="260"/>
      <c r="G147" s="260"/>
      <c r="H147" s="260"/>
      <c r="I147" s="261"/>
      <c r="J147" s="261"/>
      <c r="K147" s="260"/>
      <c r="L147" s="193">
        <f>I147+J147*EERR!$D$2</f>
        <v>0</v>
      </c>
      <c r="M147" s="123">
        <f>L147/EERR!$D$2</f>
        <v>0</v>
      </c>
      <c r="N147" s="123">
        <f>SUMIF(Agosto!$B$3:$B$92,A147,Agosto!$T$3:$T$92)</f>
        <v>0</v>
      </c>
    </row>
    <row r="148" spans="1:14" x14ac:dyDescent="0.25">
      <c r="A148" s="258"/>
      <c r="B148" s="259"/>
      <c r="C148" s="260"/>
      <c r="D148" s="260"/>
      <c r="E148" s="260"/>
      <c r="F148" s="260"/>
      <c r="G148" s="260"/>
      <c r="H148" s="260"/>
      <c r="I148" s="261"/>
      <c r="J148" s="261"/>
      <c r="K148" s="260"/>
      <c r="L148" s="193">
        <f>I148+J148*EERR!$D$2</f>
        <v>0</v>
      </c>
      <c r="M148" s="123">
        <f>L148/EERR!$D$2</f>
        <v>0</v>
      </c>
      <c r="N148" s="123">
        <f>SUMIF(Agosto!$B$3:$B$92,A148,Agosto!$T$3:$T$92)</f>
        <v>0</v>
      </c>
    </row>
    <row r="149" spans="1:14" x14ac:dyDescent="0.25">
      <c r="A149" s="258"/>
      <c r="B149" s="259"/>
      <c r="C149" s="260"/>
      <c r="D149" s="260"/>
      <c r="E149" s="260"/>
      <c r="F149" s="260"/>
      <c r="G149" s="260"/>
      <c r="H149" s="260"/>
      <c r="I149" s="261"/>
      <c r="J149" s="261"/>
      <c r="K149" s="260"/>
      <c r="L149" s="193">
        <f>I149+J149*EERR!$D$2</f>
        <v>0</v>
      </c>
      <c r="M149" s="123">
        <f>L149/EERR!$D$2</f>
        <v>0</v>
      </c>
      <c r="N149" s="123">
        <f>SUMIF(Agosto!$B$3:$B$92,A149,Agosto!$T$3:$T$92)</f>
        <v>0</v>
      </c>
    </row>
    <row r="150" spans="1:14" x14ac:dyDescent="0.25">
      <c r="A150" s="258"/>
      <c r="B150" s="259"/>
      <c r="C150" s="260"/>
      <c r="D150" s="260"/>
      <c r="E150" s="260"/>
      <c r="F150" s="260"/>
      <c r="G150" s="260"/>
      <c r="H150" s="260"/>
      <c r="I150" s="261"/>
      <c r="J150" s="261"/>
      <c r="K150" s="260"/>
      <c r="L150" s="193">
        <f>I150+J150*EERR!$D$2</f>
        <v>0</v>
      </c>
      <c r="M150" s="123">
        <f>L150/EERR!$D$2</f>
        <v>0</v>
      </c>
      <c r="N150" s="123">
        <f>SUMIF(Agosto!$B$3:$B$92,A150,Agosto!$T$3:$T$92)</f>
        <v>0</v>
      </c>
    </row>
    <row r="151" spans="1:14" x14ac:dyDescent="0.25">
      <c r="A151" s="258"/>
      <c r="B151" s="259"/>
      <c r="C151" s="260"/>
      <c r="D151" s="260"/>
      <c r="E151" s="260"/>
      <c r="F151" s="260"/>
      <c r="G151" s="260"/>
      <c r="H151" s="260"/>
      <c r="I151" s="261"/>
      <c r="J151" s="261"/>
      <c r="K151" s="260"/>
      <c r="L151" s="193">
        <f>I151+J151*EERR!$D$2</f>
        <v>0</v>
      </c>
      <c r="M151" s="123">
        <f>L151/EERR!$D$2</f>
        <v>0</v>
      </c>
      <c r="N151" s="123">
        <f>SUMIF(Agosto!$B$3:$B$92,A151,Agosto!$T$3:$T$92)</f>
        <v>0</v>
      </c>
    </row>
    <row r="152" spans="1:14" x14ac:dyDescent="0.25">
      <c r="A152" s="258"/>
      <c r="B152" s="259"/>
      <c r="C152" s="260"/>
      <c r="D152" s="260"/>
      <c r="E152" s="260"/>
      <c r="F152" s="260"/>
      <c r="G152" s="260"/>
      <c r="H152" s="260"/>
      <c r="I152" s="261"/>
      <c r="J152" s="261"/>
      <c r="K152" s="260"/>
      <c r="L152" s="193">
        <f>I152+J152*EERR!$D$2</f>
        <v>0</v>
      </c>
      <c r="M152" s="123">
        <f>L152/EERR!$D$2</f>
        <v>0</v>
      </c>
      <c r="N152" s="123">
        <f>SUMIF(Agosto!$B$3:$B$92,A152,Agosto!$T$3:$T$92)</f>
        <v>0</v>
      </c>
    </row>
    <row r="153" spans="1:14" x14ac:dyDescent="0.25">
      <c r="A153" s="258"/>
      <c r="B153" s="259"/>
      <c r="C153" s="260"/>
      <c r="D153" s="260"/>
      <c r="E153" s="260"/>
      <c r="F153" s="260"/>
      <c r="G153" s="260"/>
      <c r="H153" s="260"/>
      <c r="I153" s="261"/>
      <c r="J153" s="261"/>
      <c r="K153" s="260"/>
      <c r="L153" s="193">
        <f>I153+J153*EERR!$D$2</f>
        <v>0</v>
      </c>
      <c r="M153" s="123">
        <f>L153/EERR!$D$2</f>
        <v>0</v>
      </c>
      <c r="N153" s="123">
        <f>SUMIF(Agosto!$B$3:$B$92,A153,Agosto!$T$3:$T$92)</f>
        <v>0</v>
      </c>
    </row>
    <row r="154" spans="1:14" x14ac:dyDescent="0.25">
      <c r="A154" s="258"/>
      <c r="B154" s="259"/>
      <c r="C154" s="260"/>
      <c r="D154" s="260"/>
      <c r="E154" s="260"/>
      <c r="F154" s="260"/>
      <c r="G154" s="260"/>
      <c r="H154" s="260"/>
      <c r="I154" s="261"/>
      <c r="J154" s="261"/>
      <c r="K154" s="260"/>
      <c r="L154" s="193">
        <f>I154+J154*EERR!$D$2</f>
        <v>0</v>
      </c>
      <c r="M154" s="123">
        <f>L154/EERR!$D$2</f>
        <v>0</v>
      </c>
      <c r="N154" s="123">
        <f>SUMIF(Agosto!$B$3:$B$92,A154,Agosto!$T$3:$T$92)</f>
        <v>0</v>
      </c>
    </row>
    <row r="155" spans="1:14" x14ac:dyDescent="0.25">
      <c r="A155" s="258"/>
      <c r="B155" s="259"/>
      <c r="C155" s="260"/>
      <c r="D155" s="260"/>
      <c r="E155" s="260"/>
      <c r="F155" s="260"/>
      <c r="G155" s="260"/>
      <c r="H155" s="260"/>
      <c r="I155" s="261"/>
      <c r="J155" s="261"/>
      <c r="K155" s="260"/>
      <c r="L155" s="193">
        <f>I155+J155*EERR!$D$2</f>
        <v>0</v>
      </c>
      <c r="M155" s="123">
        <f>L155/EERR!$D$2</f>
        <v>0</v>
      </c>
      <c r="N155" s="123">
        <f>SUMIF(Agosto!$B$3:$B$92,A155,Agosto!$T$3:$T$92)</f>
        <v>0</v>
      </c>
    </row>
    <row r="156" spans="1:14" x14ac:dyDescent="0.25">
      <c r="A156" s="258"/>
      <c r="B156" s="259"/>
      <c r="C156" s="260"/>
      <c r="D156" s="260"/>
      <c r="E156" s="260"/>
      <c r="F156" s="260"/>
      <c r="G156" s="260"/>
      <c r="H156" s="260"/>
      <c r="I156" s="261"/>
      <c r="J156" s="261"/>
      <c r="K156" s="260"/>
      <c r="L156" s="193">
        <f>I156+J156*EERR!$D$2</f>
        <v>0</v>
      </c>
      <c r="M156" s="123">
        <f>L156/EERR!$D$2</f>
        <v>0</v>
      </c>
      <c r="N156" s="123">
        <f>SUMIF(Agosto!$B$3:$B$92,A156,Agosto!$T$3:$T$92)</f>
        <v>0</v>
      </c>
    </row>
    <row r="157" spans="1:14" x14ac:dyDescent="0.25">
      <c r="A157" s="258"/>
      <c r="B157" s="259"/>
      <c r="C157" s="260"/>
      <c r="D157" s="260"/>
      <c r="E157" s="260"/>
      <c r="F157" s="260"/>
      <c r="G157" s="260"/>
      <c r="H157" s="260"/>
      <c r="I157" s="261"/>
      <c r="J157" s="261"/>
      <c r="K157" s="260"/>
      <c r="L157" s="193">
        <f>I157+J157*EERR!$D$2</f>
        <v>0</v>
      </c>
      <c r="M157" s="123">
        <f>L157/EERR!$D$2</f>
        <v>0</v>
      </c>
      <c r="N157" s="123">
        <f>SUMIF(Agosto!$B$3:$B$92,A157,Agosto!$T$3:$T$92)</f>
        <v>0</v>
      </c>
    </row>
    <row r="158" spans="1:14" x14ac:dyDescent="0.25">
      <c r="A158" s="258"/>
      <c r="B158" s="259"/>
      <c r="C158" s="260"/>
      <c r="D158" s="260"/>
      <c r="E158" s="260"/>
      <c r="F158" s="260"/>
      <c r="G158" s="260"/>
      <c r="H158" s="260"/>
      <c r="I158" s="261"/>
      <c r="J158" s="261"/>
      <c r="K158" s="260"/>
      <c r="L158" s="193">
        <f>I158+J158*EERR!$D$2</f>
        <v>0</v>
      </c>
      <c r="M158" s="123">
        <f>L158/EERR!$D$2</f>
        <v>0</v>
      </c>
      <c r="N158" s="123">
        <f>SUMIF(Agosto!$B$3:$B$92,A158,Agosto!$T$3:$T$92)</f>
        <v>0</v>
      </c>
    </row>
    <row r="159" spans="1:14" x14ac:dyDescent="0.25">
      <c r="A159" s="258"/>
      <c r="B159" s="259"/>
      <c r="C159" s="260"/>
      <c r="D159" s="260"/>
      <c r="E159" s="260"/>
      <c r="F159" s="260"/>
      <c r="G159" s="260"/>
      <c r="H159" s="260"/>
      <c r="I159" s="261"/>
      <c r="J159" s="261"/>
      <c r="K159" s="260"/>
      <c r="L159" s="193">
        <f>I159+J159*EERR!$D$2</f>
        <v>0</v>
      </c>
      <c r="M159" s="123">
        <f>L159/EERR!$D$2</f>
        <v>0</v>
      </c>
      <c r="N159" s="123">
        <f>SUMIF(Agosto!$B$3:$B$92,A159,Agosto!$T$3:$T$92)</f>
        <v>0</v>
      </c>
    </row>
    <row r="160" spans="1:14" x14ac:dyDescent="0.25">
      <c r="A160" s="258"/>
      <c r="B160" s="259"/>
      <c r="C160" s="260"/>
      <c r="D160" s="260"/>
      <c r="E160" s="260"/>
      <c r="F160" s="260"/>
      <c r="G160" s="260"/>
      <c r="H160" s="260"/>
      <c r="I160" s="261"/>
      <c r="J160" s="261"/>
      <c r="K160" s="260"/>
      <c r="L160" s="193">
        <f>I160+J160*EERR!$D$2</f>
        <v>0</v>
      </c>
      <c r="M160" s="123">
        <f>L160/EERR!$D$2</f>
        <v>0</v>
      </c>
      <c r="N160" s="123">
        <f>SUMIF(Agosto!$B$3:$B$92,A160,Agosto!$T$3:$T$92)</f>
        <v>0</v>
      </c>
    </row>
    <row r="161" spans="1:14" x14ac:dyDescent="0.25">
      <c r="A161" s="258"/>
      <c r="B161" s="259"/>
      <c r="C161" s="260"/>
      <c r="D161" s="260"/>
      <c r="E161" s="260"/>
      <c r="F161" s="260"/>
      <c r="G161" s="260"/>
      <c r="H161" s="260"/>
      <c r="I161" s="261"/>
      <c r="J161" s="261"/>
      <c r="K161" s="260"/>
      <c r="L161" s="193">
        <f>I161+J161*EERR!$D$2</f>
        <v>0</v>
      </c>
      <c r="M161" s="123">
        <f>L161/EERR!$D$2</f>
        <v>0</v>
      </c>
      <c r="N161" s="123">
        <f>SUMIF(Agosto!$B$3:$B$92,A161,Agosto!$T$3:$T$92)</f>
        <v>0</v>
      </c>
    </row>
    <row r="162" spans="1:14" x14ac:dyDescent="0.25">
      <c r="A162" s="258"/>
      <c r="B162" s="259"/>
      <c r="C162" s="260"/>
      <c r="D162" s="260"/>
      <c r="E162" s="260"/>
      <c r="F162" s="260"/>
      <c r="G162" s="260"/>
      <c r="H162" s="260"/>
      <c r="I162" s="261"/>
      <c r="J162" s="261"/>
      <c r="K162" s="260"/>
      <c r="L162" s="193">
        <f>I162+J162*EERR!$D$2</f>
        <v>0</v>
      </c>
      <c r="M162" s="123">
        <f>L162/EERR!$D$2</f>
        <v>0</v>
      </c>
      <c r="N162" s="123">
        <f>SUMIF(Agosto!$B$3:$B$92,A162,Agosto!$T$3:$T$92)</f>
        <v>0</v>
      </c>
    </row>
    <row r="163" spans="1:14" x14ac:dyDescent="0.25">
      <c r="A163" s="258"/>
      <c r="B163" s="259"/>
      <c r="C163" s="260"/>
      <c r="D163" s="260"/>
      <c r="E163" s="260"/>
      <c r="F163" s="260"/>
      <c r="G163" s="260"/>
      <c r="H163" s="260"/>
      <c r="I163" s="261"/>
      <c r="J163" s="261"/>
      <c r="K163" s="260"/>
      <c r="L163" s="193">
        <f>I163+J163*EERR!$D$2</f>
        <v>0</v>
      </c>
      <c r="M163" s="123">
        <f>L163/EERR!$D$2</f>
        <v>0</v>
      </c>
      <c r="N163" s="123">
        <f>SUMIF(Agosto!$B$3:$B$92,A163,Agosto!$T$3:$T$92)</f>
        <v>0</v>
      </c>
    </row>
    <row r="164" spans="1:14" x14ac:dyDescent="0.25">
      <c r="A164" s="258"/>
      <c r="B164" s="259"/>
      <c r="C164" s="260"/>
      <c r="D164" s="260"/>
      <c r="E164" s="260"/>
      <c r="F164" s="260"/>
      <c r="G164" s="260"/>
      <c r="H164" s="260"/>
      <c r="I164" s="261"/>
      <c r="J164" s="261"/>
      <c r="K164" s="260"/>
      <c r="L164" s="193">
        <f>I164+J164*EERR!$D$2</f>
        <v>0</v>
      </c>
      <c r="M164" s="123">
        <f>L164/EERR!$D$2</f>
        <v>0</v>
      </c>
      <c r="N164" s="123">
        <f>SUMIF(Agosto!$B$3:$B$92,A164,Agosto!$T$3:$T$92)</f>
        <v>0</v>
      </c>
    </row>
    <row r="165" spans="1:14" x14ac:dyDescent="0.25">
      <c r="A165" s="258"/>
      <c r="B165" s="259"/>
      <c r="C165" s="260"/>
      <c r="D165" s="260"/>
      <c r="E165" s="260"/>
      <c r="F165" s="260"/>
      <c r="G165" s="260"/>
      <c r="H165" s="260"/>
      <c r="I165" s="261"/>
      <c r="J165" s="261"/>
      <c r="K165" s="260"/>
      <c r="L165" s="193">
        <f>I165+J165*EERR!$D$2</f>
        <v>0</v>
      </c>
      <c r="M165" s="123">
        <f>L165/EERR!$D$2</f>
        <v>0</v>
      </c>
      <c r="N165" s="123">
        <f>SUMIF(Agosto!$B$3:$B$92,A165,Agosto!$T$3:$T$92)</f>
        <v>0</v>
      </c>
    </row>
    <row r="166" spans="1:14" x14ac:dyDescent="0.25">
      <c r="A166" s="258"/>
      <c r="B166" s="259"/>
      <c r="C166" s="260"/>
      <c r="D166" s="260"/>
      <c r="E166" s="260"/>
      <c r="F166" s="260"/>
      <c r="G166" s="260"/>
      <c r="H166" s="260"/>
      <c r="I166" s="261"/>
      <c r="J166" s="261"/>
      <c r="K166" s="260"/>
      <c r="L166" s="193">
        <f>I166+J166*EERR!$D$2</f>
        <v>0</v>
      </c>
      <c r="M166" s="123">
        <f>L166/EERR!$D$2</f>
        <v>0</v>
      </c>
      <c r="N166" s="123">
        <f>SUMIF(Agosto!$B$3:$B$92,A166,Agosto!$T$3:$T$92)</f>
        <v>0</v>
      </c>
    </row>
    <row r="167" spans="1:14" x14ac:dyDescent="0.25">
      <c r="A167" s="258"/>
      <c r="B167" s="259"/>
      <c r="C167" s="260"/>
      <c r="D167" s="260"/>
      <c r="E167" s="260"/>
      <c r="F167" s="260"/>
      <c r="G167" s="260"/>
      <c r="H167" s="260"/>
      <c r="I167" s="261"/>
      <c r="J167" s="261"/>
      <c r="K167" s="260"/>
      <c r="L167" s="193">
        <f>I167+J167*EERR!$D$2</f>
        <v>0</v>
      </c>
      <c r="M167" s="123">
        <f>L167/EERR!$D$2</f>
        <v>0</v>
      </c>
      <c r="N167" s="123">
        <f>SUMIF(Agosto!$B$3:$B$92,A167,Agosto!$T$3:$T$92)</f>
        <v>0</v>
      </c>
    </row>
    <row r="168" spans="1:14" x14ac:dyDescent="0.25">
      <c r="A168" s="258"/>
      <c r="B168" s="259"/>
      <c r="C168" s="260"/>
      <c r="D168" s="260"/>
      <c r="E168" s="260"/>
      <c r="F168" s="260"/>
      <c r="G168" s="260"/>
      <c r="H168" s="260"/>
      <c r="I168" s="261"/>
      <c r="J168" s="261"/>
      <c r="K168" s="260"/>
      <c r="L168" s="193">
        <f>I168+J168*EERR!$D$2</f>
        <v>0</v>
      </c>
      <c r="M168" s="123">
        <f>L168/EERR!$D$2</f>
        <v>0</v>
      </c>
      <c r="N168" s="123">
        <f>SUMIF(Agosto!$B$3:$B$92,A168,Agosto!$T$3:$T$92)</f>
        <v>0</v>
      </c>
    </row>
    <row r="169" spans="1:14" x14ac:dyDescent="0.25">
      <c r="A169" s="258"/>
      <c r="B169" s="259"/>
      <c r="C169" s="260"/>
      <c r="D169" s="260"/>
      <c r="E169" s="260"/>
      <c r="F169" s="260"/>
      <c r="G169" s="260"/>
      <c r="H169" s="260"/>
      <c r="I169" s="261"/>
      <c r="J169" s="261"/>
      <c r="K169" s="260"/>
      <c r="L169" s="193">
        <f>I169+J169*EERR!$D$2</f>
        <v>0</v>
      </c>
      <c r="M169" s="123">
        <f>L169/EERR!$D$2</f>
        <v>0</v>
      </c>
      <c r="N169" s="123">
        <f>SUMIF(Agosto!$B$3:$B$92,A169,Agosto!$T$3:$T$92)</f>
        <v>0</v>
      </c>
    </row>
    <row r="170" spans="1:14" x14ac:dyDescent="0.25">
      <c r="A170" s="258"/>
      <c r="B170" s="259"/>
      <c r="C170" s="260"/>
      <c r="D170" s="260"/>
      <c r="E170" s="260"/>
      <c r="F170" s="260"/>
      <c r="G170" s="260"/>
      <c r="H170" s="260"/>
      <c r="I170" s="261"/>
      <c r="J170" s="261"/>
      <c r="K170" s="260"/>
      <c r="L170" s="193">
        <f>I170+J170*EERR!$D$2</f>
        <v>0</v>
      </c>
      <c r="M170" s="123">
        <f>L170/EERR!$D$2</f>
        <v>0</v>
      </c>
      <c r="N170" s="123">
        <f>SUMIF(Agosto!$B$3:$B$92,A170,Agosto!$T$3:$T$92)</f>
        <v>0</v>
      </c>
    </row>
    <row r="171" spans="1:14" x14ac:dyDescent="0.25">
      <c r="A171" s="258"/>
      <c r="B171" s="259"/>
      <c r="C171" s="260"/>
      <c r="D171" s="260"/>
      <c r="E171" s="260"/>
      <c r="F171" s="260"/>
      <c r="G171" s="260"/>
      <c r="H171" s="260"/>
      <c r="I171" s="261"/>
      <c r="J171" s="261"/>
      <c r="K171" s="260"/>
      <c r="L171" s="193">
        <f>I171+J171*EERR!$D$2</f>
        <v>0</v>
      </c>
      <c r="M171" s="123">
        <f>L171/EERR!$D$2</f>
        <v>0</v>
      </c>
      <c r="N171" s="123">
        <f>SUMIF(Agosto!$B$3:$B$92,A171,Agosto!$T$3:$T$92)</f>
        <v>0</v>
      </c>
    </row>
    <row r="172" spans="1:14" x14ac:dyDescent="0.25">
      <c r="A172" s="258"/>
      <c r="B172" s="259"/>
      <c r="C172" s="260"/>
      <c r="D172" s="260"/>
      <c r="E172" s="260"/>
      <c r="F172" s="260"/>
      <c r="G172" s="260"/>
      <c r="H172" s="260"/>
      <c r="I172" s="261"/>
      <c r="J172" s="261"/>
      <c r="K172" s="260"/>
      <c r="L172" s="193">
        <f>I172+J172*EERR!$D$2</f>
        <v>0</v>
      </c>
      <c r="M172" s="123">
        <f>L172/EERR!$D$2</f>
        <v>0</v>
      </c>
      <c r="N172" s="123">
        <f>SUMIF(Agosto!$B$3:$B$92,A172,Agosto!$T$3:$T$92)</f>
        <v>0</v>
      </c>
    </row>
    <row r="173" spans="1:14" x14ac:dyDescent="0.25">
      <c r="A173" s="258"/>
      <c r="B173" s="259"/>
      <c r="C173" s="260"/>
      <c r="D173" s="260"/>
      <c r="E173" s="260"/>
      <c r="F173" s="260"/>
      <c r="G173" s="260"/>
      <c r="H173" s="260"/>
      <c r="I173" s="261"/>
      <c r="J173" s="261"/>
      <c r="K173" s="260"/>
      <c r="L173" s="193">
        <f>I173+J173*EERR!$D$2</f>
        <v>0</v>
      </c>
      <c r="M173" s="123">
        <f>L173/EERR!$D$2</f>
        <v>0</v>
      </c>
      <c r="N173" s="123">
        <f>SUMIF(Agosto!$B$3:$B$92,A173,Agosto!$T$3:$T$92)</f>
        <v>0</v>
      </c>
    </row>
    <row r="174" spans="1:14" x14ac:dyDescent="0.25">
      <c r="A174" s="258"/>
      <c r="B174" s="259"/>
      <c r="C174" s="260"/>
      <c r="D174" s="260"/>
      <c r="E174" s="260"/>
      <c r="F174" s="260"/>
      <c r="G174" s="260"/>
      <c r="H174" s="260"/>
      <c r="I174" s="261"/>
      <c r="J174" s="261"/>
      <c r="K174" s="260"/>
      <c r="L174" s="193">
        <f>I174+J174*EERR!$D$2</f>
        <v>0</v>
      </c>
      <c r="M174" s="123">
        <f>L174/EERR!$D$2</f>
        <v>0</v>
      </c>
      <c r="N174" s="123">
        <f>SUMIF(Agosto!$B$3:$B$92,A174,Agosto!$T$3:$T$92)</f>
        <v>0</v>
      </c>
    </row>
    <row r="175" spans="1:14" x14ac:dyDescent="0.25">
      <c r="A175" s="258"/>
      <c r="B175" s="259"/>
      <c r="C175" s="260"/>
      <c r="D175" s="260"/>
      <c r="E175" s="260"/>
      <c r="F175" s="260"/>
      <c r="G175" s="260"/>
      <c r="H175" s="260"/>
      <c r="I175" s="261"/>
      <c r="J175" s="261"/>
      <c r="K175" s="260"/>
      <c r="L175" s="193">
        <f>I175+J175*EERR!$D$2</f>
        <v>0</v>
      </c>
      <c r="M175" s="123">
        <f>L175/EERR!$D$2</f>
        <v>0</v>
      </c>
      <c r="N175" s="123">
        <f>SUMIF(Agosto!$B$3:$B$92,A175,Agosto!$T$3:$T$92)</f>
        <v>0</v>
      </c>
    </row>
    <row r="176" spans="1:14" x14ac:dyDescent="0.25">
      <c r="A176" s="258"/>
      <c r="B176" s="259"/>
      <c r="C176" s="260"/>
      <c r="D176" s="260"/>
      <c r="E176" s="260"/>
      <c r="F176" s="260"/>
      <c r="G176" s="260"/>
      <c r="H176" s="260"/>
      <c r="I176" s="261"/>
      <c r="J176" s="261"/>
      <c r="K176" s="260"/>
      <c r="L176" s="193">
        <f>I176+J176*EERR!$D$2</f>
        <v>0</v>
      </c>
      <c r="M176" s="123">
        <f>L176/EERR!$D$2</f>
        <v>0</v>
      </c>
      <c r="N176" s="123">
        <f>SUMIF(Agosto!$B$3:$B$92,A176,Agosto!$T$3:$T$92)</f>
        <v>0</v>
      </c>
    </row>
    <row r="177" spans="1:18" x14ac:dyDescent="0.25">
      <c r="A177" s="258"/>
      <c r="B177" s="259"/>
      <c r="C177" s="260"/>
      <c r="D177" s="260"/>
      <c r="E177" s="260"/>
      <c r="F177" s="260"/>
      <c r="G177" s="260"/>
      <c r="H177" s="260"/>
      <c r="I177" s="261"/>
      <c r="J177" s="261"/>
      <c r="K177" s="260"/>
      <c r="L177" s="193">
        <f>I177+J177*EERR!$D$2</f>
        <v>0</v>
      </c>
      <c r="M177" s="123">
        <f>L177/EERR!$D$2</f>
        <v>0</v>
      </c>
      <c r="N177" s="123">
        <f>SUMIF(Agosto!$B$3:$B$92,A177,Agosto!$T$3:$T$92)</f>
        <v>0</v>
      </c>
    </row>
    <row r="178" spans="1:18" x14ac:dyDescent="0.25">
      <c r="A178" s="258"/>
      <c r="B178" s="259"/>
      <c r="C178" s="260"/>
      <c r="D178" s="260"/>
      <c r="E178" s="260"/>
      <c r="F178" s="260"/>
      <c r="G178" s="260"/>
      <c r="H178" s="260"/>
      <c r="I178" s="261"/>
      <c r="J178" s="261"/>
      <c r="K178" s="260"/>
      <c r="L178" s="193">
        <f>I178+J178*EERR!$D$2</f>
        <v>0</v>
      </c>
      <c r="M178" s="123">
        <f>L178/EERR!$D$2</f>
        <v>0</v>
      </c>
      <c r="N178" s="123">
        <f>SUMIF(Agosto!$B$3:$B$92,A178,Agosto!$T$3:$T$92)</f>
        <v>0</v>
      </c>
      <c r="Q178" s="207">
        <f>SUM(J2:J185)+Agosto!J91</f>
        <v>43471.8</v>
      </c>
      <c r="R178" s="185">
        <f>Q178*EERR!D2</f>
        <v>28006272.432000004</v>
      </c>
    </row>
    <row r="179" spans="1:18" x14ac:dyDescent="0.25">
      <c r="A179" s="258"/>
      <c r="B179" s="259"/>
      <c r="C179" s="260"/>
      <c r="D179" s="260"/>
      <c r="E179" s="260"/>
      <c r="F179" s="260"/>
      <c r="G179" s="260"/>
      <c r="H179" s="260"/>
      <c r="I179" s="261"/>
      <c r="J179" s="261"/>
      <c r="K179" s="260"/>
      <c r="L179" s="193">
        <f>I179+J179*EERR!$D$2</f>
        <v>0</v>
      </c>
      <c r="M179" s="123">
        <f>L179/EERR!$D$2</f>
        <v>0</v>
      </c>
      <c r="N179" s="123">
        <f>SUMIF(Agosto!$B$3:$B$92,A179,Agosto!$T$3:$T$92)</f>
        <v>0</v>
      </c>
    </row>
    <row r="180" spans="1:18" x14ac:dyDescent="0.25">
      <c r="A180" s="258"/>
      <c r="B180" s="259"/>
      <c r="C180" s="260"/>
      <c r="D180" s="260"/>
      <c r="E180" s="260"/>
      <c r="F180" s="260"/>
      <c r="G180" s="260"/>
      <c r="H180" s="260"/>
      <c r="I180" s="261"/>
      <c r="J180" s="261"/>
      <c r="K180" s="260"/>
      <c r="L180" s="193">
        <f>I180+J180*EERR!$D$2</f>
        <v>0</v>
      </c>
      <c r="M180" s="123">
        <f>L180/EERR!$D$2</f>
        <v>0</v>
      </c>
      <c r="N180" s="123">
        <f>SUMIF(Agosto!$B$3:$B$92,A180,Agosto!$T$3:$T$92)</f>
        <v>0</v>
      </c>
    </row>
    <row r="181" spans="1:18" x14ac:dyDescent="0.25">
      <c r="A181" s="258"/>
      <c r="B181" s="259"/>
      <c r="C181" s="260"/>
      <c r="D181" s="260"/>
      <c r="E181" s="260"/>
      <c r="F181" s="260"/>
      <c r="G181" s="260"/>
      <c r="H181" s="260"/>
      <c r="I181" s="261"/>
      <c r="J181" s="261"/>
      <c r="K181" s="260"/>
      <c r="L181" s="193">
        <f>I181+J181*EERR!$D$2</f>
        <v>0</v>
      </c>
      <c r="M181" s="123">
        <f>L181/EERR!$D$2</f>
        <v>0</v>
      </c>
      <c r="N181" s="123">
        <f>SUMIF(Agosto!$B$3:$B$92,A181,Agosto!$T$3:$T$92)</f>
        <v>0</v>
      </c>
    </row>
    <row r="182" spans="1:18" x14ac:dyDescent="0.25">
      <c r="A182" s="258"/>
      <c r="B182" s="259"/>
      <c r="C182" s="260"/>
      <c r="D182" s="260"/>
      <c r="E182" s="260"/>
      <c r="F182" s="260"/>
      <c r="G182" s="260"/>
      <c r="H182" s="260"/>
      <c r="I182" s="261"/>
      <c r="J182" s="261"/>
      <c r="K182" s="260"/>
      <c r="L182" s="193">
        <f>I182+J182*EERR!$D$2</f>
        <v>0</v>
      </c>
      <c r="M182" s="123">
        <f>L182/EERR!$D$2</f>
        <v>0</v>
      </c>
      <c r="N182" s="123">
        <f>SUMIF(Agosto!$B$3:$B$92,A182,Agosto!$T$3:$T$92)</f>
        <v>0</v>
      </c>
    </row>
    <row r="183" spans="1:18" x14ac:dyDescent="0.25">
      <c r="A183" s="258"/>
      <c r="B183" s="259"/>
      <c r="C183" s="260"/>
      <c r="D183" s="260"/>
      <c r="E183" s="260"/>
      <c r="F183" s="260"/>
      <c r="G183" s="260"/>
      <c r="H183" s="260"/>
      <c r="I183" s="261"/>
      <c r="J183" s="261"/>
      <c r="K183" s="260"/>
      <c r="L183" s="193">
        <f>I183+J183*EERR!$D$2</f>
        <v>0</v>
      </c>
      <c r="M183" s="123">
        <f>L183/EERR!$D$2</f>
        <v>0</v>
      </c>
      <c r="N183" s="123">
        <f>SUMIF(Agosto!$B$3:$B$92,A183,Agosto!$T$3:$T$92)</f>
        <v>0</v>
      </c>
    </row>
    <row r="184" spans="1:18" x14ac:dyDescent="0.25">
      <c r="A184" s="258"/>
      <c r="B184" s="259"/>
      <c r="C184" s="260"/>
      <c r="D184" s="260"/>
      <c r="E184" s="260"/>
      <c r="F184" s="260"/>
      <c r="G184" s="260"/>
      <c r="H184" s="260"/>
      <c r="I184" s="261"/>
      <c r="J184" s="261"/>
      <c r="K184" s="260"/>
      <c r="L184" s="193">
        <f>I184+J184*EERR!$D$2</f>
        <v>0</v>
      </c>
      <c r="M184" s="123">
        <f>L184/EERR!$D$2</f>
        <v>0</v>
      </c>
      <c r="N184" s="123">
        <f>SUMIF(Agosto!$B$3:$B$92,A184,Agosto!$T$3:$T$92)</f>
        <v>0</v>
      </c>
    </row>
    <row r="185" spans="1:18" x14ac:dyDescent="0.25">
      <c r="A185" s="258"/>
      <c r="B185" s="259"/>
      <c r="C185" s="260"/>
      <c r="D185" s="260"/>
      <c r="E185" s="260"/>
      <c r="F185" s="260"/>
      <c r="G185" s="260"/>
      <c r="H185" s="260"/>
      <c r="I185" s="261"/>
      <c r="J185" s="261"/>
      <c r="K185" s="260"/>
      <c r="L185" s="193">
        <f>I185+J185*EERR!$D$2</f>
        <v>0</v>
      </c>
      <c r="M185" s="123">
        <f>L185/EERR!$D$2</f>
        <v>0</v>
      </c>
      <c r="N185" s="123">
        <f>SUMIF(Agosto!$B$3:$B$92,A185,Agosto!$T$3:$T$92)</f>
        <v>0</v>
      </c>
    </row>
    <row r="186" spans="1:18" x14ac:dyDescent="0.25">
      <c r="A186" s="258"/>
      <c r="B186" s="259"/>
      <c r="C186" s="260"/>
      <c r="D186" s="260"/>
      <c r="E186" s="260"/>
      <c r="F186" s="260"/>
      <c r="G186" s="260"/>
      <c r="H186" s="260"/>
      <c r="I186" s="261"/>
      <c r="J186" s="261"/>
      <c r="K186" s="260"/>
      <c r="L186" s="193">
        <f>I186+J186*EERR!$D$2</f>
        <v>0</v>
      </c>
      <c r="M186" s="123">
        <f>L186/EERR!$D$2</f>
        <v>0</v>
      </c>
      <c r="N186" s="123">
        <f>SUMIF(Agosto!$B$3:$B$92,A186,Agosto!$T$3:$T$92)</f>
        <v>0</v>
      </c>
    </row>
    <row r="187" spans="1:18" x14ac:dyDescent="0.25">
      <c r="A187" s="258"/>
      <c r="B187" s="259"/>
      <c r="C187" s="260"/>
      <c r="D187" s="260"/>
      <c r="E187" s="260"/>
      <c r="F187" s="260"/>
      <c r="G187" s="260"/>
      <c r="H187" s="260"/>
      <c r="I187" s="261"/>
      <c r="J187" s="261"/>
      <c r="K187" s="260"/>
      <c r="L187" s="193">
        <f>I187+J187*EERR!$D$2</f>
        <v>0</v>
      </c>
      <c r="M187" s="123">
        <f>L187/EERR!$D$2</f>
        <v>0</v>
      </c>
      <c r="N187" s="123">
        <f>SUMIF(Agosto!$B$3:$B$92,A187,Agosto!$T$3:$T$92)</f>
        <v>0</v>
      </c>
    </row>
    <row r="188" spans="1:18" x14ac:dyDescent="0.25">
      <c r="A188" s="258"/>
      <c r="B188" s="259"/>
      <c r="C188" s="260"/>
      <c r="D188" s="260"/>
      <c r="E188" s="260"/>
      <c r="F188" s="260"/>
      <c r="G188" s="260"/>
      <c r="H188" s="260"/>
      <c r="I188" s="261"/>
      <c r="J188" s="261"/>
      <c r="K188" s="260"/>
      <c r="L188" s="193">
        <f>I188+J188*EERR!$D$2</f>
        <v>0</v>
      </c>
      <c r="M188" s="123">
        <f>L188/EERR!$D$2</f>
        <v>0</v>
      </c>
      <c r="N188" s="123">
        <f>SUMIF(Agosto!$B$3:$B$92,A188,Agosto!$T$3:$T$92)</f>
        <v>0</v>
      </c>
    </row>
    <row r="189" spans="1:18" x14ac:dyDescent="0.25">
      <c r="A189" s="258"/>
      <c r="B189" s="259"/>
      <c r="C189" s="260"/>
      <c r="D189" s="260"/>
      <c r="E189" s="260"/>
      <c r="F189" s="260"/>
      <c r="G189" s="260"/>
      <c r="H189" s="260"/>
      <c r="I189" s="261"/>
      <c r="J189" s="261"/>
      <c r="K189" s="260"/>
      <c r="L189" s="193">
        <f>I189+J189*EERR!$D$2</f>
        <v>0</v>
      </c>
      <c r="M189" s="123">
        <f>L189/EERR!$D$2</f>
        <v>0</v>
      </c>
      <c r="N189" s="123">
        <f>SUMIF(Agosto!$B$3:$B$92,A189,Agosto!$T$3:$T$92)</f>
        <v>0</v>
      </c>
    </row>
    <row r="190" spans="1:18" x14ac:dyDescent="0.25">
      <c r="A190" s="258"/>
      <c r="B190" s="259"/>
      <c r="C190" s="260"/>
      <c r="D190" s="260"/>
      <c r="E190" s="260"/>
      <c r="F190" s="260"/>
      <c r="G190" s="260"/>
      <c r="H190" s="260"/>
      <c r="I190" s="261"/>
      <c r="J190" s="261"/>
      <c r="K190" s="260"/>
      <c r="L190" s="193">
        <f>I190+J190*EERR!$D$2</f>
        <v>0</v>
      </c>
      <c r="M190" s="123">
        <f>L190/EERR!$D$2</f>
        <v>0</v>
      </c>
      <c r="N190" s="123">
        <f>SUMIF(Agosto!$B$3:$B$92,A190,Agosto!$T$3:$T$92)</f>
        <v>0</v>
      </c>
    </row>
    <row r="191" spans="1:18" x14ac:dyDescent="0.25">
      <c r="A191" s="258"/>
      <c r="B191" s="259"/>
      <c r="C191" s="260"/>
      <c r="D191" s="260"/>
      <c r="E191" s="260"/>
      <c r="F191" s="260"/>
      <c r="G191" s="260"/>
      <c r="H191" s="260"/>
      <c r="I191" s="261"/>
      <c r="J191" s="261"/>
      <c r="K191" s="260"/>
      <c r="L191" s="193">
        <f>I191+J191*EERR!$D$2</f>
        <v>0</v>
      </c>
      <c r="M191" s="123">
        <f>L191/EERR!$D$2</f>
        <v>0</v>
      </c>
      <c r="N191" s="123">
        <f>SUMIF(Agosto!$B$3:$B$92,A191,Agosto!$T$3:$T$92)</f>
        <v>0</v>
      </c>
    </row>
    <row r="192" spans="1:18" x14ac:dyDescent="0.25">
      <c r="A192" s="258"/>
      <c r="B192" s="259"/>
      <c r="C192" s="260"/>
      <c r="D192" s="260"/>
      <c r="E192" s="260"/>
      <c r="F192" s="260"/>
      <c r="G192" s="260"/>
      <c r="H192" s="260"/>
      <c r="I192" s="261"/>
      <c r="J192" s="261"/>
      <c r="K192" s="260"/>
      <c r="L192" s="193">
        <f>I192+J192*EERR!$D$2</f>
        <v>0</v>
      </c>
      <c r="M192" s="123">
        <f>L192/EERR!$D$2</f>
        <v>0</v>
      </c>
      <c r="N192" s="123">
        <f>SUMIF(Agosto!$B$3:$B$92,A192,Agosto!$T$3:$T$92)</f>
        <v>0</v>
      </c>
    </row>
    <row r="193" spans="1:14" x14ac:dyDescent="0.25">
      <c r="A193" s="258"/>
      <c r="B193" s="259"/>
      <c r="C193" s="260"/>
      <c r="D193" s="260"/>
      <c r="E193" s="260"/>
      <c r="F193" s="260"/>
      <c r="G193" s="260"/>
      <c r="H193" s="260"/>
      <c r="I193" s="261"/>
      <c r="J193" s="261"/>
      <c r="K193" s="260"/>
      <c r="L193" s="193">
        <f>I193+J193*EERR!$D$2</f>
        <v>0</v>
      </c>
      <c r="M193" s="123">
        <f>L193/EERR!$D$2</f>
        <v>0</v>
      </c>
      <c r="N193" s="123">
        <f>SUMIF(Agosto!$B$3:$B$92,A193,Agosto!$T$3:$T$92)</f>
        <v>0</v>
      </c>
    </row>
    <row r="194" spans="1:14" x14ac:dyDescent="0.25">
      <c r="A194" s="258"/>
      <c r="B194" s="259"/>
      <c r="C194" s="260"/>
      <c r="D194" s="260"/>
      <c r="E194" s="260"/>
      <c r="F194" s="260"/>
      <c r="G194" s="260"/>
      <c r="H194" s="260"/>
      <c r="I194" s="261"/>
      <c r="J194" s="261"/>
      <c r="K194" s="260"/>
      <c r="L194" s="193">
        <f>I194+J194*EERR!$D$2</f>
        <v>0</v>
      </c>
      <c r="M194" s="123">
        <f>L194/EERR!$D$2</f>
        <v>0</v>
      </c>
      <c r="N194" s="123">
        <f>SUMIF(Agosto!$B$3:$B$92,A194,Agosto!$T$3:$T$92)</f>
        <v>0</v>
      </c>
    </row>
    <row r="195" spans="1:14" x14ac:dyDescent="0.25">
      <c r="A195" s="242"/>
      <c r="B195" s="243"/>
      <c r="C195" s="244"/>
      <c r="D195" s="244"/>
      <c r="E195" s="244"/>
      <c r="F195" s="244"/>
      <c r="G195" s="244"/>
      <c r="H195" s="244"/>
      <c r="I195" s="245"/>
      <c r="J195" s="245"/>
      <c r="K195" s="244"/>
      <c r="L195" s="193">
        <f>I195+J195*EERR!$D$2</f>
        <v>0</v>
      </c>
      <c r="M195" s="123">
        <f>L195/EERR!$D$2</f>
        <v>0</v>
      </c>
      <c r="N195" s="123">
        <f>SUMIF(Agosto!$B$3:$B$92,A195,Agosto!$T$3:$T$92)</f>
        <v>0</v>
      </c>
    </row>
    <row r="196" spans="1:14" x14ac:dyDescent="0.25">
      <c r="A196" s="242"/>
      <c r="B196" s="243"/>
      <c r="C196" s="244"/>
      <c r="D196" s="244"/>
      <c r="E196" s="244"/>
      <c r="F196" s="244"/>
      <c r="G196" s="244"/>
      <c r="H196" s="244"/>
      <c r="I196" s="245"/>
      <c r="J196" s="245"/>
      <c r="K196" s="244"/>
      <c r="L196" s="193">
        <f>I196+J196*EERR!$D$2</f>
        <v>0</v>
      </c>
      <c r="M196" s="123">
        <f>L196/EERR!$D$2</f>
        <v>0</v>
      </c>
      <c r="N196" s="123">
        <f>SUMIF(Agosto!$B$3:$B$92,A196,Agosto!$T$3:$T$92)</f>
        <v>0</v>
      </c>
    </row>
    <row r="197" spans="1:14" x14ac:dyDescent="0.25">
      <c r="A197" s="242"/>
      <c r="B197" s="243"/>
      <c r="C197" s="244"/>
      <c r="D197" s="244"/>
      <c r="E197" s="244"/>
      <c r="F197" s="244"/>
      <c r="G197" s="244"/>
      <c r="H197" s="244"/>
      <c r="I197" s="245"/>
      <c r="J197" s="245"/>
      <c r="K197" s="244"/>
      <c r="L197" s="193">
        <f>I197+J197*EERR!$D$2</f>
        <v>0</v>
      </c>
      <c r="M197" s="123">
        <f>L197/EERR!$D$2</f>
        <v>0</v>
      </c>
      <c r="N197" s="123">
        <f>SUMIF(Agosto!$B$3:$B$92,A197,Agosto!$T$3:$T$92)</f>
        <v>0</v>
      </c>
    </row>
    <row r="198" spans="1:14" x14ac:dyDescent="0.25">
      <c r="A198" s="242"/>
      <c r="B198" s="243"/>
      <c r="C198" s="244"/>
      <c r="D198" s="244"/>
      <c r="E198" s="244"/>
      <c r="F198" s="244"/>
      <c r="G198" s="244"/>
      <c r="H198" s="244"/>
      <c r="I198" s="245"/>
      <c r="J198" s="245"/>
      <c r="K198" s="244"/>
      <c r="L198" s="193">
        <f>I198+J198*EERR!$D$2</f>
        <v>0</v>
      </c>
      <c r="M198" s="123">
        <f>L198/EERR!$D$2</f>
        <v>0</v>
      </c>
      <c r="N198" s="123">
        <f>SUMIF(Agosto!$B$3:$B$92,A198,Agosto!$T$3:$T$92)</f>
        <v>0</v>
      </c>
    </row>
    <row r="199" spans="1:14" x14ac:dyDescent="0.25">
      <c r="A199" s="242"/>
      <c r="B199" s="243"/>
      <c r="C199" s="244"/>
      <c r="D199" s="244"/>
      <c r="E199" s="244"/>
      <c r="F199" s="244"/>
      <c r="G199" s="244"/>
      <c r="H199" s="244"/>
      <c r="I199" s="245"/>
      <c r="J199" s="245"/>
      <c r="K199" s="244"/>
      <c r="L199" s="193">
        <f>I199+J199*EERR!$D$2</f>
        <v>0</v>
      </c>
      <c r="M199" s="123">
        <f>L199/EERR!$D$2</f>
        <v>0</v>
      </c>
      <c r="N199" s="123">
        <f>SUMIF(Agosto!$B$3:$B$92,A199,Agosto!$T$3:$T$92)</f>
        <v>0</v>
      </c>
    </row>
    <row r="200" spans="1:14" x14ac:dyDescent="0.25">
      <c r="A200" s="242"/>
      <c r="B200" s="243"/>
      <c r="C200" s="244"/>
      <c r="D200" s="244"/>
      <c r="E200" s="244"/>
      <c r="F200" s="244"/>
      <c r="G200" s="244"/>
      <c r="H200" s="244"/>
      <c r="I200" s="245"/>
      <c r="J200" s="245"/>
      <c r="K200" s="244"/>
      <c r="L200" s="193">
        <f>I200+J200*EERR!$D$2</f>
        <v>0</v>
      </c>
      <c r="M200" s="123">
        <f>L200/EERR!$D$2</f>
        <v>0</v>
      </c>
      <c r="N200" s="123">
        <f>SUMIF(Agosto!$B$3:$B$92,A200,Agosto!$T$3:$T$92)</f>
        <v>0</v>
      </c>
    </row>
    <row r="201" spans="1:14" x14ac:dyDescent="0.25">
      <c r="A201" s="242"/>
      <c r="B201" s="243"/>
      <c r="C201" s="244"/>
      <c r="D201" s="244"/>
      <c r="E201" s="244"/>
      <c r="F201" s="244"/>
      <c r="G201" s="244"/>
      <c r="H201" s="244"/>
      <c r="I201" s="245"/>
      <c r="J201" s="245"/>
      <c r="K201" s="244"/>
      <c r="L201" s="193">
        <f>I201+J201*EERR!$D$2</f>
        <v>0</v>
      </c>
      <c r="M201" s="123">
        <f>L201/EERR!$D$2</f>
        <v>0</v>
      </c>
      <c r="N201" s="123">
        <f>SUMIF(Agosto!$B$3:$B$92,A201,Agosto!$T$3:$T$92)</f>
        <v>0</v>
      </c>
    </row>
    <row r="202" spans="1:14" x14ac:dyDescent="0.25">
      <c r="A202" s="242"/>
      <c r="B202" s="243"/>
      <c r="C202" s="244"/>
      <c r="D202" s="244"/>
      <c r="E202" s="244"/>
      <c r="F202" s="244"/>
      <c r="G202" s="244"/>
      <c r="H202" s="244"/>
      <c r="I202" s="245"/>
      <c r="J202" s="245"/>
      <c r="K202" s="244"/>
      <c r="L202" s="193">
        <f>I202+J202*EERR!$D$2</f>
        <v>0</v>
      </c>
      <c r="M202" s="123">
        <f>L202/EERR!$D$2</f>
        <v>0</v>
      </c>
      <c r="N202" s="123">
        <f>SUMIF(Agosto!$B$3:$B$92,A202,Agosto!$T$3:$T$92)</f>
        <v>0</v>
      </c>
    </row>
    <row r="203" spans="1:14" x14ac:dyDescent="0.25">
      <c r="A203" s="242"/>
      <c r="B203" s="243"/>
      <c r="C203" s="244"/>
      <c r="D203" s="244"/>
      <c r="E203" s="244"/>
      <c r="F203" s="244"/>
      <c r="G203" s="244"/>
      <c r="H203" s="244"/>
      <c r="I203" s="245"/>
      <c r="J203" s="245"/>
      <c r="K203" s="244"/>
      <c r="L203" s="193">
        <f>I203+J203*EERR!$D$2</f>
        <v>0</v>
      </c>
      <c r="M203" s="123">
        <f>L203/EERR!$D$2</f>
        <v>0</v>
      </c>
      <c r="N203" s="123">
        <f>SUMIF(Agosto!$B$3:$B$92,A203,Agosto!$T$3:$T$92)</f>
        <v>0</v>
      </c>
    </row>
    <row r="204" spans="1:14" x14ac:dyDescent="0.25">
      <c r="A204" s="242"/>
      <c r="B204" s="243"/>
      <c r="C204" s="244"/>
      <c r="D204" s="244"/>
      <c r="E204" s="244"/>
      <c r="F204" s="244"/>
      <c r="G204" s="244"/>
      <c r="H204" s="244"/>
      <c r="I204" s="245"/>
      <c r="J204" s="245"/>
      <c r="K204" s="244"/>
      <c r="L204" s="193">
        <f>I204+J204*EERR!$D$2</f>
        <v>0</v>
      </c>
      <c r="M204" s="123">
        <f>L204/EERR!$D$2</f>
        <v>0</v>
      </c>
      <c r="N204" s="123">
        <f>SUMIF(Agosto!$B$3:$B$92,A204,Agosto!$T$3:$T$92)</f>
        <v>0</v>
      </c>
    </row>
    <row r="205" spans="1:14" x14ac:dyDescent="0.25">
      <c r="A205" s="242"/>
      <c r="B205" s="243"/>
      <c r="C205" s="244"/>
      <c r="D205" s="244"/>
      <c r="E205" s="244"/>
      <c r="F205" s="244"/>
      <c r="G205" s="244"/>
      <c r="H205" s="244"/>
      <c r="I205" s="245"/>
      <c r="J205" s="245"/>
      <c r="K205" s="244"/>
      <c r="L205" s="193">
        <f>I205+J205*EERR!$D$2</f>
        <v>0</v>
      </c>
      <c r="M205" s="123">
        <f>L205/EERR!$D$2</f>
        <v>0</v>
      </c>
      <c r="N205" s="123">
        <f>SUMIF(Agosto!$B$3:$B$92,A205,Agosto!$T$3:$T$92)</f>
        <v>0</v>
      </c>
    </row>
    <row r="206" spans="1:14" x14ac:dyDescent="0.25">
      <c r="A206" s="242"/>
      <c r="B206" s="243"/>
      <c r="C206" s="244"/>
      <c r="D206" s="244"/>
      <c r="E206" s="244"/>
      <c r="F206" s="244"/>
      <c r="G206" s="244"/>
      <c r="H206" s="244"/>
      <c r="I206" s="245"/>
      <c r="J206" s="245"/>
      <c r="K206" s="244"/>
      <c r="L206" s="193">
        <f>I206+J206*EERR!$D$2</f>
        <v>0</v>
      </c>
      <c r="M206" s="123">
        <f>L206/EERR!$D$2</f>
        <v>0</v>
      </c>
      <c r="N206" s="123">
        <f>SUMIF(Agosto!$B$3:$B$92,A206,Agosto!$T$3:$T$92)</f>
        <v>0</v>
      </c>
    </row>
    <row r="207" spans="1:14" x14ac:dyDescent="0.25">
      <c r="A207" s="138"/>
      <c r="B207" s="133"/>
      <c r="C207" s="121"/>
      <c r="D207" s="121"/>
      <c r="E207" s="121"/>
      <c r="F207" s="121"/>
      <c r="G207" s="121"/>
      <c r="H207" s="121"/>
      <c r="I207" s="122"/>
      <c r="J207" s="122"/>
      <c r="K207" s="121"/>
      <c r="L207" s="193">
        <f>I207+J207*EERR!$D$2</f>
        <v>0</v>
      </c>
      <c r="M207" s="123">
        <f>L207/EERR!$D$2</f>
        <v>0</v>
      </c>
      <c r="N207" s="123">
        <f>SUMIF(Agosto!$B$3:$B$92,A207,Agosto!$T$3:$T$92)</f>
        <v>0</v>
      </c>
    </row>
    <row r="208" spans="1:14" x14ac:dyDescent="0.25">
      <c r="A208" s="138"/>
      <c r="B208" s="133"/>
      <c r="C208" s="121"/>
      <c r="D208" s="121"/>
      <c r="E208" s="121"/>
      <c r="F208" s="121"/>
      <c r="G208" s="121"/>
      <c r="H208" s="121"/>
      <c r="I208" s="122"/>
      <c r="J208" s="122"/>
      <c r="K208" s="121"/>
      <c r="L208" s="193">
        <f>I208+J208*EERR!$D$2</f>
        <v>0</v>
      </c>
      <c r="M208" s="123">
        <f>L208/EERR!$D$2</f>
        <v>0</v>
      </c>
      <c r="N208" s="123">
        <f>SUMIF(Agosto!$B$3:$B$92,A208,Agosto!$T$3:$T$92)</f>
        <v>0</v>
      </c>
    </row>
    <row r="209" spans="1:18" x14ac:dyDescent="0.25">
      <c r="A209" s="138"/>
      <c r="B209" s="133"/>
      <c r="C209" s="121"/>
      <c r="D209" s="121"/>
      <c r="E209" s="121"/>
      <c r="F209" s="121"/>
      <c r="G209" s="121"/>
      <c r="H209" s="121"/>
      <c r="I209" s="122"/>
      <c r="J209" s="122"/>
      <c r="K209" s="121"/>
      <c r="L209" s="193">
        <f>I209+J209*EERR!$D$2</f>
        <v>0</v>
      </c>
      <c r="M209" s="123">
        <f>L209/EERR!$D$2</f>
        <v>0</v>
      </c>
      <c r="N209" s="123">
        <f>SUMIF(Agosto!$B$3:$B$92,A209,Agosto!$T$3:$T$92)</f>
        <v>0</v>
      </c>
    </row>
    <row r="210" spans="1:18" x14ac:dyDescent="0.25">
      <c r="A210" s="138"/>
      <c r="B210" s="133"/>
      <c r="C210" s="121"/>
      <c r="D210" s="121"/>
      <c r="E210" s="121"/>
      <c r="F210" s="121"/>
      <c r="G210" s="121"/>
      <c r="H210" s="121"/>
      <c r="I210" s="122"/>
      <c r="J210" s="122"/>
      <c r="K210" s="121"/>
      <c r="L210" s="193">
        <f>I210+J210*EERR!$D$2</f>
        <v>0</v>
      </c>
      <c r="M210" s="123">
        <f>L210/EERR!$D$2</f>
        <v>0</v>
      </c>
      <c r="N210" s="123">
        <f>SUMIF(Agosto!$B$3:$B$92,A210,Agosto!$T$3:$T$92)</f>
        <v>0</v>
      </c>
    </row>
    <row r="211" spans="1:18" x14ac:dyDescent="0.25">
      <c r="A211" s="138"/>
      <c r="B211" s="133"/>
      <c r="C211" s="121"/>
      <c r="D211" s="121"/>
      <c r="E211" s="121"/>
      <c r="F211" s="121"/>
      <c r="G211" s="121"/>
      <c r="H211" s="121"/>
      <c r="I211" s="122"/>
      <c r="J211" s="122"/>
      <c r="K211" s="121"/>
      <c r="L211" s="193">
        <f>I211+J211*EERR!$D$2</f>
        <v>0</v>
      </c>
      <c r="M211" s="123">
        <f>L211/EERR!$D$2</f>
        <v>0</v>
      </c>
      <c r="N211" s="123">
        <f>SUMIF(Agosto!$B$3:$B$92,A211,Agosto!$T$3:$T$92)</f>
        <v>0</v>
      </c>
    </row>
    <row r="212" spans="1:18" x14ac:dyDescent="0.25">
      <c r="A212" s="138"/>
      <c r="B212" s="133"/>
      <c r="C212" s="121"/>
      <c r="D212" s="121"/>
      <c r="E212" s="121"/>
      <c r="F212" s="121"/>
      <c r="G212" s="121"/>
      <c r="H212" s="121"/>
      <c r="I212" s="122"/>
      <c r="J212" s="122"/>
      <c r="K212" s="121"/>
      <c r="L212" s="193">
        <f>I212+J212*EERR!$D$2</f>
        <v>0</v>
      </c>
      <c r="M212" s="123">
        <f>L212/EERR!$D$2</f>
        <v>0</v>
      </c>
      <c r="N212" s="123">
        <f>SUMIF(Agosto!$B$3:$B$92,A212,Agosto!$T$3:$T$92)</f>
        <v>0</v>
      </c>
    </row>
    <row r="213" spans="1:18" x14ac:dyDescent="0.25">
      <c r="A213" s="138"/>
      <c r="B213" s="133"/>
      <c r="C213" s="121"/>
      <c r="D213" s="121"/>
      <c r="E213" s="121"/>
      <c r="F213" s="121"/>
      <c r="G213" s="121"/>
      <c r="H213" s="121"/>
      <c r="I213" s="122"/>
      <c r="J213" s="122"/>
      <c r="K213" s="121"/>
      <c r="L213" s="193">
        <f>I213+J213*EERR!$D$2</f>
        <v>0</v>
      </c>
      <c r="M213" s="123">
        <f>L213/EERR!$D$2</f>
        <v>0</v>
      </c>
      <c r="N213" s="123">
        <f>SUMIF(Agosto!$B$3:$B$92,A213,Agosto!$T$3:$T$92)</f>
        <v>0</v>
      </c>
    </row>
    <row r="214" spans="1:18" x14ac:dyDescent="0.25">
      <c r="A214" s="138"/>
      <c r="B214" s="133"/>
      <c r="C214" s="121"/>
      <c r="D214" s="121"/>
      <c r="E214" s="121"/>
      <c r="F214" s="121"/>
      <c r="G214" s="121"/>
      <c r="H214" s="121"/>
      <c r="I214" s="122"/>
      <c r="J214" s="122"/>
      <c r="K214" s="121"/>
      <c r="L214" s="193">
        <f>I214+J214*EERR!$D$2</f>
        <v>0</v>
      </c>
      <c r="M214" s="123">
        <f>L214/EERR!$D$2</f>
        <v>0</v>
      </c>
      <c r="N214" s="123">
        <f>SUMIF(Agosto!$B$3:$B$92,A214,Agosto!$T$3:$T$92)</f>
        <v>0</v>
      </c>
    </row>
    <row r="215" spans="1:18" x14ac:dyDescent="0.25">
      <c r="A215" s="138"/>
      <c r="B215" s="133"/>
      <c r="C215" s="121"/>
      <c r="D215" s="121"/>
      <c r="E215" s="121"/>
      <c r="F215" s="121"/>
      <c r="G215" s="121"/>
      <c r="H215" s="121"/>
      <c r="I215" s="122"/>
      <c r="J215" s="122"/>
      <c r="K215" s="121"/>
      <c r="L215" s="193">
        <f>I215+J215*EERR!$D$2</f>
        <v>0</v>
      </c>
      <c r="M215" s="123">
        <f>L215/EERR!$D$2</f>
        <v>0</v>
      </c>
      <c r="N215" s="123">
        <f>SUMIF(Agosto!$B$3:$B$92,A215,Agosto!$T$3:$T$92)</f>
        <v>0</v>
      </c>
    </row>
    <row r="216" spans="1:18" x14ac:dyDescent="0.25">
      <c r="A216" s="138"/>
      <c r="B216" s="133"/>
      <c r="C216" s="121"/>
      <c r="D216" s="121"/>
      <c r="E216" s="121"/>
      <c r="F216" s="121"/>
      <c r="G216" s="121"/>
      <c r="H216" s="121"/>
      <c r="I216" s="122"/>
      <c r="J216" s="122"/>
      <c r="K216" s="121"/>
      <c r="L216" s="193">
        <f>I216+J216*EERR!$D$2</f>
        <v>0</v>
      </c>
      <c r="M216" s="123">
        <f>L216/EERR!$D$2</f>
        <v>0</v>
      </c>
      <c r="N216" s="123">
        <f>SUMIF(Agosto!$B$3:$B$92,A216,Agosto!$T$3:$T$92)</f>
        <v>0</v>
      </c>
    </row>
    <row r="217" spans="1:18" x14ac:dyDescent="0.25">
      <c r="A217" s="138"/>
      <c r="B217" s="133"/>
      <c r="C217" s="121"/>
      <c r="D217" s="121"/>
      <c r="E217" s="121"/>
      <c r="F217" s="121"/>
      <c r="G217" s="121"/>
      <c r="H217" s="121"/>
      <c r="I217" s="122"/>
      <c r="J217" s="122"/>
      <c r="K217" s="121"/>
      <c r="L217" s="193">
        <f>I217+J217*EERR!$D$2</f>
        <v>0</v>
      </c>
      <c r="M217" s="123">
        <f>L217/EERR!$D$2</f>
        <v>0</v>
      </c>
      <c r="N217" s="123">
        <f>SUMIF(Agosto!$B$3:$B$92,A217,Agosto!$T$3:$T$92)</f>
        <v>0</v>
      </c>
    </row>
    <row r="218" spans="1:18" x14ac:dyDescent="0.25">
      <c r="A218" s="138"/>
      <c r="B218" s="133"/>
      <c r="C218" s="121"/>
      <c r="D218" s="121"/>
      <c r="E218" s="121"/>
      <c r="F218" s="121"/>
      <c r="G218" s="121"/>
      <c r="H218" s="121"/>
      <c r="I218" s="122"/>
      <c r="J218" s="122"/>
      <c r="K218" s="121"/>
      <c r="L218" s="193">
        <f>I218+J218*EERR!$D$2</f>
        <v>0</v>
      </c>
      <c r="M218" s="123">
        <f>L218/EERR!$D$2</f>
        <v>0</v>
      </c>
      <c r="N218" s="123">
        <f>SUMIF(Agosto!$B$3:$B$92,A218,Agosto!$T$3:$T$92)</f>
        <v>0</v>
      </c>
    </row>
    <row r="219" spans="1:18" x14ac:dyDescent="0.25">
      <c r="A219" s="138"/>
      <c r="B219" s="133"/>
      <c r="C219" s="121"/>
      <c r="D219" s="121"/>
      <c r="E219" s="121"/>
      <c r="F219" s="121"/>
      <c r="G219" s="121"/>
      <c r="H219" s="121"/>
      <c r="I219" s="122"/>
      <c r="J219" s="122"/>
      <c r="K219" s="121"/>
      <c r="L219" s="193">
        <f>I219+J219*EERR!$D$2</f>
        <v>0</v>
      </c>
      <c r="M219" s="123">
        <f>L219/EERR!$D$2</f>
        <v>0</v>
      </c>
      <c r="N219" s="123">
        <f>SUMIF(Agosto!$B$3:$B$92,A219,Agosto!$T$3:$T$92)</f>
        <v>0</v>
      </c>
    </row>
    <row r="220" spans="1:18" x14ac:dyDescent="0.25">
      <c r="A220" s="138"/>
      <c r="B220" s="133"/>
      <c r="C220" s="121"/>
      <c r="D220" s="121"/>
      <c r="E220" s="121"/>
      <c r="F220" s="121"/>
      <c r="G220" s="121"/>
      <c r="H220" s="121"/>
      <c r="I220" s="122"/>
      <c r="J220" s="122"/>
      <c r="K220" s="121"/>
      <c r="L220" s="193">
        <f>I220+J220*EERR!$D$2</f>
        <v>0</v>
      </c>
      <c r="M220" s="123">
        <f>L220/EERR!$D$2</f>
        <v>0</v>
      </c>
      <c r="N220" s="123">
        <f>SUMIF(Agosto!$B$3:$B$92,A220,Agosto!$T$3:$T$92)</f>
        <v>0</v>
      </c>
    </row>
    <row r="221" spans="1:18" x14ac:dyDescent="0.25">
      <c r="A221" s="208"/>
      <c r="B221" s="208"/>
      <c r="C221" s="208"/>
      <c r="D221" s="208"/>
      <c r="E221" s="208"/>
      <c r="F221" s="208"/>
      <c r="G221" s="208"/>
      <c r="H221" s="208"/>
      <c r="I221" s="209">
        <f>SUM(I2:I220)</f>
        <v>5825125</v>
      </c>
      <c r="J221" s="209">
        <f>SUM(J2:J220)</f>
        <v>31599</v>
      </c>
      <c r="K221" s="208"/>
      <c r="L221" s="193">
        <f>I221+J221*EERR!$D$2</f>
        <v>26182464.760000002</v>
      </c>
      <c r="M221" s="123">
        <f>L221/EERR!$D$2</f>
        <v>40640.855519682111</v>
      </c>
      <c r="N221" s="123">
        <f>SUMIF(Agosto!$B$3:$B$92,A221,Agosto!$T$3:$T$92)</f>
        <v>0</v>
      </c>
      <c r="O221" s="184"/>
      <c r="P221" s="184"/>
      <c r="R221" s="60">
        <v>7096000</v>
      </c>
    </row>
    <row r="222" spans="1:18" x14ac:dyDescent="0.25">
      <c r="I222" s="207">
        <f>I221-I11</f>
        <v>5825125</v>
      </c>
      <c r="J222" s="60"/>
      <c r="L222" s="193">
        <f>I222+J222*EERR!$D$2</f>
        <v>5825125</v>
      </c>
      <c r="M222" s="123">
        <f>L222/EERR!$D$2</f>
        <v>9041.8555196821053</v>
      </c>
      <c r="N222" s="123">
        <f>SUMIF(Agosto!$B$3:$B$92,A222,Agosto!$T$3:$T$92)</f>
        <v>0</v>
      </c>
      <c r="O222" s="184"/>
      <c r="P222" s="184"/>
      <c r="R222" s="60">
        <f>R221*0.19</f>
        <v>1348240</v>
      </c>
    </row>
    <row r="223" spans="1:18" x14ac:dyDescent="0.25">
      <c r="H223" s="60" t="s">
        <v>139</v>
      </c>
      <c r="I223" s="207">
        <f>I222*0.19</f>
        <v>1106773.75</v>
      </c>
      <c r="J223" s="60"/>
      <c r="L223" s="193">
        <f>I223+J223*EERR!$D$2</f>
        <v>1106773.75</v>
      </c>
      <c r="M223" s="123">
        <f>L223/EERR!$D$2</f>
        <v>1717.9525487396002</v>
      </c>
      <c r="N223" s="123">
        <f>SUMIF(Agosto!$B$3:$B$92,A223,Agosto!$T$3:$T$92)</f>
        <v>0</v>
      </c>
      <c r="Q223" s="210"/>
    </row>
    <row r="224" spans="1:18" x14ac:dyDescent="0.25">
      <c r="I224" s="60"/>
      <c r="J224" s="60"/>
      <c r="L224" s="193">
        <f>I224+J224*EERR!$D$2</f>
        <v>0</v>
      </c>
      <c r="M224" s="123">
        <f>L224/EERR!$D$2</f>
        <v>0</v>
      </c>
      <c r="N224" s="123">
        <f>SUMIF(Agosto!$B$3:$B$92,A224,Agosto!$T$3:$T$92)</f>
        <v>0</v>
      </c>
    </row>
    <row r="225" spans="1:16" x14ac:dyDescent="0.25">
      <c r="I225" s="60"/>
      <c r="J225" s="60"/>
      <c r="L225" s="193">
        <f>I225+J225*EERR!$D$2</f>
        <v>0</v>
      </c>
      <c r="M225" s="123">
        <f>L225/EERR!$D$2</f>
        <v>0</v>
      </c>
      <c r="N225" s="123">
        <f>SUMIF(Agosto!$B$3:$B$92,A225,Agosto!$T$3:$T$92)</f>
        <v>0</v>
      </c>
    </row>
    <row r="226" spans="1:16" x14ac:dyDescent="0.25">
      <c r="L226" s="193">
        <f>I226+J226*EERR!$D$2</f>
        <v>0</v>
      </c>
      <c r="M226" s="123">
        <f>L226/EERR!$D$2</f>
        <v>0</v>
      </c>
      <c r="N226" s="123">
        <f>SUMIF(Agosto!$B$3:$B$92,A226,Agosto!$T$3:$T$92)</f>
        <v>0</v>
      </c>
    </row>
    <row r="227" spans="1:16" x14ac:dyDescent="0.25">
      <c r="A227" s="171" t="s">
        <v>142</v>
      </c>
      <c r="B227" s="205" t="s">
        <v>143</v>
      </c>
      <c r="C227" s="171" t="s">
        <v>144</v>
      </c>
      <c r="D227" s="171" t="s">
        <v>145</v>
      </c>
      <c r="E227" s="171" t="s">
        <v>146</v>
      </c>
      <c r="F227" s="171" t="s">
        <v>147</v>
      </c>
      <c r="G227" s="171" t="s">
        <v>148</v>
      </c>
      <c r="H227" s="171" t="s">
        <v>149</v>
      </c>
      <c r="I227" s="173" t="s">
        <v>150</v>
      </c>
      <c r="J227" s="173" t="s">
        <v>151</v>
      </c>
      <c r="K227" s="171" t="s">
        <v>152</v>
      </c>
      <c r="L227" s="193" t="e">
        <f>I227+J227*EERR!$D$2</f>
        <v>#VALUE!</v>
      </c>
      <c r="M227" s="123" t="e">
        <f>L227/EERR!$D$2</f>
        <v>#VALUE!</v>
      </c>
      <c r="N227" s="123">
        <f>SUMIF(Agosto!$B$3:$B$92,A227,Agosto!$T$3:$T$92)</f>
        <v>0</v>
      </c>
      <c r="O227" s="206" t="s">
        <v>81</v>
      </c>
      <c r="P227" s="206" t="s">
        <v>127</v>
      </c>
    </row>
    <row r="228" spans="1:16" x14ac:dyDescent="0.25">
      <c r="A228" s="138">
        <v>93267</v>
      </c>
      <c r="B228" s="133">
        <v>42917.844444444447</v>
      </c>
      <c r="C228" s="121">
        <v>30905830</v>
      </c>
      <c r="D228" s="121" t="s">
        <v>170</v>
      </c>
      <c r="E228" s="121" t="s">
        <v>174</v>
      </c>
      <c r="F228" s="121" t="s">
        <v>195</v>
      </c>
      <c r="G228" s="121" t="s">
        <v>414</v>
      </c>
      <c r="H228" s="121" t="s">
        <v>196</v>
      </c>
      <c r="I228" s="122">
        <v>439131</v>
      </c>
      <c r="J228" s="122"/>
      <c r="K228" s="121">
        <v>712</v>
      </c>
      <c r="L228" s="193">
        <v>439131</v>
      </c>
      <c r="M228" s="123">
        <v>667.37234042553189</v>
      </c>
      <c r="N228" s="123">
        <v>0</v>
      </c>
    </row>
    <row r="229" spans="1:16" x14ac:dyDescent="0.25">
      <c r="A229" s="138">
        <v>11179</v>
      </c>
      <c r="B229" s="133">
        <v>42918.355555555558</v>
      </c>
      <c r="C229" s="121">
        <v>30905830</v>
      </c>
      <c r="D229" s="121" t="s">
        <v>170</v>
      </c>
      <c r="E229" s="121" t="s">
        <v>174</v>
      </c>
      <c r="F229" s="121" t="s">
        <v>175</v>
      </c>
      <c r="G229" s="121" t="s">
        <v>375</v>
      </c>
      <c r="H229" s="121" t="s">
        <v>174</v>
      </c>
      <c r="I229" s="122">
        <v>6000</v>
      </c>
      <c r="J229" s="122"/>
      <c r="K229" s="121">
        <v>85611</v>
      </c>
      <c r="L229" s="193">
        <v>6000</v>
      </c>
      <c r="M229" s="123">
        <v>9.1185410334346511</v>
      </c>
      <c r="N229" s="123">
        <v>0</v>
      </c>
    </row>
    <row r="230" spans="1:16" x14ac:dyDescent="0.25">
      <c r="A230" s="138">
        <v>29437</v>
      </c>
      <c r="B230" s="133">
        <v>42918.441666666666</v>
      </c>
      <c r="C230" s="121">
        <v>30975278</v>
      </c>
      <c r="D230" s="121" t="s">
        <v>170</v>
      </c>
      <c r="E230" s="121" t="s">
        <v>171</v>
      </c>
      <c r="F230" s="121" t="s">
        <v>176</v>
      </c>
      <c r="G230" s="121" t="s">
        <v>415</v>
      </c>
      <c r="H230" s="121" t="s">
        <v>173</v>
      </c>
      <c r="I230" s="122"/>
      <c r="J230" s="122">
        <v>741</v>
      </c>
      <c r="K230" s="121" t="s">
        <v>416</v>
      </c>
      <c r="L230" s="193">
        <v>487578</v>
      </c>
      <c r="M230" s="123">
        <v>741</v>
      </c>
      <c r="N230" s="123">
        <v>0</v>
      </c>
    </row>
    <row r="231" spans="1:16" x14ac:dyDescent="0.25">
      <c r="A231" s="138">
        <v>94232</v>
      </c>
      <c r="B231" s="133" t="s">
        <v>564</v>
      </c>
      <c r="C231" s="121" t="s">
        <v>243</v>
      </c>
      <c r="D231" s="121" t="s">
        <v>170</v>
      </c>
      <c r="E231" s="121" t="s">
        <v>565</v>
      </c>
      <c r="F231" s="121" t="s">
        <v>176</v>
      </c>
      <c r="G231" s="121" t="s">
        <v>395</v>
      </c>
      <c r="H231" s="121" t="s">
        <v>173</v>
      </c>
      <c r="I231" s="122"/>
      <c r="J231" s="122">
        <v>-195</v>
      </c>
      <c r="K231" s="121" t="s">
        <v>566</v>
      </c>
      <c r="L231" s="193">
        <v>-128310</v>
      </c>
      <c r="M231" s="123">
        <v>-195</v>
      </c>
      <c r="N231" s="123">
        <v>0</v>
      </c>
    </row>
    <row r="232" spans="1:16" x14ac:dyDescent="0.25">
      <c r="A232" s="138">
        <v>18607</v>
      </c>
      <c r="B232" s="133" t="s">
        <v>564</v>
      </c>
      <c r="C232" s="121" t="s">
        <v>243</v>
      </c>
      <c r="D232" s="121" t="s">
        <v>170</v>
      </c>
      <c r="E232" s="121" t="s">
        <v>565</v>
      </c>
      <c r="F232" s="121" t="s">
        <v>176</v>
      </c>
      <c r="G232" s="121" t="s">
        <v>390</v>
      </c>
      <c r="H232" s="121" t="s">
        <v>173</v>
      </c>
      <c r="I232" s="122"/>
      <c r="J232" s="122">
        <v>-195</v>
      </c>
      <c r="K232" s="121" t="s">
        <v>567</v>
      </c>
      <c r="L232" s="193">
        <v>-128310</v>
      </c>
      <c r="M232" s="123">
        <v>-195</v>
      </c>
      <c r="N232" s="123">
        <v>0</v>
      </c>
    </row>
    <row r="233" spans="1:16" x14ac:dyDescent="0.25">
      <c r="A233" s="138">
        <v>46281</v>
      </c>
      <c r="B233" s="133">
        <v>42920.447222222225</v>
      </c>
      <c r="C233" s="121">
        <v>30905830</v>
      </c>
      <c r="D233" s="121" t="s">
        <v>170</v>
      </c>
      <c r="E233" s="121" t="s">
        <v>174</v>
      </c>
      <c r="F233" s="121" t="s">
        <v>176</v>
      </c>
      <c r="G233" s="121" t="s">
        <v>383</v>
      </c>
      <c r="H233" s="121" t="s">
        <v>174</v>
      </c>
      <c r="I233" s="122">
        <v>6000</v>
      </c>
      <c r="J233" s="122"/>
      <c r="K233" s="121">
        <v>83825</v>
      </c>
      <c r="L233" s="193">
        <v>6000</v>
      </c>
      <c r="M233" s="123">
        <v>9.1185410334346511</v>
      </c>
      <c r="N233" s="123">
        <v>0</v>
      </c>
    </row>
    <row r="234" spans="1:16" x14ac:dyDescent="0.25">
      <c r="A234" s="138">
        <v>94232</v>
      </c>
      <c r="B234" s="133">
        <v>42920.529166666667</v>
      </c>
      <c r="C234" s="121">
        <v>30975278</v>
      </c>
      <c r="D234" s="121" t="s">
        <v>170</v>
      </c>
      <c r="E234" s="121" t="s">
        <v>171</v>
      </c>
      <c r="F234" s="121" t="s">
        <v>176</v>
      </c>
      <c r="G234" s="121" t="s">
        <v>395</v>
      </c>
      <c r="H234" s="121" t="s">
        <v>173</v>
      </c>
      <c r="I234" s="122"/>
      <c r="J234" s="122">
        <v>195</v>
      </c>
      <c r="K234" s="121">
        <v>882129</v>
      </c>
      <c r="L234" s="193">
        <v>128310</v>
      </c>
      <c r="M234" s="123">
        <v>195</v>
      </c>
      <c r="N234" s="123">
        <v>0</v>
      </c>
    </row>
    <row r="235" spans="1:16" x14ac:dyDescent="0.25">
      <c r="A235" s="138">
        <v>53137</v>
      </c>
      <c r="B235" s="133">
        <v>42920.532638888886</v>
      </c>
      <c r="C235" s="121">
        <v>30975278</v>
      </c>
      <c r="D235" s="121" t="s">
        <v>170</v>
      </c>
      <c r="E235" s="121" t="s">
        <v>171</v>
      </c>
      <c r="F235" s="121" t="s">
        <v>176</v>
      </c>
      <c r="G235" s="121" t="s">
        <v>417</v>
      </c>
      <c r="H235" s="121" t="s">
        <v>173</v>
      </c>
      <c r="I235" s="122"/>
      <c r="J235" s="122">
        <v>390</v>
      </c>
      <c r="K235" s="121">
        <v>694379</v>
      </c>
      <c r="L235" s="193">
        <v>256620</v>
      </c>
      <c r="M235" s="123">
        <v>390</v>
      </c>
      <c r="N235" s="123">
        <v>0</v>
      </c>
    </row>
    <row r="236" spans="1:16" x14ac:dyDescent="0.25">
      <c r="A236" s="138">
        <v>55032</v>
      </c>
      <c r="B236" s="133">
        <v>42920.53402777778</v>
      </c>
      <c r="C236" s="121">
        <v>30975278</v>
      </c>
      <c r="D236" s="121" t="s">
        <v>170</v>
      </c>
      <c r="E236" s="121" t="s">
        <v>171</v>
      </c>
      <c r="F236" s="121" t="s">
        <v>176</v>
      </c>
      <c r="G236" s="121" t="s">
        <v>418</v>
      </c>
      <c r="H236" s="121" t="s">
        <v>173</v>
      </c>
      <c r="I236" s="122"/>
      <c r="J236" s="122">
        <v>195</v>
      </c>
      <c r="K236" s="121">
        <v>511860</v>
      </c>
      <c r="L236" s="193">
        <v>128310</v>
      </c>
      <c r="M236" s="123">
        <v>195</v>
      </c>
      <c r="N236" s="123">
        <v>0</v>
      </c>
    </row>
    <row r="237" spans="1:16" x14ac:dyDescent="0.25">
      <c r="A237" s="138">
        <v>32693</v>
      </c>
      <c r="B237" s="133">
        <v>42920.534722222219</v>
      </c>
      <c r="C237" s="121">
        <v>30975278</v>
      </c>
      <c r="D237" s="121" t="s">
        <v>170</v>
      </c>
      <c r="E237" s="121" t="s">
        <v>171</v>
      </c>
      <c r="F237" s="121" t="s">
        <v>172</v>
      </c>
      <c r="G237" s="121" t="s">
        <v>419</v>
      </c>
      <c r="H237" s="121" t="s">
        <v>173</v>
      </c>
      <c r="I237" s="122"/>
      <c r="J237" s="122">
        <v>195</v>
      </c>
      <c r="K237" s="121">
        <v>39</v>
      </c>
      <c r="L237" s="193">
        <v>128310</v>
      </c>
      <c r="M237" s="123">
        <v>195</v>
      </c>
      <c r="N237" s="123">
        <v>0</v>
      </c>
    </row>
    <row r="238" spans="1:16" x14ac:dyDescent="0.25">
      <c r="A238" s="138">
        <v>46675</v>
      </c>
      <c r="B238" s="133">
        <v>42920.536111111112</v>
      </c>
      <c r="C238" s="121">
        <v>30975278</v>
      </c>
      <c r="D238" s="121" t="s">
        <v>170</v>
      </c>
      <c r="E238" s="121" t="s">
        <v>171</v>
      </c>
      <c r="F238" s="121" t="s">
        <v>176</v>
      </c>
      <c r="G238" s="121" t="s">
        <v>420</v>
      </c>
      <c r="H238" s="121" t="s">
        <v>173</v>
      </c>
      <c r="I238" s="122"/>
      <c r="J238" s="122">
        <v>4</v>
      </c>
      <c r="K238" s="121">
        <v>540862</v>
      </c>
      <c r="L238" s="193">
        <v>2632</v>
      </c>
      <c r="M238" s="123">
        <v>4</v>
      </c>
      <c r="N238" s="123">
        <v>0</v>
      </c>
    </row>
    <row r="239" spans="1:16" x14ac:dyDescent="0.25">
      <c r="A239" s="138">
        <v>46675</v>
      </c>
      <c r="B239" s="133">
        <v>42920.536805555559</v>
      </c>
      <c r="C239" s="121">
        <v>30975278</v>
      </c>
      <c r="D239" s="121" t="s">
        <v>170</v>
      </c>
      <c r="E239" s="121" t="s">
        <v>171</v>
      </c>
      <c r="F239" s="121" t="s">
        <v>176</v>
      </c>
      <c r="G239" s="121" t="s">
        <v>420</v>
      </c>
      <c r="H239" s="121" t="s">
        <v>173</v>
      </c>
      <c r="I239" s="122"/>
      <c r="J239" s="122">
        <v>386</v>
      </c>
      <c r="K239" s="121">
        <v>551962</v>
      </c>
      <c r="L239" s="193">
        <v>253988</v>
      </c>
      <c r="M239" s="123">
        <v>386</v>
      </c>
      <c r="N239" s="123">
        <v>0</v>
      </c>
    </row>
    <row r="240" spans="1:16" x14ac:dyDescent="0.25">
      <c r="A240" s="138">
        <v>45598</v>
      </c>
      <c r="B240" s="133">
        <v>42920.538194444445</v>
      </c>
      <c r="C240" s="121">
        <v>30975278</v>
      </c>
      <c r="D240" s="121" t="s">
        <v>170</v>
      </c>
      <c r="E240" s="121" t="s">
        <v>171</v>
      </c>
      <c r="F240" s="121" t="s">
        <v>176</v>
      </c>
      <c r="G240" s="121" t="s">
        <v>390</v>
      </c>
      <c r="H240" s="121" t="s">
        <v>173</v>
      </c>
      <c r="I240" s="122"/>
      <c r="J240" s="122">
        <v>195</v>
      </c>
      <c r="K240" s="121">
        <v>572172</v>
      </c>
      <c r="L240" s="193">
        <v>128310</v>
      </c>
      <c r="M240" s="123">
        <v>195</v>
      </c>
      <c r="N240" s="123">
        <v>0</v>
      </c>
    </row>
    <row r="241" spans="1:17" x14ac:dyDescent="0.25">
      <c r="A241" s="138">
        <v>46395</v>
      </c>
      <c r="B241" s="133">
        <v>42920.538888888892</v>
      </c>
      <c r="C241" s="121">
        <v>30975278</v>
      </c>
      <c r="D241" s="121" t="s">
        <v>170</v>
      </c>
      <c r="E241" s="121" t="s">
        <v>171</v>
      </c>
      <c r="F241" s="121" t="s">
        <v>172</v>
      </c>
      <c r="G241" s="121" t="s">
        <v>421</v>
      </c>
      <c r="H241" s="121" t="s">
        <v>173</v>
      </c>
      <c r="I241" s="122"/>
      <c r="J241" s="122">
        <v>195</v>
      </c>
      <c r="K241" s="121">
        <v>16</v>
      </c>
      <c r="L241" s="193">
        <v>128310</v>
      </c>
      <c r="M241" s="123">
        <v>195</v>
      </c>
      <c r="N241" s="123">
        <v>0</v>
      </c>
    </row>
    <row r="242" spans="1:17" x14ac:dyDescent="0.25">
      <c r="A242" s="138">
        <v>29074</v>
      </c>
      <c r="B242" s="133">
        <v>42920.540277777778</v>
      </c>
      <c r="C242" s="121">
        <v>30975278</v>
      </c>
      <c r="D242" s="121" t="s">
        <v>170</v>
      </c>
      <c r="E242" s="121" t="s">
        <v>171</v>
      </c>
      <c r="F242" s="121" t="s">
        <v>175</v>
      </c>
      <c r="G242" s="121" t="s">
        <v>422</v>
      </c>
      <c r="H242" s="121" t="s">
        <v>173</v>
      </c>
      <c r="I242" s="122"/>
      <c r="J242" s="122">
        <v>195</v>
      </c>
      <c r="K242" s="121">
        <v>14671</v>
      </c>
      <c r="L242" s="193">
        <v>128310</v>
      </c>
      <c r="M242" s="123">
        <v>195</v>
      </c>
      <c r="N242" s="123">
        <v>0</v>
      </c>
    </row>
    <row r="243" spans="1:17" x14ac:dyDescent="0.25">
      <c r="A243" s="138">
        <v>7255</v>
      </c>
      <c r="B243" s="133">
        <v>42920.541666666664</v>
      </c>
      <c r="C243" s="121">
        <v>30975278</v>
      </c>
      <c r="D243" s="121" t="s">
        <v>170</v>
      </c>
      <c r="E243" s="121" t="s">
        <v>171</v>
      </c>
      <c r="F243" s="121" t="s">
        <v>175</v>
      </c>
      <c r="G243" s="121" t="s">
        <v>423</v>
      </c>
      <c r="H243" s="121" t="s">
        <v>173</v>
      </c>
      <c r="I243" s="122"/>
      <c r="J243" s="122">
        <v>195</v>
      </c>
      <c r="K243" s="121">
        <v>21665</v>
      </c>
      <c r="L243" s="193">
        <v>128310</v>
      </c>
      <c r="M243" s="123">
        <v>195</v>
      </c>
      <c r="N243" s="123">
        <v>0</v>
      </c>
    </row>
    <row r="244" spans="1:17" x14ac:dyDescent="0.25">
      <c r="A244" s="138">
        <v>87018</v>
      </c>
      <c r="B244" s="133">
        <v>42920.542361111111</v>
      </c>
      <c r="C244" s="121">
        <v>30975278</v>
      </c>
      <c r="D244" s="121" t="s">
        <v>170</v>
      </c>
      <c r="E244" s="121" t="s">
        <v>171</v>
      </c>
      <c r="F244" s="121" t="s">
        <v>176</v>
      </c>
      <c r="G244" s="121" t="s">
        <v>424</v>
      </c>
      <c r="H244" s="121" t="s">
        <v>173</v>
      </c>
      <c r="I244" s="122"/>
      <c r="J244" s="122">
        <v>195</v>
      </c>
      <c r="K244" s="121">
        <v>634455</v>
      </c>
      <c r="L244" s="193">
        <v>128310</v>
      </c>
      <c r="M244" s="123">
        <v>195</v>
      </c>
      <c r="N244" s="123">
        <v>0</v>
      </c>
      <c r="Q244" s="60" t="s">
        <v>250</v>
      </c>
    </row>
    <row r="245" spans="1:17" x14ac:dyDescent="0.25">
      <c r="A245" s="138">
        <v>40443</v>
      </c>
      <c r="B245" s="133">
        <v>42920.543055555558</v>
      </c>
      <c r="C245" s="121">
        <v>30975278</v>
      </c>
      <c r="D245" s="121" t="s">
        <v>170</v>
      </c>
      <c r="E245" s="121" t="s">
        <v>171</v>
      </c>
      <c r="F245" s="121" t="s">
        <v>175</v>
      </c>
      <c r="G245" s="121" t="s">
        <v>425</v>
      </c>
      <c r="H245" s="121" t="s">
        <v>173</v>
      </c>
      <c r="I245" s="122"/>
      <c r="J245" s="122">
        <v>195</v>
      </c>
      <c r="K245" s="121">
        <v>44076</v>
      </c>
      <c r="L245" s="193">
        <v>128310</v>
      </c>
      <c r="M245" s="123">
        <v>195</v>
      </c>
      <c r="N245" s="123">
        <v>0</v>
      </c>
    </row>
    <row r="246" spans="1:17" x14ac:dyDescent="0.25">
      <c r="A246" s="138">
        <v>11664</v>
      </c>
      <c r="B246" s="133">
        <v>42920.545138888891</v>
      </c>
      <c r="C246" s="121">
        <v>30975278</v>
      </c>
      <c r="D246" s="121" t="s">
        <v>170</v>
      </c>
      <c r="E246" s="121" t="s">
        <v>171</v>
      </c>
      <c r="F246" s="121" t="s">
        <v>175</v>
      </c>
      <c r="G246" s="121" t="s">
        <v>426</v>
      </c>
      <c r="H246" s="121" t="s">
        <v>173</v>
      </c>
      <c r="I246" s="122"/>
      <c r="J246" s="122">
        <v>195</v>
      </c>
      <c r="K246" s="121">
        <v>482096</v>
      </c>
      <c r="L246" s="193">
        <v>128310</v>
      </c>
      <c r="M246" s="123">
        <v>195</v>
      </c>
      <c r="N246" s="123">
        <v>0</v>
      </c>
    </row>
    <row r="247" spans="1:17" x14ac:dyDescent="0.25">
      <c r="A247" s="138">
        <v>14675</v>
      </c>
      <c r="B247" s="133">
        <v>42920.546527777777</v>
      </c>
      <c r="C247" s="121">
        <v>30975278</v>
      </c>
      <c r="D247" s="121" t="s">
        <v>170</v>
      </c>
      <c r="E247" s="121" t="s">
        <v>171</v>
      </c>
      <c r="F247" s="121" t="s">
        <v>172</v>
      </c>
      <c r="G247" s="121" t="s">
        <v>427</v>
      </c>
      <c r="H247" s="121" t="s">
        <v>173</v>
      </c>
      <c r="I247" s="122"/>
      <c r="J247" s="122">
        <v>195</v>
      </c>
      <c r="K247" s="121">
        <v>51</v>
      </c>
      <c r="L247" s="193">
        <v>128310</v>
      </c>
      <c r="M247" s="123">
        <v>195</v>
      </c>
      <c r="N247" s="123">
        <v>0</v>
      </c>
    </row>
    <row r="248" spans="1:17" x14ac:dyDescent="0.25">
      <c r="A248" s="138">
        <v>14918</v>
      </c>
      <c r="B248" s="133">
        <v>42920.547222222223</v>
      </c>
      <c r="C248" s="121">
        <v>30975278</v>
      </c>
      <c r="D248" s="121" t="s">
        <v>170</v>
      </c>
      <c r="E248" s="121" t="s">
        <v>171</v>
      </c>
      <c r="F248" s="121" t="s">
        <v>175</v>
      </c>
      <c r="G248" s="121" t="s">
        <v>428</v>
      </c>
      <c r="H248" s="121" t="s">
        <v>173</v>
      </c>
      <c r="I248" s="122"/>
      <c r="J248" s="122">
        <v>195</v>
      </c>
      <c r="K248" s="121" t="s">
        <v>429</v>
      </c>
      <c r="L248" s="193">
        <v>128310</v>
      </c>
      <c r="M248" s="123">
        <v>195</v>
      </c>
      <c r="N248" s="123">
        <v>0</v>
      </c>
    </row>
    <row r="249" spans="1:17" x14ac:dyDescent="0.25">
      <c r="A249" s="138">
        <v>30859</v>
      </c>
      <c r="B249" s="133">
        <v>42920.725694444445</v>
      </c>
      <c r="C249" s="121">
        <v>30975278</v>
      </c>
      <c r="D249" s="121" t="s">
        <v>170</v>
      </c>
      <c r="E249" s="121" t="s">
        <v>171</v>
      </c>
      <c r="F249" s="121" t="s">
        <v>175</v>
      </c>
      <c r="G249" s="121" t="s">
        <v>430</v>
      </c>
      <c r="H249" s="121" t="s">
        <v>173</v>
      </c>
      <c r="I249" s="122"/>
      <c r="J249" s="122">
        <v>1170</v>
      </c>
      <c r="K249" s="121">
        <v>87196</v>
      </c>
      <c r="L249" s="193">
        <v>769860</v>
      </c>
      <c r="M249" s="123">
        <v>1170</v>
      </c>
      <c r="N249" s="123">
        <v>0</v>
      </c>
    </row>
    <row r="250" spans="1:17" x14ac:dyDescent="0.25">
      <c r="A250" s="138">
        <v>9899</v>
      </c>
      <c r="B250" s="133">
        <v>42920.747916666667</v>
      </c>
      <c r="C250" s="121">
        <v>30975278</v>
      </c>
      <c r="D250" s="121" t="s">
        <v>170</v>
      </c>
      <c r="E250" s="121" t="s">
        <v>171</v>
      </c>
      <c r="F250" s="121" t="s">
        <v>172</v>
      </c>
      <c r="G250" s="121" t="s">
        <v>388</v>
      </c>
      <c r="H250" s="121" t="s">
        <v>173</v>
      </c>
      <c r="I250" s="122"/>
      <c r="J250" s="122">
        <v>175</v>
      </c>
      <c r="K250" s="121">
        <v>18</v>
      </c>
      <c r="L250" s="193">
        <v>115150</v>
      </c>
      <c r="M250" s="123">
        <v>175</v>
      </c>
      <c r="N250" s="123">
        <v>0</v>
      </c>
    </row>
    <row r="251" spans="1:17" x14ac:dyDescent="0.25">
      <c r="A251" s="138">
        <v>46664</v>
      </c>
      <c r="B251" s="133">
        <v>42920.84652777778</v>
      </c>
      <c r="C251" s="121">
        <v>30975278</v>
      </c>
      <c r="D251" s="121" t="s">
        <v>170</v>
      </c>
      <c r="E251" s="121" t="s">
        <v>171</v>
      </c>
      <c r="F251" s="121" t="s">
        <v>175</v>
      </c>
      <c r="G251" s="121" t="s">
        <v>396</v>
      </c>
      <c r="H251" s="121" t="s">
        <v>173</v>
      </c>
      <c r="I251" s="122"/>
      <c r="J251" s="122">
        <v>390</v>
      </c>
      <c r="K251" s="121">
        <v>91318</v>
      </c>
      <c r="L251" s="193">
        <v>256620</v>
      </c>
      <c r="M251" s="123">
        <v>390</v>
      </c>
      <c r="N251" s="123">
        <v>0</v>
      </c>
    </row>
    <row r="252" spans="1:17" x14ac:dyDescent="0.25">
      <c r="A252" s="138">
        <v>62923</v>
      </c>
      <c r="B252" s="133">
        <v>42920.890277777777</v>
      </c>
      <c r="C252" s="121">
        <v>30905830</v>
      </c>
      <c r="D252" s="121" t="s">
        <v>170</v>
      </c>
      <c r="E252" s="121" t="s">
        <v>174</v>
      </c>
      <c r="F252" s="121" t="s">
        <v>175</v>
      </c>
      <c r="G252" s="121" t="s">
        <v>431</v>
      </c>
      <c r="H252" s="121" t="s">
        <v>174</v>
      </c>
      <c r="I252" s="122">
        <v>145739</v>
      </c>
      <c r="J252" s="122"/>
      <c r="K252" s="121">
        <v>756837</v>
      </c>
      <c r="L252" s="193">
        <v>145739</v>
      </c>
      <c r="M252" s="123">
        <v>221.48784194528875</v>
      </c>
      <c r="N252" s="123">
        <v>0</v>
      </c>
    </row>
    <row r="253" spans="1:17" x14ac:dyDescent="0.25">
      <c r="A253" s="138">
        <v>87676</v>
      </c>
      <c r="B253" s="133">
        <v>42920.894444444442</v>
      </c>
      <c r="C253" s="121">
        <v>30905830</v>
      </c>
      <c r="D253" s="121" t="s">
        <v>170</v>
      </c>
      <c r="E253" s="121" t="s">
        <v>174</v>
      </c>
      <c r="F253" s="121" t="s">
        <v>176</v>
      </c>
      <c r="G253" s="121" t="s">
        <v>432</v>
      </c>
      <c r="H253" s="121" t="s">
        <v>174</v>
      </c>
      <c r="I253" s="122">
        <v>145739</v>
      </c>
      <c r="J253" s="122"/>
      <c r="K253" s="121">
        <v>655115</v>
      </c>
      <c r="L253" s="193">
        <v>145739</v>
      </c>
      <c r="M253" s="123">
        <v>221.48784194528875</v>
      </c>
      <c r="N253" s="123">
        <v>0</v>
      </c>
      <c r="Q253" s="60" t="s">
        <v>251</v>
      </c>
    </row>
    <row r="254" spans="1:17" x14ac:dyDescent="0.25">
      <c r="A254" s="138">
        <v>83976</v>
      </c>
      <c r="B254" s="133">
        <v>42920.896527777775</v>
      </c>
      <c r="C254" s="121">
        <v>30905830</v>
      </c>
      <c r="D254" s="121" t="s">
        <v>170</v>
      </c>
      <c r="E254" s="121" t="s">
        <v>174</v>
      </c>
      <c r="F254" s="121" t="s">
        <v>176</v>
      </c>
      <c r="G254" s="121" t="s">
        <v>433</v>
      </c>
      <c r="H254" s="121" t="s">
        <v>174</v>
      </c>
      <c r="I254" s="122">
        <v>153617</v>
      </c>
      <c r="J254" s="122"/>
      <c r="K254" s="121">
        <v>338168</v>
      </c>
      <c r="L254" s="193">
        <v>153617</v>
      </c>
      <c r="M254" s="123">
        <v>233.46048632218844</v>
      </c>
      <c r="N254" s="123">
        <v>0</v>
      </c>
    </row>
    <row r="255" spans="1:17" x14ac:dyDescent="0.25">
      <c r="A255" s="138">
        <v>65514</v>
      </c>
      <c r="B255" s="133">
        <v>42920.94027777778</v>
      </c>
      <c r="C255" s="121">
        <v>30975278</v>
      </c>
      <c r="D255" s="121" t="s">
        <v>170</v>
      </c>
      <c r="E255" s="121" t="s">
        <v>171</v>
      </c>
      <c r="F255" s="121" t="s">
        <v>175</v>
      </c>
      <c r="G255" s="121" t="s">
        <v>434</v>
      </c>
      <c r="H255" s="121" t="s">
        <v>173</v>
      </c>
      <c r="I255" s="122"/>
      <c r="J255" s="122">
        <v>176</v>
      </c>
      <c r="K255" s="121">
        <v>13603</v>
      </c>
      <c r="L255" s="193">
        <v>115808</v>
      </c>
      <c r="M255" s="123">
        <v>176</v>
      </c>
      <c r="N255" s="123">
        <v>0</v>
      </c>
    </row>
    <row r="256" spans="1:17" x14ac:dyDescent="0.25">
      <c r="A256" s="138">
        <v>16681</v>
      </c>
      <c r="B256" s="133">
        <v>42921.34652777778</v>
      </c>
      <c r="C256" s="121">
        <v>30975278</v>
      </c>
      <c r="D256" s="121" t="s">
        <v>170</v>
      </c>
      <c r="E256" s="121" t="s">
        <v>171</v>
      </c>
      <c r="F256" s="121" t="s">
        <v>175</v>
      </c>
      <c r="G256" s="121" t="s">
        <v>435</v>
      </c>
      <c r="H256" s="121" t="s">
        <v>173</v>
      </c>
      <c r="I256" s="122"/>
      <c r="J256" s="122">
        <v>195</v>
      </c>
      <c r="K256" s="121">
        <v>81233</v>
      </c>
      <c r="L256" s="193">
        <v>128310</v>
      </c>
      <c r="M256" s="123">
        <v>195</v>
      </c>
      <c r="N256" s="123">
        <v>0</v>
      </c>
    </row>
    <row r="257" spans="1:14" x14ac:dyDescent="0.25">
      <c r="A257" s="138">
        <v>12015</v>
      </c>
      <c r="B257" s="133">
        <v>42921.4</v>
      </c>
      <c r="C257" s="121">
        <v>30905830</v>
      </c>
      <c r="D257" s="121" t="s">
        <v>170</v>
      </c>
      <c r="E257" s="121" t="s">
        <v>174</v>
      </c>
      <c r="F257" s="121" t="s">
        <v>176</v>
      </c>
      <c r="G257" s="121" t="s">
        <v>436</v>
      </c>
      <c r="H257" s="121" t="s">
        <v>174</v>
      </c>
      <c r="I257" s="122">
        <v>6000</v>
      </c>
      <c r="J257" s="122"/>
      <c r="K257" s="121">
        <v>682269</v>
      </c>
      <c r="L257" s="193">
        <v>6000</v>
      </c>
      <c r="M257" s="123">
        <v>9.1185410334346511</v>
      </c>
      <c r="N257" s="123">
        <v>0</v>
      </c>
    </row>
    <row r="258" spans="1:14" x14ac:dyDescent="0.25">
      <c r="A258" s="138">
        <v>67869</v>
      </c>
      <c r="B258" s="133">
        <v>42921.560416666667</v>
      </c>
      <c r="C258" s="121">
        <v>30975278</v>
      </c>
      <c r="D258" s="121" t="s">
        <v>170</v>
      </c>
      <c r="E258" s="121" t="s">
        <v>171</v>
      </c>
      <c r="F258" s="121" t="s">
        <v>172</v>
      </c>
      <c r="G258" s="121" t="s">
        <v>388</v>
      </c>
      <c r="H258" s="121" t="s">
        <v>173</v>
      </c>
      <c r="I258" s="122"/>
      <c r="J258" s="122">
        <v>351</v>
      </c>
      <c r="K258" s="121">
        <v>89</v>
      </c>
      <c r="L258" s="193">
        <v>230958</v>
      </c>
      <c r="M258" s="123">
        <v>351</v>
      </c>
      <c r="N258" s="123">
        <v>0</v>
      </c>
    </row>
    <row r="259" spans="1:14" x14ac:dyDescent="0.25">
      <c r="A259" s="138">
        <v>92260</v>
      </c>
      <c r="B259" s="133">
        <v>42921.601388888892</v>
      </c>
      <c r="C259" s="121">
        <v>30975278</v>
      </c>
      <c r="D259" s="121" t="s">
        <v>170</v>
      </c>
      <c r="E259" s="121" t="s">
        <v>171</v>
      </c>
      <c r="F259" s="121" t="s">
        <v>176</v>
      </c>
      <c r="G259" s="121" t="s">
        <v>437</v>
      </c>
      <c r="H259" s="121" t="s">
        <v>173</v>
      </c>
      <c r="I259" s="122"/>
      <c r="J259" s="122">
        <v>702</v>
      </c>
      <c r="K259" s="121">
        <v>290188</v>
      </c>
      <c r="L259" s="193">
        <v>461916</v>
      </c>
      <c r="M259" s="123">
        <v>702</v>
      </c>
      <c r="N259" s="123">
        <v>0</v>
      </c>
    </row>
    <row r="260" spans="1:14" x14ac:dyDescent="0.25">
      <c r="A260" s="138">
        <v>18607</v>
      </c>
      <c r="B260" s="133">
        <v>42921.692361111112</v>
      </c>
      <c r="C260" s="121">
        <v>30905830</v>
      </c>
      <c r="D260" s="121" t="s">
        <v>170</v>
      </c>
      <c r="E260" s="121" t="s">
        <v>174</v>
      </c>
      <c r="F260" s="121" t="s">
        <v>175</v>
      </c>
      <c r="G260" s="121" t="s">
        <v>438</v>
      </c>
      <c r="H260" s="121" t="s">
        <v>174</v>
      </c>
      <c r="I260" s="122">
        <v>154313</v>
      </c>
      <c r="J260" s="122"/>
      <c r="K260" s="121">
        <v>530948</v>
      </c>
      <c r="L260" s="193">
        <v>154313</v>
      </c>
      <c r="M260" s="123">
        <v>234.51823708206686</v>
      </c>
      <c r="N260" s="123">
        <v>0</v>
      </c>
    </row>
    <row r="261" spans="1:14" x14ac:dyDescent="0.25">
      <c r="A261" s="138">
        <v>18607</v>
      </c>
      <c r="B261" s="133" t="s">
        <v>568</v>
      </c>
      <c r="C261" s="121" t="s">
        <v>242</v>
      </c>
      <c r="D261" s="121" t="s">
        <v>170</v>
      </c>
      <c r="E261" s="121" t="s">
        <v>413</v>
      </c>
      <c r="F261" s="121" t="s">
        <v>175</v>
      </c>
      <c r="G261" s="121" t="s">
        <v>438</v>
      </c>
      <c r="H261" s="121" t="s">
        <v>174</v>
      </c>
      <c r="I261" s="122">
        <v>-154313</v>
      </c>
      <c r="J261" s="122">
        <v>0</v>
      </c>
      <c r="K261" s="121" t="s">
        <v>569</v>
      </c>
      <c r="L261" s="193">
        <v>-154313</v>
      </c>
      <c r="M261" s="123">
        <v>-234.51823708206686</v>
      </c>
      <c r="N261" s="123">
        <v>0</v>
      </c>
    </row>
    <row r="262" spans="1:14" x14ac:dyDescent="0.25">
      <c r="A262" s="138">
        <v>18607</v>
      </c>
      <c r="B262" s="133" t="s">
        <v>568</v>
      </c>
      <c r="C262" s="121" t="s">
        <v>242</v>
      </c>
      <c r="D262" s="121" t="s">
        <v>170</v>
      </c>
      <c r="E262" s="121" t="s">
        <v>413</v>
      </c>
      <c r="F262" s="121" t="s">
        <v>175</v>
      </c>
      <c r="G262" s="121"/>
      <c r="H262" s="121" t="s">
        <v>174</v>
      </c>
      <c r="I262" s="122">
        <v>0</v>
      </c>
      <c r="J262" s="122">
        <v>0</v>
      </c>
      <c r="K262" s="121" t="s">
        <v>569</v>
      </c>
      <c r="L262" s="193">
        <v>0</v>
      </c>
      <c r="M262" s="123">
        <v>0</v>
      </c>
      <c r="N262" s="123">
        <v>0</v>
      </c>
    </row>
    <row r="263" spans="1:14" x14ac:dyDescent="0.25">
      <c r="A263" s="138">
        <v>3828</v>
      </c>
      <c r="B263" s="133">
        <v>42921.72152777778</v>
      </c>
      <c r="C263" s="121">
        <v>30975278</v>
      </c>
      <c r="D263" s="121" t="s">
        <v>170</v>
      </c>
      <c r="E263" s="121" t="s">
        <v>171</v>
      </c>
      <c r="F263" s="121" t="s">
        <v>176</v>
      </c>
      <c r="G263" s="121" t="s">
        <v>439</v>
      </c>
      <c r="H263" s="121" t="s">
        <v>173</v>
      </c>
      <c r="I263" s="122"/>
      <c r="J263" s="122">
        <v>176</v>
      </c>
      <c r="K263" s="121">
        <v>84926</v>
      </c>
      <c r="L263" s="193">
        <v>115808</v>
      </c>
      <c r="M263" s="123">
        <v>176</v>
      </c>
      <c r="N263" s="123">
        <v>0</v>
      </c>
    </row>
    <row r="264" spans="1:14" x14ac:dyDescent="0.25">
      <c r="A264" s="138">
        <v>30258</v>
      </c>
      <c r="B264" s="133">
        <v>42921.725694444445</v>
      </c>
      <c r="C264" s="121">
        <v>30905830</v>
      </c>
      <c r="D264" s="121" t="s">
        <v>170</v>
      </c>
      <c r="E264" s="121" t="s">
        <v>174</v>
      </c>
      <c r="F264" s="121" t="s">
        <v>176</v>
      </c>
      <c r="G264" s="121" t="s">
        <v>440</v>
      </c>
      <c r="H264" s="121" t="s">
        <v>174</v>
      </c>
      <c r="I264" s="122">
        <v>146157</v>
      </c>
      <c r="J264" s="122"/>
      <c r="K264" s="121">
        <v>718957</v>
      </c>
      <c r="L264" s="193">
        <v>146157</v>
      </c>
      <c r="M264" s="123">
        <v>222.12310030395136</v>
      </c>
      <c r="N264" s="123">
        <v>0</v>
      </c>
    </row>
    <row r="265" spans="1:14" x14ac:dyDescent="0.25">
      <c r="A265" s="138">
        <v>16384</v>
      </c>
      <c r="B265" s="133">
        <v>42921.726388888892</v>
      </c>
      <c r="C265" s="121">
        <v>30975278</v>
      </c>
      <c r="D265" s="121" t="s">
        <v>170</v>
      </c>
      <c r="E265" s="121" t="s">
        <v>171</v>
      </c>
      <c r="F265" s="121" t="s">
        <v>176</v>
      </c>
      <c r="G265" s="121" t="s">
        <v>441</v>
      </c>
      <c r="H265" s="121" t="s">
        <v>173</v>
      </c>
      <c r="I265" s="122"/>
      <c r="J265" s="122">
        <v>176</v>
      </c>
      <c r="K265" s="121">
        <v>14252</v>
      </c>
      <c r="L265" s="193">
        <v>115808</v>
      </c>
      <c r="M265" s="123">
        <v>176</v>
      </c>
      <c r="N265" s="123">
        <v>115479</v>
      </c>
    </row>
    <row r="266" spans="1:14" x14ac:dyDescent="0.25">
      <c r="A266" s="138">
        <v>96407</v>
      </c>
      <c r="B266" s="133">
        <v>42921.727083333331</v>
      </c>
      <c r="C266" s="121">
        <v>30975278</v>
      </c>
      <c r="D266" s="121" t="s">
        <v>170</v>
      </c>
      <c r="E266" s="121" t="s">
        <v>171</v>
      </c>
      <c r="F266" s="121" t="s">
        <v>176</v>
      </c>
      <c r="G266" s="121" t="s">
        <v>442</v>
      </c>
      <c r="H266" s="121" t="s">
        <v>173</v>
      </c>
      <c r="I266" s="122"/>
      <c r="J266" s="122">
        <v>390</v>
      </c>
      <c r="K266" s="121">
        <v>759236</v>
      </c>
      <c r="L266" s="193">
        <v>256620</v>
      </c>
      <c r="M266" s="123">
        <v>390</v>
      </c>
      <c r="N266" s="123">
        <v>256620</v>
      </c>
    </row>
    <row r="267" spans="1:14" x14ac:dyDescent="0.25">
      <c r="A267" s="138">
        <v>87377</v>
      </c>
      <c r="B267" s="133">
        <v>42921.729166666664</v>
      </c>
      <c r="C267" s="121">
        <v>30975278</v>
      </c>
      <c r="D267" s="121" t="s">
        <v>170</v>
      </c>
      <c r="E267" s="121" t="s">
        <v>171</v>
      </c>
      <c r="F267" s="121" t="s">
        <v>176</v>
      </c>
      <c r="G267" s="121" t="s">
        <v>443</v>
      </c>
      <c r="H267" s="121" t="s">
        <v>173</v>
      </c>
      <c r="I267" s="122"/>
      <c r="J267" s="122">
        <v>195</v>
      </c>
      <c r="K267" s="121">
        <v>623363</v>
      </c>
      <c r="L267" s="193">
        <v>128310</v>
      </c>
      <c r="M267" s="123">
        <v>195</v>
      </c>
      <c r="N267" s="123">
        <v>641550</v>
      </c>
    </row>
    <row r="268" spans="1:14" x14ac:dyDescent="0.25">
      <c r="A268" s="138">
        <v>52897</v>
      </c>
      <c r="B268" s="133">
        <v>42921.730555555558</v>
      </c>
      <c r="C268" s="121">
        <v>30905830</v>
      </c>
      <c r="D268" s="121" t="s">
        <v>170</v>
      </c>
      <c r="E268" s="121" t="s">
        <v>174</v>
      </c>
      <c r="F268" s="121" t="s">
        <v>176</v>
      </c>
      <c r="G268" s="121" t="s">
        <v>444</v>
      </c>
      <c r="H268" s="121" t="s">
        <v>174</v>
      </c>
      <c r="I268" s="122">
        <v>461547</v>
      </c>
      <c r="J268" s="122"/>
      <c r="K268" s="121">
        <v>802932</v>
      </c>
      <c r="L268" s="193">
        <v>461547</v>
      </c>
      <c r="M268" s="123">
        <v>701.43920972644378</v>
      </c>
      <c r="N268" s="123">
        <v>914044</v>
      </c>
    </row>
    <row r="269" spans="1:14" x14ac:dyDescent="0.25">
      <c r="A269" s="138">
        <v>27848</v>
      </c>
      <c r="B269" s="133">
        <v>42921.816666666666</v>
      </c>
      <c r="C269" s="121">
        <v>30975278</v>
      </c>
      <c r="D269" s="121" t="s">
        <v>170</v>
      </c>
      <c r="E269" s="121" t="s">
        <v>171</v>
      </c>
      <c r="F269" s="121" t="s">
        <v>176</v>
      </c>
      <c r="G269" s="121" t="s">
        <v>445</v>
      </c>
      <c r="H269" s="121" t="s">
        <v>173</v>
      </c>
      <c r="I269" s="122"/>
      <c r="J269" s="122">
        <v>195</v>
      </c>
      <c r="K269" s="121">
        <v>605943</v>
      </c>
      <c r="L269" s="193">
        <v>128310</v>
      </c>
      <c r="M269" s="123">
        <v>195</v>
      </c>
      <c r="N269" s="123">
        <v>0</v>
      </c>
    </row>
    <row r="270" spans="1:14" x14ac:dyDescent="0.25">
      <c r="A270" s="138">
        <v>35375</v>
      </c>
      <c r="B270" s="133">
        <v>42921.820833333331</v>
      </c>
      <c r="C270" s="121">
        <v>30975278</v>
      </c>
      <c r="D270" s="121" t="s">
        <v>170</v>
      </c>
      <c r="E270" s="121" t="s">
        <v>171</v>
      </c>
      <c r="F270" s="121" t="s">
        <v>175</v>
      </c>
      <c r="G270" s="121" t="s">
        <v>446</v>
      </c>
      <c r="H270" s="121" t="s">
        <v>173</v>
      </c>
      <c r="I270" s="122"/>
      <c r="J270" s="122">
        <v>175</v>
      </c>
      <c r="K270" s="121">
        <v>6757</v>
      </c>
      <c r="L270" s="193">
        <v>115150</v>
      </c>
      <c r="M270" s="123">
        <v>175</v>
      </c>
      <c r="N270" s="123">
        <v>0</v>
      </c>
    </row>
    <row r="271" spans="1:14" x14ac:dyDescent="0.25">
      <c r="A271" s="138">
        <v>39548</v>
      </c>
      <c r="B271" s="133">
        <v>42922.387499999997</v>
      </c>
      <c r="C271" s="121">
        <v>30975278</v>
      </c>
      <c r="D271" s="121" t="s">
        <v>170</v>
      </c>
      <c r="E271" s="121" t="s">
        <v>171</v>
      </c>
      <c r="F271" s="121" t="s">
        <v>175</v>
      </c>
      <c r="G271" s="121" t="s">
        <v>447</v>
      </c>
      <c r="H271" s="121" t="s">
        <v>173</v>
      </c>
      <c r="I271" s="122"/>
      <c r="J271" s="122">
        <v>390</v>
      </c>
      <c r="K271" s="121">
        <v>88090</v>
      </c>
      <c r="L271" s="193">
        <v>256620</v>
      </c>
      <c r="M271" s="123">
        <v>390</v>
      </c>
      <c r="N271" s="123">
        <v>0</v>
      </c>
    </row>
    <row r="272" spans="1:14" x14ac:dyDescent="0.25">
      <c r="A272" s="138">
        <v>62900</v>
      </c>
      <c r="B272" s="133">
        <v>42922.388194444444</v>
      </c>
      <c r="C272" s="121">
        <v>30975278</v>
      </c>
      <c r="D272" s="121" t="s">
        <v>170</v>
      </c>
      <c r="E272" s="121" t="s">
        <v>171</v>
      </c>
      <c r="F272" s="121" t="s">
        <v>175</v>
      </c>
      <c r="G272" s="121" t="s">
        <v>447</v>
      </c>
      <c r="H272" s="121" t="s">
        <v>173</v>
      </c>
      <c r="I272" s="122"/>
      <c r="J272" s="122">
        <v>390</v>
      </c>
      <c r="K272" s="121">
        <v>90276</v>
      </c>
      <c r="L272" s="193">
        <v>256620</v>
      </c>
      <c r="M272" s="123">
        <v>390</v>
      </c>
      <c r="N272" s="123">
        <v>0</v>
      </c>
    </row>
    <row r="273" spans="1:17" x14ac:dyDescent="0.25">
      <c r="A273" s="138">
        <v>14380</v>
      </c>
      <c r="B273" s="133">
        <v>42922.45416666667</v>
      </c>
      <c r="C273" s="121">
        <v>30975278</v>
      </c>
      <c r="D273" s="121" t="s">
        <v>170</v>
      </c>
      <c r="E273" s="121" t="s">
        <v>171</v>
      </c>
      <c r="F273" s="121" t="s">
        <v>175</v>
      </c>
      <c r="G273" s="121" t="s">
        <v>448</v>
      </c>
      <c r="H273" s="121" t="s">
        <v>173</v>
      </c>
      <c r="I273" s="122"/>
      <c r="J273" s="122">
        <v>390</v>
      </c>
      <c r="K273" s="121">
        <v>918186</v>
      </c>
      <c r="L273" s="193">
        <v>256620</v>
      </c>
      <c r="M273" s="123">
        <v>390</v>
      </c>
      <c r="N273" s="123">
        <v>0</v>
      </c>
    </row>
    <row r="274" spans="1:17" x14ac:dyDescent="0.25">
      <c r="A274" s="138">
        <v>41547</v>
      </c>
      <c r="B274" s="133">
        <v>42922.469444444447</v>
      </c>
      <c r="C274" s="121">
        <v>30975278</v>
      </c>
      <c r="D274" s="121" t="s">
        <v>170</v>
      </c>
      <c r="E274" s="121" t="s">
        <v>171</v>
      </c>
      <c r="F274" s="121" t="s">
        <v>175</v>
      </c>
      <c r="G274" s="121" t="s">
        <v>380</v>
      </c>
      <c r="H274" s="121" t="s">
        <v>173</v>
      </c>
      <c r="I274" s="122"/>
      <c r="J274" s="122">
        <v>585</v>
      </c>
      <c r="K274" s="121">
        <v>13155</v>
      </c>
      <c r="L274" s="193">
        <v>384930</v>
      </c>
      <c r="M274" s="123">
        <v>585</v>
      </c>
      <c r="N274" s="123">
        <v>0</v>
      </c>
    </row>
    <row r="275" spans="1:17" x14ac:dyDescent="0.25">
      <c r="A275" s="138">
        <v>65137</v>
      </c>
      <c r="B275" s="133">
        <v>42922.477083333331</v>
      </c>
      <c r="C275" s="121">
        <v>30975278</v>
      </c>
      <c r="D275" s="121" t="s">
        <v>170</v>
      </c>
      <c r="E275" s="121" t="s">
        <v>171</v>
      </c>
      <c r="F275" s="121" t="s">
        <v>176</v>
      </c>
      <c r="G275" s="121" t="s">
        <v>376</v>
      </c>
      <c r="H275" s="121" t="s">
        <v>173</v>
      </c>
      <c r="I275" s="122"/>
      <c r="J275" s="122">
        <v>780</v>
      </c>
      <c r="K275" s="121">
        <v>293454</v>
      </c>
      <c r="L275" s="193">
        <v>513240</v>
      </c>
      <c r="M275" s="123">
        <v>780</v>
      </c>
      <c r="N275" s="123">
        <v>0</v>
      </c>
      <c r="Q275" s="257">
        <v>1</v>
      </c>
    </row>
    <row r="276" spans="1:17" x14ac:dyDescent="0.25">
      <c r="A276" s="138">
        <v>65133</v>
      </c>
      <c r="B276" s="133">
        <v>42922.477777777778</v>
      </c>
      <c r="C276" s="121">
        <v>30975278</v>
      </c>
      <c r="D276" s="121" t="s">
        <v>170</v>
      </c>
      <c r="E276" s="121" t="s">
        <v>171</v>
      </c>
      <c r="F276" s="121" t="s">
        <v>176</v>
      </c>
      <c r="G276" s="121" t="s">
        <v>376</v>
      </c>
      <c r="H276" s="121" t="s">
        <v>173</v>
      </c>
      <c r="I276" s="122"/>
      <c r="J276" s="122">
        <v>780</v>
      </c>
      <c r="K276" s="121">
        <v>302054</v>
      </c>
      <c r="L276" s="193">
        <v>513240</v>
      </c>
      <c r="M276" s="123">
        <v>780</v>
      </c>
      <c r="N276" s="123">
        <v>0</v>
      </c>
    </row>
    <row r="277" spans="1:17" x14ac:dyDescent="0.25">
      <c r="A277" s="138">
        <v>82717</v>
      </c>
      <c r="B277" s="133">
        <v>42922.561111111114</v>
      </c>
      <c r="C277" s="121">
        <v>30975278</v>
      </c>
      <c r="D277" s="121" t="s">
        <v>170</v>
      </c>
      <c r="E277" s="121" t="s">
        <v>171</v>
      </c>
      <c r="F277" s="121" t="s">
        <v>175</v>
      </c>
      <c r="G277" s="121" t="s">
        <v>449</v>
      </c>
      <c r="H277" s="121" t="s">
        <v>173</v>
      </c>
      <c r="I277" s="122"/>
      <c r="J277" s="122">
        <v>176</v>
      </c>
      <c r="K277" s="121">
        <v>37043</v>
      </c>
      <c r="L277" s="193">
        <v>115808</v>
      </c>
      <c r="M277" s="123">
        <v>176</v>
      </c>
      <c r="N277" s="123">
        <v>692874</v>
      </c>
    </row>
    <row r="278" spans="1:17" x14ac:dyDescent="0.25">
      <c r="A278" s="138">
        <v>97298</v>
      </c>
      <c r="B278" s="133">
        <v>42922.796527777777</v>
      </c>
      <c r="C278" s="121">
        <v>30905830</v>
      </c>
      <c r="D278" s="121" t="s">
        <v>170</v>
      </c>
      <c r="E278" s="121" t="s">
        <v>174</v>
      </c>
      <c r="F278" s="121" t="s">
        <v>175</v>
      </c>
      <c r="G278" s="121" t="s">
        <v>381</v>
      </c>
      <c r="H278" s="121" t="s">
        <v>174</v>
      </c>
      <c r="I278" s="122">
        <v>309090</v>
      </c>
      <c r="J278" s="122"/>
      <c r="K278" s="121">
        <v>188968</v>
      </c>
      <c r="L278" s="193">
        <v>309090</v>
      </c>
      <c r="M278" s="123">
        <v>469.741641337386</v>
      </c>
      <c r="N278" s="123">
        <v>0</v>
      </c>
    </row>
    <row r="279" spans="1:17" x14ac:dyDescent="0.25">
      <c r="A279" s="138">
        <v>57984</v>
      </c>
      <c r="B279" s="133">
        <v>42923.493055555555</v>
      </c>
      <c r="C279" s="121">
        <v>30975278</v>
      </c>
      <c r="D279" s="121" t="s">
        <v>170</v>
      </c>
      <c r="E279" s="121" t="s">
        <v>171</v>
      </c>
      <c r="F279" s="121" t="s">
        <v>175</v>
      </c>
      <c r="G279" s="121" t="s">
        <v>450</v>
      </c>
      <c r="H279" s="121" t="s">
        <v>173</v>
      </c>
      <c r="I279" s="122"/>
      <c r="J279" s="122">
        <v>195</v>
      </c>
      <c r="K279" s="121">
        <v>52489</v>
      </c>
      <c r="L279" s="193">
        <v>128310</v>
      </c>
      <c r="M279" s="123">
        <v>195</v>
      </c>
      <c r="N279" s="123">
        <v>0</v>
      </c>
    </row>
    <row r="280" spans="1:17" x14ac:dyDescent="0.25">
      <c r="A280" s="138">
        <v>60890</v>
      </c>
      <c r="B280" s="133">
        <v>42923.595833333333</v>
      </c>
      <c r="C280" s="121">
        <v>30905830</v>
      </c>
      <c r="D280" s="121" t="s">
        <v>170</v>
      </c>
      <c r="E280" s="121" t="s">
        <v>174</v>
      </c>
      <c r="F280" s="121" t="s">
        <v>175</v>
      </c>
      <c r="G280" s="121" t="s">
        <v>451</v>
      </c>
      <c r="H280" s="121" t="s">
        <v>174</v>
      </c>
      <c r="I280" s="122">
        <v>695454</v>
      </c>
      <c r="J280" s="122"/>
      <c r="K280" s="121">
        <v>230420</v>
      </c>
      <c r="L280" s="193">
        <v>695454</v>
      </c>
      <c r="M280" s="123">
        <v>1056.9209726443769</v>
      </c>
      <c r="N280" s="123">
        <v>0</v>
      </c>
    </row>
    <row r="281" spans="1:17" x14ac:dyDescent="0.25">
      <c r="A281" s="138">
        <v>83976</v>
      </c>
      <c r="B281" s="133">
        <v>42923.659722222219</v>
      </c>
      <c r="C281" s="121">
        <v>30905830</v>
      </c>
      <c r="D281" s="121" t="s">
        <v>170</v>
      </c>
      <c r="E281" s="121" t="s">
        <v>174</v>
      </c>
      <c r="F281" s="121" t="s">
        <v>176</v>
      </c>
      <c r="G281" s="121" t="s">
        <v>433</v>
      </c>
      <c r="H281" s="121" t="s">
        <v>174</v>
      </c>
      <c r="I281" s="122">
        <v>153617</v>
      </c>
      <c r="J281" s="122"/>
      <c r="K281" s="121">
        <v>752717</v>
      </c>
      <c r="L281" s="193">
        <v>153617</v>
      </c>
      <c r="M281" s="123">
        <v>233.46048632218844</v>
      </c>
      <c r="N281" s="123">
        <v>0</v>
      </c>
    </row>
    <row r="282" spans="1:17" x14ac:dyDescent="0.25">
      <c r="A282" s="138">
        <v>77253</v>
      </c>
      <c r="B282" s="133">
        <v>42924.421527777777</v>
      </c>
      <c r="C282" s="121">
        <v>30905830</v>
      </c>
      <c r="D282" s="121" t="s">
        <v>170</v>
      </c>
      <c r="E282" s="121" t="s">
        <v>174</v>
      </c>
      <c r="F282" s="121" t="s">
        <v>176</v>
      </c>
      <c r="G282" s="121" t="s">
        <v>452</v>
      </c>
      <c r="H282" s="121" t="s">
        <v>174</v>
      </c>
      <c r="I282" s="122">
        <v>154545</v>
      </c>
      <c r="J282" s="122"/>
      <c r="K282" s="121">
        <v>935576</v>
      </c>
      <c r="L282" s="193">
        <v>154545</v>
      </c>
      <c r="M282" s="123">
        <v>234.870820668693</v>
      </c>
      <c r="N282" s="123">
        <v>0</v>
      </c>
    </row>
    <row r="283" spans="1:17" x14ac:dyDescent="0.25">
      <c r="A283" s="138">
        <v>3828</v>
      </c>
      <c r="B283" s="133">
        <v>42924.681250000001</v>
      </c>
      <c r="C283" s="121">
        <v>30975278</v>
      </c>
      <c r="D283" s="121" t="s">
        <v>170</v>
      </c>
      <c r="E283" s="121" t="s">
        <v>171</v>
      </c>
      <c r="F283" s="121" t="s">
        <v>176</v>
      </c>
      <c r="G283" s="121" t="s">
        <v>439</v>
      </c>
      <c r="H283" s="121" t="s">
        <v>173</v>
      </c>
      <c r="I283" s="122"/>
      <c r="J283" s="122">
        <v>351</v>
      </c>
      <c r="K283" s="121">
        <v>54263</v>
      </c>
      <c r="L283" s="193">
        <v>230958</v>
      </c>
      <c r="M283" s="123">
        <v>351</v>
      </c>
      <c r="N283" s="123">
        <v>0</v>
      </c>
    </row>
    <row r="284" spans="1:17" x14ac:dyDescent="0.25">
      <c r="A284" s="138">
        <v>37603</v>
      </c>
      <c r="B284" s="133">
        <v>42925.612500000003</v>
      </c>
      <c r="C284" s="121">
        <v>30975278</v>
      </c>
      <c r="D284" s="121" t="s">
        <v>170</v>
      </c>
      <c r="E284" s="121" t="s">
        <v>171</v>
      </c>
      <c r="F284" s="121" t="s">
        <v>175</v>
      </c>
      <c r="G284" s="121" t="s">
        <v>379</v>
      </c>
      <c r="H284" s="121" t="s">
        <v>173</v>
      </c>
      <c r="I284" s="122"/>
      <c r="J284" s="122">
        <v>780</v>
      </c>
      <c r="K284" s="121">
        <v>73855</v>
      </c>
      <c r="L284" s="193">
        <v>513240</v>
      </c>
      <c r="M284" s="123">
        <v>780</v>
      </c>
      <c r="N284" s="123">
        <v>0</v>
      </c>
    </row>
    <row r="285" spans="1:17" x14ac:dyDescent="0.25">
      <c r="A285" s="138">
        <v>50824</v>
      </c>
      <c r="B285" s="133">
        <v>42925.697916666664</v>
      </c>
      <c r="C285" s="121">
        <v>30975278</v>
      </c>
      <c r="D285" s="121" t="s">
        <v>170</v>
      </c>
      <c r="E285" s="121" t="s">
        <v>171</v>
      </c>
      <c r="F285" s="121" t="s">
        <v>175</v>
      </c>
      <c r="G285" s="121" t="s">
        <v>378</v>
      </c>
      <c r="H285" s="121" t="s">
        <v>173</v>
      </c>
      <c r="I285" s="122"/>
      <c r="J285" s="122">
        <v>2145</v>
      </c>
      <c r="K285" s="121">
        <v>20462</v>
      </c>
      <c r="L285" s="193">
        <v>1411410</v>
      </c>
      <c r="M285" s="123">
        <v>2145</v>
      </c>
      <c r="N285" s="123">
        <v>0</v>
      </c>
    </row>
    <row r="286" spans="1:17" x14ac:dyDescent="0.25">
      <c r="A286" s="138">
        <v>65133</v>
      </c>
      <c r="B286" s="133">
        <v>42926.727777777778</v>
      </c>
      <c r="C286" s="121">
        <v>30905830</v>
      </c>
      <c r="D286" s="121" t="s">
        <v>170</v>
      </c>
      <c r="E286" s="121" t="s">
        <v>174</v>
      </c>
      <c r="F286" s="121" t="s">
        <v>176</v>
      </c>
      <c r="G286" s="121" t="s">
        <v>376</v>
      </c>
      <c r="H286" s="121" t="s">
        <v>174</v>
      </c>
      <c r="I286" s="122">
        <v>6000</v>
      </c>
      <c r="J286" s="122"/>
      <c r="K286" s="121">
        <v>304254</v>
      </c>
      <c r="L286" s="193">
        <v>6000</v>
      </c>
      <c r="M286" s="123">
        <v>9.1185410334346511</v>
      </c>
      <c r="N286" s="123">
        <v>0</v>
      </c>
    </row>
    <row r="287" spans="1:17" x14ac:dyDescent="0.25">
      <c r="A287" s="138">
        <v>21696</v>
      </c>
      <c r="B287" s="133">
        <v>42926.834722222222</v>
      </c>
      <c r="C287" s="121">
        <v>30975278</v>
      </c>
      <c r="D287" s="121" t="s">
        <v>170</v>
      </c>
      <c r="E287" s="121" t="s">
        <v>171</v>
      </c>
      <c r="F287" s="121" t="s">
        <v>176</v>
      </c>
      <c r="G287" s="121" t="s">
        <v>377</v>
      </c>
      <c r="H287" s="121" t="s">
        <v>173</v>
      </c>
      <c r="I287" s="122"/>
      <c r="J287" s="122">
        <v>408</v>
      </c>
      <c r="K287" s="121" t="s">
        <v>453</v>
      </c>
      <c r="L287" s="193">
        <v>268464</v>
      </c>
      <c r="M287" s="123">
        <v>408</v>
      </c>
      <c r="N287" s="123">
        <v>0</v>
      </c>
    </row>
    <row r="288" spans="1:17" x14ac:dyDescent="0.25">
      <c r="A288" s="138">
        <v>87377</v>
      </c>
      <c r="B288" s="133" t="s">
        <v>570</v>
      </c>
      <c r="C288" s="121" t="s">
        <v>243</v>
      </c>
      <c r="D288" s="121" t="s">
        <v>170</v>
      </c>
      <c r="E288" s="121" t="s">
        <v>565</v>
      </c>
      <c r="F288" s="121" t="s">
        <v>176</v>
      </c>
      <c r="G288" s="121" t="s">
        <v>443</v>
      </c>
      <c r="H288" s="121" t="s">
        <v>173</v>
      </c>
      <c r="I288" s="122"/>
      <c r="J288" s="122">
        <v>-195</v>
      </c>
      <c r="K288" s="121" t="s">
        <v>571</v>
      </c>
      <c r="L288" s="193">
        <v>-128310</v>
      </c>
      <c r="M288" s="123">
        <v>-195</v>
      </c>
      <c r="N288" s="123">
        <v>641550</v>
      </c>
    </row>
    <row r="289" spans="1:14" x14ac:dyDescent="0.25">
      <c r="A289" s="138">
        <v>72561</v>
      </c>
      <c r="B289" s="133" t="s">
        <v>570</v>
      </c>
      <c r="C289" s="121" t="s">
        <v>243</v>
      </c>
      <c r="D289" s="121" t="s">
        <v>170</v>
      </c>
      <c r="E289" s="121" t="s">
        <v>565</v>
      </c>
      <c r="F289" s="121" t="s">
        <v>176</v>
      </c>
      <c r="G289" s="121" t="s">
        <v>441</v>
      </c>
      <c r="H289" s="121" t="s">
        <v>173</v>
      </c>
      <c r="I289" s="122"/>
      <c r="J289" s="122">
        <v>-175.5</v>
      </c>
      <c r="K289" s="121" t="s">
        <v>572</v>
      </c>
      <c r="L289" s="193">
        <v>-115479</v>
      </c>
      <c r="M289" s="123">
        <v>-175.5</v>
      </c>
      <c r="N289" s="123">
        <v>0</v>
      </c>
    </row>
    <row r="290" spans="1:14" x14ac:dyDescent="0.25">
      <c r="A290" s="138">
        <v>6986</v>
      </c>
      <c r="B290" s="133" t="s">
        <v>570</v>
      </c>
      <c r="C290" s="121" t="s">
        <v>243</v>
      </c>
      <c r="D290" s="121" t="s">
        <v>170</v>
      </c>
      <c r="E290" s="121" t="s">
        <v>565</v>
      </c>
      <c r="F290" s="121" t="s">
        <v>176</v>
      </c>
      <c r="G290" s="121" t="s">
        <v>442</v>
      </c>
      <c r="H290" s="121" t="s">
        <v>173</v>
      </c>
      <c r="I290" s="122"/>
      <c r="J290" s="122">
        <v>-390</v>
      </c>
      <c r="K290" s="121" t="s">
        <v>573</v>
      </c>
      <c r="L290" s="193">
        <v>-256620</v>
      </c>
      <c r="M290" s="123">
        <v>-390</v>
      </c>
      <c r="N290" s="123">
        <v>1026480</v>
      </c>
    </row>
    <row r="291" spans="1:14" x14ac:dyDescent="0.25">
      <c r="A291" s="138">
        <v>2488</v>
      </c>
      <c r="B291" s="133">
        <v>42927.520138888889</v>
      </c>
      <c r="C291" s="121">
        <v>30975278</v>
      </c>
      <c r="D291" s="121" t="s">
        <v>170</v>
      </c>
      <c r="E291" s="121" t="s">
        <v>171</v>
      </c>
      <c r="F291" s="121" t="s">
        <v>172</v>
      </c>
      <c r="G291" s="121" t="s">
        <v>454</v>
      </c>
      <c r="H291" s="121" t="s">
        <v>173</v>
      </c>
      <c r="I291" s="122"/>
      <c r="J291" s="122">
        <v>195</v>
      </c>
      <c r="K291" s="121">
        <v>70</v>
      </c>
      <c r="L291" s="193">
        <v>128310</v>
      </c>
      <c r="M291" s="123">
        <v>195</v>
      </c>
      <c r="N291" s="123">
        <v>0</v>
      </c>
    </row>
    <row r="292" spans="1:14" x14ac:dyDescent="0.25">
      <c r="A292" s="138">
        <v>19332</v>
      </c>
      <c r="B292" s="133">
        <v>42927.520833333336</v>
      </c>
      <c r="C292" s="121">
        <v>30975278</v>
      </c>
      <c r="D292" s="121" t="s">
        <v>170</v>
      </c>
      <c r="E292" s="121" t="s">
        <v>171</v>
      </c>
      <c r="F292" s="121" t="s">
        <v>172</v>
      </c>
      <c r="G292" s="121" t="s">
        <v>455</v>
      </c>
      <c r="H292" s="121" t="s">
        <v>173</v>
      </c>
      <c r="I292" s="122"/>
      <c r="J292" s="122">
        <v>176</v>
      </c>
      <c r="K292" s="121">
        <v>19</v>
      </c>
      <c r="L292" s="193">
        <v>115808</v>
      </c>
      <c r="M292" s="123">
        <v>176</v>
      </c>
      <c r="N292" s="123">
        <v>0</v>
      </c>
    </row>
    <row r="293" spans="1:14" x14ac:dyDescent="0.25">
      <c r="A293" s="138">
        <v>96407</v>
      </c>
      <c r="B293" s="133">
        <v>42927.522222222222</v>
      </c>
      <c r="C293" s="121">
        <v>30975278</v>
      </c>
      <c r="D293" s="121" t="s">
        <v>170</v>
      </c>
      <c r="E293" s="121" t="s">
        <v>171</v>
      </c>
      <c r="F293" s="121" t="s">
        <v>176</v>
      </c>
      <c r="G293" s="121" t="s">
        <v>442</v>
      </c>
      <c r="H293" s="121" t="s">
        <v>173</v>
      </c>
      <c r="I293" s="122"/>
      <c r="J293" s="122">
        <v>390</v>
      </c>
      <c r="K293" s="121">
        <v>31786</v>
      </c>
      <c r="L293" s="193">
        <v>256620</v>
      </c>
      <c r="M293" s="123">
        <v>390</v>
      </c>
      <c r="N293" s="123">
        <v>256620</v>
      </c>
    </row>
    <row r="294" spans="1:14" x14ac:dyDescent="0.25">
      <c r="A294" s="138">
        <v>72561</v>
      </c>
      <c r="B294" s="133">
        <v>42927.523611111108</v>
      </c>
      <c r="C294" s="121">
        <v>30975278</v>
      </c>
      <c r="D294" s="121" t="s">
        <v>170</v>
      </c>
      <c r="E294" s="121" t="s">
        <v>171</v>
      </c>
      <c r="F294" s="121" t="s">
        <v>176</v>
      </c>
      <c r="G294" s="121" t="s">
        <v>441</v>
      </c>
      <c r="H294" s="121" t="s">
        <v>173</v>
      </c>
      <c r="I294" s="122"/>
      <c r="J294" s="122">
        <v>176</v>
      </c>
      <c r="K294" s="121">
        <v>5222</v>
      </c>
      <c r="L294" s="193">
        <v>115808</v>
      </c>
      <c r="M294" s="123">
        <v>176</v>
      </c>
      <c r="N294" s="123">
        <v>0</v>
      </c>
    </row>
    <row r="295" spans="1:14" x14ac:dyDescent="0.25">
      <c r="A295" s="138">
        <v>87377</v>
      </c>
      <c r="B295" s="133">
        <v>42927.524305555555</v>
      </c>
      <c r="C295" s="121">
        <v>30975278</v>
      </c>
      <c r="D295" s="121" t="s">
        <v>170</v>
      </c>
      <c r="E295" s="121" t="s">
        <v>171</v>
      </c>
      <c r="F295" s="121" t="s">
        <v>176</v>
      </c>
      <c r="G295" s="121" t="s">
        <v>443</v>
      </c>
      <c r="H295" s="121" t="s">
        <v>173</v>
      </c>
      <c r="I295" s="122"/>
      <c r="J295" s="122">
        <v>195</v>
      </c>
      <c r="K295" s="121">
        <v>681555</v>
      </c>
      <c r="L295" s="193">
        <v>128310</v>
      </c>
      <c r="M295" s="123">
        <v>195</v>
      </c>
      <c r="N295" s="123">
        <v>641550</v>
      </c>
    </row>
    <row r="296" spans="1:14" x14ac:dyDescent="0.25">
      <c r="A296" s="138">
        <v>52897</v>
      </c>
      <c r="B296" s="133">
        <v>42927.527777777781</v>
      </c>
      <c r="C296" s="121">
        <v>30905830</v>
      </c>
      <c r="D296" s="121" t="s">
        <v>170</v>
      </c>
      <c r="E296" s="121" t="s">
        <v>174</v>
      </c>
      <c r="F296" s="121" t="s">
        <v>176</v>
      </c>
      <c r="G296" s="121" t="s">
        <v>444</v>
      </c>
      <c r="H296" s="121" t="s">
        <v>174</v>
      </c>
      <c r="I296" s="122">
        <v>394838</v>
      </c>
      <c r="J296" s="122"/>
      <c r="K296" s="121">
        <v>188713</v>
      </c>
      <c r="L296" s="193">
        <v>394838</v>
      </c>
      <c r="M296" s="123">
        <v>600.05775075987845</v>
      </c>
      <c r="N296" s="123">
        <v>914044</v>
      </c>
    </row>
    <row r="297" spans="1:14" x14ac:dyDescent="0.25">
      <c r="A297" s="296">
        <v>52897</v>
      </c>
      <c r="B297" s="297">
        <v>42927.527777777781</v>
      </c>
      <c r="C297" s="298">
        <v>30905830</v>
      </c>
      <c r="D297" s="298" t="s">
        <v>170</v>
      </c>
      <c r="E297" s="298" t="s">
        <v>413</v>
      </c>
      <c r="F297" s="298" t="s">
        <v>176</v>
      </c>
      <c r="G297" s="298" t="s">
        <v>444</v>
      </c>
      <c r="H297" s="298" t="s">
        <v>174</v>
      </c>
      <c r="I297" s="299">
        <v>-394838</v>
      </c>
      <c r="J297" s="299"/>
      <c r="K297" s="298">
        <v>188713</v>
      </c>
      <c r="L297" s="193">
        <v>-394838</v>
      </c>
      <c r="M297" s="123">
        <v>-600.05775075987845</v>
      </c>
      <c r="N297" s="123">
        <v>914044</v>
      </c>
    </row>
    <row r="298" spans="1:14" x14ac:dyDescent="0.25">
      <c r="A298" s="296">
        <v>52897</v>
      </c>
      <c r="B298" s="297">
        <v>42927.531944444447</v>
      </c>
      <c r="C298" s="298">
        <v>30905830</v>
      </c>
      <c r="D298" s="298" t="s">
        <v>170</v>
      </c>
      <c r="E298" s="298" t="s">
        <v>174</v>
      </c>
      <c r="F298" s="298" t="s">
        <v>176</v>
      </c>
      <c r="G298" s="298" t="s">
        <v>444</v>
      </c>
      <c r="H298" s="298" t="s">
        <v>174</v>
      </c>
      <c r="I298" s="299">
        <v>464332</v>
      </c>
      <c r="J298" s="299"/>
      <c r="K298" s="298">
        <v>179406</v>
      </c>
      <c r="L298" s="193">
        <v>464332</v>
      </c>
      <c r="M298" s="123">
        <v>705.67173252279633</v>
      </c>
      <c r="N298" s="123">
        <v>914044</v>
      </c>
    </row>
    <row r="299" spans="1:14" x14ac:dyDescent="0.25">
      <c r="A299" s="138">
        <v>52897</v>
      </c>
      <c r="B299" s="133">
        <v>42927.531944444447</v>
      </c>
      <c r="C299" s="121">
        <v>30905830</v>
      </c>
      <c r="D299" s="121" t="s">
        <v>170</v>
      </c>
      <c r="E299" s="121" t="s">
        <v>413</v>
      </c>
      <c r="F299" s="121" t="s">
        <v>176</v>
      </c>
      <c r="G299" s="121"/>
      <c r="H299" s="121" t="s">
        <v>174</v>
      </c>
      <c r="I299" s="122">
        <v>0</v>
      </c>
      <c r="J299" s="122"/>
      <c r="K299" s="121">
        <v>179406</v>
      </c>
      <c r="L299" s="193">
        <v>0</v>
      </c>
      <c r="M299" s="123">
        <v>0</v>
      </c>
      <c r="N299" s="123">
        <v>914044</v>
      </c>
    </row>
    <row r="300" spans="1:14" x14ac:dyDescent="0.25">
      <c r="A300" s="138">
        <v>52897</v>
      </c>
      <c r="B300" s="133">
        <v>42927.531944444447</v>
      </c>
      <c r="C300" s="121">
        <v>30905830</v>
      </c>
      <c r="D300" s="121" t="s">
        <v>170</v>
      </c>
      <c r="E300" s="121" t="s">
        <v>413</v>
      </c>
      <c r="F300" s="121" t="s">
        <v>176</v>
      </c>
      <c r="G300" s="121"/>
      <c r="H300" s="121" t="s">
        <v>174</v>
      </c>
      <c r="I300" s="122">
        <v>0</v>
      </c>
      <c r="J300" s="122"/>
      <c r="K300" s="121">
        <v>179406</v>
      </c>
      <c r="L300" s="193">
        <v>0</v>
      </c>
      <c r="M300" s="123">
        <v>0</v>
      </c>
      <c r="N300" s="123">
        <v>914044</v>
      </c>
    </row>
    <row r="301" spans="1:14" x14ac:dyDescent="0.25">
      <c r="A301" s="138">
        <v>52897</v>
      </c>
      <c r="B301" s="133" t="s">
        <v>574</v>
      </c>
      <c r="C301" s="121" t="s">
        <v>242</v>
      </c>
      <c r="D301" s="121" t="s">
        <v>170</v>
      </c>
      <c r="E301" s="121" t="s">
        <v>413</v>
      </c>
      <c r="F301" s="121" t="s">
        <v>176</v>
      </c>
      <c r="G301" s="121" t="s">
        <v>444</v>
      </c>
      <c r="H301" s="121" t="s">
        <v>174</v>
      </c>
      <c r="I301" s="122">
        <v>-464332</v>
      </c>
      <c r="J301" s="122">
        <v>0</v>
      </c>
      <c r="K301" s="121" t="s">
        <v>575</v>
      </c>
      <c r="L301" s="193">
        <v>-464332</v>
      </c>
      <c r="M301" s="123">
        <v>-705.67173252279633</v>
      </c>
      <c r="N301" s="123">
        <v>914044</v>
      </c>
    </row>
    <row r="302" spans="1:14" x14ac:dyDescent="0.25">
      <c r="A302" s="138">
        <v>67801</v>
      </c>
      <c r="B302" s="133">
        <v>42927.536805555559</v>
      </c>
      <c r="C302" s="121">
        <v>30975278</v>
      </c>
      <c r="D302" s="121" t="s">
        <v>170</v>
      </c>
      <c r="E302" s="121" t="s">
        <v>171</v>
      </c>
      <c r="F302" s="121" t="s">
        <v>172</v>
      </c>
      <c r="G302" s="121" t="s">
        <v>456</v>
      </c>
      <c r="H302" s="121" t="s">
        <v>173</v>
      </c>
      <c r="I302" s="122"/>
      <c r="J302" s="122">
        <v>176</v>
      </c>
      <c r="K302" s="121">
        <v>65</v>
      </c>
      <c r="L302" s="193">
        <v>115808</v>
      </c>
      <c r="M302" s="123">
        <v>176</v>
      </c>
      <c r="N302" s="123">
        <v>692874</v>
      </c>
    </row>
    <row r="303" spans="1:14" x14ac:dyDescent="0.25">
      <c r="A303" s="138">
        <v>64014</v>
      </c>
      <c r="B303" s="133">
        <v>42927.538888888892</v>
      </c>
      <c r="C303" s="121">
        <v>30975278</v>
      </c>
      <c r="D303" s="121" t="s">
        <v>170</v>
      </c>
      <c r="E303" s="121" t="s">
        <v>171</v>
      </c>
      <c r="F303" s="121" t="s">
        <v>175</v>
      </c>
      <c r="G303" s="121" t="s">
        <v>457</v>
      </c>
      <c r="H303" s="121" t="s">
        <v>173</v>
      </c>
      <c r="I303" s="122"/>
      <c r="J303" s="122">
        <v>185</v>
      </c>
      <c r="K303" s="121">
        <v>66708</v>
      </c>
      <c r="L303" s="193">
        <v>121730</v>
      </c>
      <c r="M303" s="123">
        <v>185</v>
      </c>
      <c r="N303" s="123">
        <v>609505.4</v>
      </c>
    </row>
    <row r="304" spans="1:14" x14ac:dyDescent="0.25">
      <c r="A304" s="138">
        <v>84997</v>
      </c>
      <c r="B304" s="133">
        <v>42927.541666666664</v>
      </c>
      <c r="C304" s="121">
        <v>30975278</v>
      </c>
      <c r="D304" s="121" t="s">
        <v>170</v>
      </c>
      <c r="E304" s="121" t="s">
        <v>171</v>
      </c>
      <c r="F304" s="121" t="s">
        <v>176</v>
      </c>
      <c r="G304" s="121" t="s">
        <v>458</v>
      </c>
      <c r="H304" s="121" t="s">
        <v>173</v>
      </c>
      <c r="I304" s="122"/>
      <c r="J304" s="122">
        <v>195</v>
      </c>
      <c r="K304" s="121">
        <v>739436</v>
      </c>
      <c r="L304" s="193">
        <v>128310</v>
      </c>
      <c r="M304" s="123">
        <v>195</v>
      </c>
      <c r="N304" s="123">
        <v>384930</v>
      </c>
    </row>
    <row r="305" spans="1:19" x14ac:dyDescent="0.25">
      <c r="A305" s="138">
        <v>6986</v>
      </c>
      <c r="B305" s="133">
        <v>42927.543749999997</v>
      </c>
      <c r="C305" s="121">
        <v>30975278</v>
      </c>
      <c r="D305" s="121" t="s">
        <v>170</v>
      </c>
      <c r="E305" s="121" t="s">
        <v>171</v>
      </c>
      <c r="F305" s="121" t="s">
        <v>176</v>
      </c>
      <c r="G305" s="121" t="s">
        <v>442</v>
      </c>
      <c r="H305" s="121" t="s">
        <v>173</v>
      </c>
      <c r="I305" s="122"/>
      <c r="J305" s="122">
        <v>390</v>
      </c>
      <c r="K305" s="121">
        <v>654377</v>
      </c>
      <c r="L305" s="193">
        <v>256620</v>
      </c>
      <c r="M305" s="123">
        <v>390</v>
      </c>
      <c r="N305" s="123">
        <v>1026480</v>
      </c>
    </row>
    <row r="306" spans="1:19" x14ac:dyDescent="0.25">
      <c r="A306" s="138">
        <v>84934</v>
      </c>
      <c r="B306" s="133">
        <v>42928.700694444444</v>
      </c>
      <c r="C306" s="121">
        <v>30975278</v>
      </c>
      <c r="D306" s="121" t="s">
        <v>170</v>
      </c>
      <c r="E306" s="121" t="s">
        <v>171</v>
      </c>
      <c r="F306" s="121" t="s">
        <v>176</v>
      </c>
      <c r="G306" s="121" t="s">
        <v>382</v>
      </c>
      <c r="H306" s="121" t="s">
        <v>173</v>
      </c>
      <c r="I306" s="122"/>
      <c r="J306" s="122">
        <v>1170</v>
      </c>
      <c r="K306" s="121">
        <v>71193</v>
      </c>
      <c r="L306" s="193">
        <v>769860</v>
      </c>
      <c r="M306" s="123">
        <v>1170</v>
      </c>
      <c r="N306" s="123">
        <v>0</v>
      </c>
    </row>
    <row r="307" spans="1:19" x14ac:dyDescent="0.25">
      <c r="A307" s="138">
        <v>35375</v>
      </c>
      <c r="B307" s="133">
        <v>42928.912499999999</v>
      </c>
      <c r="C307" s="121">
        <v>30975278</v>
      </c>
      <c r="D307" s="121" t="s">
        <v>170</v>
      </c>
      <c r="E307" s="121" t="s">
        <v>171</v>
      </c>
      <c r="F307" s="121" t="s">
        <v>175</v>
      </c>
      <c r="G307" s="121" t="s">
        <v>459</v>
      </c>
      <c r="H307" s="121" t="s">
        <v>173</v>
      </c>
      <c r="I307" s="122"/>
      <c r="J307" s="122">
        <v>780</v>
      </c>
      <c r="K307" s="121">
        <v>63148</v>
      </c>
      <c r="L307" s="193">
        <v>513240</v>
      </c>
      <c r="M307" s="123">
        <v>780</v>
      </c>
      <c r="N307" s="123">
        <v>0</v>
      </c>
    </row>
    <row r="308" spans="1:19" x14ac:dyDescent="0.25">
      <c r="A308" s="138">
        <v>78620</v>
      </c>
      <c r="B308" s="133">
        <v>42929.537499999999</v>
      </c>
      <c r="C308" s="121">
        <v>30975278</v>
      </c>
      <c r="D308" s="121" t="s">
        <v>170</v>
      </c>
      <c r="E308" s="121" t="s">
        <v>171</v>
      </c>
      <c r="F308" s="121" t="s">
        <v>172</v>
      </c>
      <c r="G308" s="121" t="s">
        <v>460</v>
      </c>
      <c r="H308" s="121" t="s">
        <v>173</v>
      </c>
      <c r="I308" s="122"/>
      <c r="J308" s="122">
        <v>195</v>
      </c>
      <c r="K308" s="121">
        <v>66</v>
      </c>
      <c r="L308" s="193">
        <v>128310</v>
      </c>
      <c r="M308" s="123">
        <v>195</v>
      </c>
      <c r="N308" s="123">
        <v>0</v>
      </c>
    </row>
    <row r="309" spans="1:19" x14ac:dyDescent="0.25">
      <c r="A309" s="138">
        <v>16646</v>
      </c>
      <c r="B309" s="133">
        <v>42929.810416666667</v>
      </c>
      <c r="C309" s="121">
        <v>30975278</v>
      </c>
      <c r="D309" s="121" t="s">
        <v>170</v>
      </c>
      <c r="E309" s="121" t="s">
        <v>171</v>
      </c>
      <c r="F309" s="121" t="s">
        <v>176</v>
      </c>
      <c r="G309" s="121" t="s">
        <v>384</v>
      </c>
      <c r="H309" s="121" t="s">
        <v>173</v>
      </c>
      <c r="I309" s="122"/>
      <c r="J309" s="122">
        <v>175</v>
      </c>
      <c r="K309" s="121">
        <v>165077</v>
      </c>
      <c r="L309" s="193">
        <v>115150</v>
      </c>
      <c r="M309" s="123">
        <v>175</v>
      </c>
      <c r="N309" s="123">
        <v>0</v>
      </c>
    </row>
    <row r="310" spans="1:19" x14ac:dyDescent="0.25">
      <c r="A310" s="138">
        <v>59043</v>
      </c>
      <c r="B310" s="133">
        <v>42930.356249999997</v>
      </c>
      <c r="C310" s="121">
        <v>30975278</v>
      </c>
      <c r="D310" s="121" t="s">
        <v>170</v>
      </c>
      <c r="E310" s="121" t="s">
        <v>171</v>
      </c>
      <c r="F310" s="121" t="s">
        <v>175</v>
      </c>
      <c r="G310" s="121" t="s">
        <v>397</v>
      </c>
      <c r="H310" s="121" t="s">
        <v>173</v>
      </c>
      <c r="I310" s="122"/>
      <c r="J310" s="122">
        <v>390</v>
      </c>
      <c r="K310" s="121">
        <v>499240</v>
      </c>
      <c r="L310" s="193">
        <v>256620</v>
      </c>
      <c r="M310" s="123">
        <v>390</v>
      </c>
      <c r="N310" s="123">
        <v>0</v>
      </c>
    </row>
    <row r="311" spans="1:19" x14ac:dyDescent="0.25">
      <c r="A311" s="138">
        <v>21696</v>
      </c>
      <c r="B311" s="133">
        <v>42930.486805555556</v>
      </c>
      <c r="C311" s="121">
        <v>30905830</v>
      </c>
      <c r="D311" s="121" t="s">
        <v>170</v>
      </c>
      <c r="E311" s="121" t="s">
        <v>174</v>
      </c>
      <c r="F311" s="121" t="s">
        <v>176</v>
      </c>
      <c r="G311" s="121" t="s">
        <v>377</v>
      </c>
      <c r="H311" s="121" t="s">
        <v>174</v>
      </c>
      <c r="I311" s="122">
        <v>10000</v>
      </c>
      <c r="J311" s="122"/>
      <c r="K311" s="121" t="s">
        <v>461</v>
      </c>
      <c r="L311" s="193">
        <v>10000</v>
      </c>
      <c r="M311" s="123">
        <v>15.19756838905775</v>
      </c>
      <c r="N311" s="123">
        <v>0</v>
      </c>
    </row>
    <row r="312" spans="1:19" x14ac:dyDescent="0.25">
      <c r="A312" s="138">
        <v>27848</v>
      </c>
      <c r="B312" s="133">
        <v>42930.547222222223</v>
      </c>
      <c r="C312" s="121">
        <v>30975278</v>
      </c>
      <c r="D312" s="121" t="s">
        <v>170</v>
      </c>
      <c r="E312" s="121" t="s">
        <v>171</v>
      </c>
      <c r="F312" s="121" t="s">
        <v>176</v>
      </c>
      <c r="G312" s="121" t="s">
        <v>462</v>
      </c>
      <c r="H312" s="121" t="s">
        <v>173</v>
      </c>
      <c r="I312" s="122"/>
      <c r="J312" s="122">
        <v>195</v>
      </c>
      <c r="K312" s="121">
        <v>469051</v>
      </c>
      <c r="L312" s="193">
        <v>128310</v>
      </c>
      <c r="M312" s="123">
        <v>195</v>
      </c>
      <c r="N312" s="123">
        <v>0</v>
      </c>
    </row>
    <row r="313" spans="1:19" x14ac:dyDescent="0.25">
      <c r="A313" s="138">
        <v>78665</v>
      </c>
      <c r="B313" s="133">
        <v>42930.728472222225</v>
      </c>
      <c r="C313" s="121">
        <v>30975278</v>
      </c>
      <c r="D313" s="121" t="s">
        <v>170</v>
      </c>
      <c r="E313" s="121" t="s">
        <v>171</v>
      </c>
      <c r="F313" s="121" t="s">
        <v>175</v>
      </c>
      <c r="G313" s="121" t="s">
        <v>463</v>
      </c>
      <c r="H313" s="121" t="s">
        <v>173</v>
      </c>
      <c r="I313" s="122"/>
      <c r="J313" s="122">
        <v>185</v>
      </c>
      <c r="K313" s="121">
        <v>321356</v>
      </c>
      <c r="L313" s="193">
        <v>121730</v>
      </c>
      <c r="M313" s="123">
        <v>185</v>
      </c>
      <c r="N313" s="123">
        <v>1587951.4000000001</v>
      </c>
    </row>
    <row r="314" spans="1:19" x14ac:dyDescent="0.25">
      <c r="A314" s="138">
        <v>52918</v>
      </c>
      <c r="B314" s="133">
        <v>42930.730555555558</v>
      </c>
      <c r="C314" s="121">
        <v>30905830</v>
      </c>
      <c r="D314" s="121" t="s">
        <v>170</v>
      </c>
      <c r="E314" s="121" t="s">
        <v>174</v>
      </c>
      <c r="F314" s="121" t="s">
        <v>175</v>
      </c>
      <c r="G314" s="121" t="s">
        <v>464</v>
      </c>
      <c r="H314" s="121" t="s">
        <v>174</v>
      </c>
      <c r="I314" s="122">
        <v>172788</v>
      </c>
      <c r="J314" s="122"/>
      <c r="K314" s="121">
        <v>885536</v>
      </c>
      <c r="L314" s="193">
        <v>172788</v>
      </c>
      <c r="M314" s="123">
        <v>262.59574468085106</v>
      </c>
      <c r="N314" s="123">
        <v>342958</v>
      </c>
    </row>
    <row r="315" spans="1:19" x14ac:dyDescent="0.25">
      <c r="A315" s="138">
        <v>49016</v>
      </c>
      <c r="B315" s="133">
        <v>42930.732638888891</v>
      </c>
      <c r="C315" s="121">
        <v>30905830</v>
      </c>
      <c r="D315" s="121" t="s">
        <v>170</v>
      </c>
      <c r="E315" s="121" t="s">
        <v>174</v>
      </c>
      <c r="F315" s="121" t="s">
        <v>175</v>
      </c>
      <c r="G315" s="121" t="s">
        <v>465</v>
      </c>
      <c r="H315" s="121" t="s">
        <v>174</v>
      </c>
      <c r="I315" s="122">
        <v>178788</v>
      </c>
      <c r="J315" s="122"/>
      <c r="K315" s="121">
        <v>461843</v>
      </c>
      <c r="L315" s="193">
        <v>178788</v>
      </c>
      <c r="M315" s="123">
        <v>271.71428571428572</v>
      </c>
      <c r="N315" s="123">
        <v>831078</v>
      </c>
      <c r="R315" s="60" t="s">
        <v>251</v>
      </c>
      <c r="S315" s="60" t="s">
        <v>252</v>
      </c>
    </row>
    <row r="316" spans="1:19" x14ac:dyDescent="0.25">
      <c r="A316" s="138">
        <v>42605</v>
      </c>
      <c r="B316" s="133">
        <v>42930.73333333333</v>
      </c>
      <c r="C316" s="121">
        <v>30975278</v>
      </c>
      <c r="D316" s="121" t="s">
        <v>170</v>
      </c>
      <c r="E316" s="121" t="s">
        <v>171</v>
      </c>
      <c r="F316" s="121" t="s">
        <v>175</v>
      </c>
      <c r="G316" s="121" t="s">
        <v>466</v>
      </c>
      <c r="H316" s="121" t="s">
        <v>173</v>
      </c>
      <c r="I316" s="122"/>
      <c r="J316" s="122">
        <v>220</v>
      </c>
      <c r="K316" s="121">
        <v>2535</v>
      </c>
      <c r="L316" s="193">
        <v>144760</v>
      </c>
      <c r="M316" s="123">
        <v>220</v>
      </c>
      <c r="N316" s="123">
        <v>1332450</v>
      </c>
    </row>
    <row r="317" spans="1:19" x14ac:dyDescent="0.25">
      <c r="A317" s="138">
        <v>62638</v>
      </c>
      <c r="B317" s="133">
        <v>42930.734722222223</v>
      </c>
      <c r="C317" s="121">
        <v>30975278</v>
      </c>
      <c r="D317" s="121" t="s">
        <v>170</v>
      </c>
      <c r="E317" s="121" t="s">
        <v>171</v>
      </c>
      <c r="F317" s="121" t="s">
        <v>175</v>
      </c>
      <c r="G317" s="121" t="s">
        <v>467</v>
      </c>
      <c r="H317" s="121" t="s">
        <v>173</v>
      </c>
      <c r="I317" s="122"/>
      <c r="J317" s="122">
        <v>209</v>
      </c>
      <c r="K317" s="121">
        <v>819095</v>
      </c>
      <c r="L317" s="193">
        <v>137522</v>
      </c>
      <c r="M317" s="123">
        <v>209</v>
      </c>
      <c r="N317" s="123">
        <v>778282.4</v>
      </c>
    </row>
    <row r="318" spans="1:19" x14ac:dyDescent="0.25">
      <c r="A318" s="138">
        <v>83416</v>
      </c>
      <c r="B318" s="133">
        <v>42930.736805555556</v>
      </c>
      <c r="C318" s="121">
        <v>30975278</v>
      </c>
      <c r="D318" s="121" t="s">
        <v>170</v>
      </c>
      <c r="E318" s="121" t="s">
        <v>171</v>
      </c>
      <c r="F318" s="121" t="s">
        <v>176</v>
      </c>
      <c r="G318" s="121" t="s">
        <v>468</v>
      </c>
      <c r="H318" s="121" t="s">
        <v>173</v>
      </c>
      <c r="I318" s="122"/>
      <c r="J318" s="122">
        <v>220</v>
      </c>
      <c r="K318" s="121">
        <v>318055</v>
      </c>
      <c r="L318" s="193">
        <v>144760</v>
      </c>
      <c r="M318" s="123">
        <v>220</v>
      </c>
      <c r="N318" s="123">
        <v>0</v>
      </c>
    </row>
    <row r="319" spans="1:19" x14ac:dyDescent="0.25">
      <c r="A319" s="138">
        <v>78015</v>
      </c>
      <c r="B319" s="133">
        <v>42930.741666666669</v>
      </c>
      <c r="C319" s="121">
        <v>30975278</v>
      </c>
      <c r="D319" s="121" t="s">
        <v>170</v>
      </c>
      <c r="E319" s="121" t="s">
        <v>171</v>
      </c>
      <c r="F319" s="121" t="s">
        <v>175</v>
      </c>
      <c r="G319" s="121" t="s">
        <v>385</v>
      </c>
      <c r="H319" s="121" t="s">
        <v>173</v>
      </c>
      <c r="I319" s="122"/>
      <c r="J319" s="122">
        <v>390</v>
      </c>
      <c r="K319" s="121" t="s">
        <v>469</v>
      </c>
      <c r="L319" s="193">
        <v>256620</v>
      </c>
      <c r="M319" s="123">
        <v>390</v>
      </c>
      <c r="N319" s="123">
        <v>0</v>
      </c>
    </row>
    <row r="320" spans="1:19" x14ac:dyDescent="0.25">
      <c r="A320" s="138">
        <v>57984</v>
      </c>
      <c r="B320" s="133">
        <v>42931.870833333334</v>
      </c>
      <c r="C320" s="121">
        <v>30975278</v>
      </c>
      <c r="D320" s="121" t="s">
        <v>170</v>
      </c>
      <c r="E320" s="121" t="s">
        <v>171</v>
      </c>
      <c r="F320" s="121" t="s">
        <v>175</v>
      </c>
      <c r="G320" s="121" t="s">
        <v>450</v>
      </c>
      <c r="H320" s="121" t="s">
        <v>173</v>
      </c>
      <c r="I320" s="122"/>
      <c r="J320" s="122">
        <v>195</v>
      </c>
      <c r="K320" s="121">
        <v>21116</v>
      </c>
      <c r="L320" s="193">
        <v>128310</v>
      </c>
      <c r="M320" s="123">
        <v>195</v>
      </c>
      <c r="N320" s="123">
        <v>0</v>
      </c>
    </row>
    <row r="321" spans="1:17" x14ac:dyDescent="0.25">
      <c r="A321" s="138">
        <v>71793</v>
      </c>
      <c r="B321" s="133">
        <v>42932.359027777777</v>
      </c>
      <c r="C321" s="121">
        <v>30905830</v>
      </c>
      <c r="D321" s="121" t="s">
        <v>170</v>
      </c>
      <c r="E321" s="121" t="s">
        <v>174</v>
      </c>
      <c r="F321" s="121" t="s">
        <v>176</v>
      </c>
      <c r="G321" s="121" t="s">
        <v>470</v>
      </c>
      <c r="H321" s="121" t="s">
        <v>174</v>
      </c>
      <c r="I321" s="122">
        <v>291431</v>
      </c>
      <c r="J321" s="122"/>
      <c r="K321" s="121" t="s">
        <v>471</v>
      </c>
      <c r="L321" s="193">
        <v>291431</v>
      </c>
      <c r="M321" s="123">
        <v>442.90425531914894</v>
      </c>
      <c r="N321" s="123">
        <v>0</v>
      </c>
    </row>
    <row r="322" spans="1:17" x14ac:dyDescent="0.25">
      <c r="A322" s="138">
        <v>14380</v>
      </c>
      <c r="B322" s="133">
        <v>42933.334722222222</v>
      </c>
      <c r="C322" s="121">
        <v>30975278</v>
      </c>
      <c r="D322" s="121" t="s">
        <v>170</v>
      </c>
      <c r="E322" s="121" t="s">
        <v>171</v>
      </c>
      <c r="F322" s="121" t="s">
        <v>175</v>
      </c>
      <c r="G322" s="121" t="s">
        <v>448</v>
      </c>
      <c r="H322" s="121" t="s">
        <v>173</v>
      </c>
      <c r="I322" s="122"/>
      <c r="J322" s="122">
        <v>1170</v>
      </c>
      <c r="K322" s="121">
        <v>9086</v>
      </c>
      <c r="L322" s="193">
        <v>769860</v>
      </c>
      <c r="M322" s="123">
        <v>1170</v>
      </c>
      <c r="N322" s="123">
        <v>0</v>
      </c>
    </row>
    <row r="323" spans="1:17" x14ac:dyDescent="0.25">
      <c r="A323" s="138">
        <v>93838</v>
      </c>
      <c r="B323" s="133">
        <v>42933.339583333334</v>
      </c>
      <c r="C323" s="121">
        <v>30975278</v>
      </c>
      <c r="D323" s="121" t="s">
        <v>170</v>
      </c>
      <c r="E323" s="121" t="s">
        <v>171</v>
      </c>
      <c r="F323" s="121" t="s">
        <v>176</v>
      </c>
      <c r="G323" s="121" t="s">
        <v>389</v>
      </c>
      <c r="H323" s="121" t="s">
        <v>173</v>
      </c>
      <c r="I323" s="122"/>
      <c r="J323" s="122">
        <v>780</v>
      </c>
      <c r="K323" s="121">
        <v>325260</v>
      </c>
      <c r="L323" s="193">
        <v>513240</v>
      </c>
      <c r="M323" s="123">
        <v>780</v>
      </c>
      <c r="N323" s="123">
        <v>0</v>
      </c>
    </row>
    <row r="324" spans="1:17" x14ac:dyDescent="0.25">
      <c r="A324" s="138">
        <v>91338</v>
      </c>
      <c r="B324" s="133">
        <v>42933.42291666667</v>
      </c>
      <c r="C324" s="121">
        <v>30905830</v>
      </c>
      <c r="D324" s="121" t="s">
        <v>170</v>
      </c>
      <c r="E324" s="121" t="s">
        <v>174</v>
      </c>
      <c r="F324" s="121" t="s">
        <v>175</v>
      </c>
      <c r="G324" s="121" t="s">
        <v>387</v>
      </c>
      <c r="H324" s="121" t="s">
        <v>174</v>
      </c>
      <c r="I324" s="122">
        <v>581982</v>
      </c>
      <c r="J324" s="122"/>
      <c r="K324" s="121">
        <v>858534</v>
      </c>
      <c r="L324" s="193">
        <v>581982</v>
      </c>
      <c r="M324" s="123">
        <v>884.47112462006078</v>
      </c>
      <c r="N324" s="123">
        <v>0</v>
      </c>
    </row>
    <row r="325" spans="1:17" x14ac:dyDescent="0.25">
      <c r="A325" s="138">
        <v>66716</v>
      </c>
      <c r="B325" s="133">
        <v>42933.702777777777</v>
      </c>
      <c r="C325" s="121">
        <v>30975278</v>
      </c>
      <c r="D325" s="121" t="s">
        <v>170</v>
      </c>
      <c r="E325" s="121" t="s">
        <v>171</v>
      </c>
      <c r="F325" s="121" t="s">
        <v>175</v>
      </c>
      <c r="G325" s="121" t="s">
        <v>391</v>
      </c>
      <c r="H325" s="121" t="s">
        <v>173</v>
      </c>
      <c r="I325" s="122"/>
      <c r="J325" s="122">
        <v>526</v>
      </c>
      <c r="K325" s="121">
        <v>550449</v>
      </c>
      <c r="L325" s="193">
        <v>346108</v>
      </c>
      <c r="M325" s="123">
        <v>526</v>
      </c>
      <c r="N325" s="123">
        <v>0</v>
      </c>
    </row>
    <row r="326" spans="1:17" x14ac:dyDescent="0.25">
      <c r="A326" s="138">
        <v>45598</v>
      </c>
      <c r="B326" s="133">
        <v>42933.745138888888</v>
      </c>
      <c r="C326" s="121">
        <v>30975278</v>
      </c>
      <c r="D326" s="121" t="s">
        <v>170</v>
      </c>
      <c r="E326" s="121" t="s">
        <v>171</v>
      </c>
      <c r="F326" s="121" t="s">
        <v>176</v>
      </c>
      <c r="G326" s="121" t="s">
        <v>390</v>
      </c>
      <c r="H326" s="121" t="s">
        <v>173</v>
      </c>
      <c r="I326" s="122"/>
      <c r="J326" s="122">
        <v>878</v>
      </c>
      <c r="K326" s="121">
        <v>562672</v>
      </c>
      <c r="L326" s="193">
        <v>577724</v>
      </c>
      <c r="M326" s="123">
        <v>878</v>
      </c>
      <c r="N326" s="123">
        <v>0</v>
      </c>
    </row>
    <row r="327" spans="1:17" x14ac:dyDescent="0.25">
      <c r="A327" s="138">
        <v>92065</v>
      </c>
      <c r="B327" s="133">
        <v>42934.36041666667</v>
      </c>
      <c r="C327" s="121">
        <v>30975278</v>
      </c>
      <c r="D327" s="121" t="s">
        <v>170</v>
      </c>
      <c r="E327" s="121" t="s">
        <v>171</v>
      </c>
      <c r="F327" s="121" t="s">
        <v>175</v>
      </c>
      <c r="G327" s="121" t="s">
        <v>386</v>
      </c>
      <c r="H327" s="121" t="s">
        <v>173</v>
      </c>
      <c r="I327" s="122"/>
      <c r="J327" s="122">
        <v>585</v>
      </c>
      <c r="K327" s="121">
        <v>621025</v>
      </c>
      <c r="L327" s="193">
        <v>384930</v>
      </c>
      <c r="M327" s="123">
        <v>585</v>
      </c>
      <c r="N327" s="123">
        <v>0</v>
      </c>
    </row>
    <row r="328" spans="1:17" x14ac:dyDescent="0.25">
      <c r="A328" s="138">
        <v>18607</v>
      </c>
      <c r="B328" s="133">
        <v>42934.38958333333</v>
      </c>
      <c r="C328" s="121">
        <v>30975278</v>
      </c>
      <c r="D328" s="121" t="s">
        <v>170</v>
      </c>
      <c r="E328" s="121" t="s">
        <v>171</v>
      </c>
      <c r="F328" s="121" t="s">
        <v>176</v>
      </c>
      <c r="G328" s="121" t="s">
        <v>472</v>
      </c>
      <c r="H328" s="121" t="s">
        <v>173</v>
      </c>
      <c r="I328" s="122"/>
      <c r="J328" s="122">
        <v>585</v>
      </c>
      <c r="K328" s="121">
        <v>822383</v>
      </c>
      <c r="L328" s="193">
        <v>384930</v>
      </c>
      <c r="M328" s="123">
        <v>585</v>
      </c>
      <c r="N328" s="123">
        <v>0</v>
      </c>
      <c r="Q328" s="60" t="s">
        <v>312</v>
      </c>
    </row>
    <row r="329" spans="1:17" x14ac:dyDescent="0.25">
      <c r="A329" s="138">
        <v>55420</v>
      </c>
      <c r="B329" s="133">
        <v>42934.428472222222</v>
      </c>
      <c r="C329" s="121">
        <v>30975278</v>
      </c>
      <c r="D329" s="121" t="s">
        <v>170</v>
      </c>
      <c r="E329" s="121" t="s">
        <v>171</v>
      </c>
      <c r="F329" s="121" t="s">
        <v>172</v>
      </c>
      <c r="G329" s="121" t="s">
        <v>392</v>
      </c>
      <c r="H329" s="121" t="s">
        <v>173</v>
      </c>
      <c r="I329" s="122"/>
      <c r="J329" s="122">
        <v>780</v>
      </c>
      <c r="K329" s="121">
        <v>22</v>
      </c>
      <c r="L329" s="193">
        <v>513240</v>
      </c>
      <c r="M329" s="123">
        <v>780</v>
      </c>
      <c r="N329" s="123">
        <v>0</v>
      </c>
    </row>
    <row r="330" spans="1:17" x14ac:dyDescent="0.25">
      <c r="A330" s="138">
        <v>71570</v>
      </c>
      <c r="B330" s="133">
        <v>42934.549305555556</v>
      </c>
      <c r="C330" s="121">
        <v>30905830</v>
      </c>
      <c r="D330" s="121" t="s">
        <v>170</v>
      </c>
      <c r="E330" s="121" t="s">
        <v>174</v>
      </c>
      <c r="F330" s="121" t="s">
        <v>175</v>
      </c>
      <c r="G330" s="121" t="s">
        <v>473</v>
      </c>
      <c r="H330" s="121" t="s">
        <v>174</v>
      </c>
      <c r="I330" s="122">
        <v>163402</v>
      </c>
      <c r="J330" s="122"/>
      <c r="K330" s="121">
        <v>538063</v>
      </c>
      <c r="L330" s="193">
        <v>163402</v>
      </c>
      <c r="M330" s="123">
        <v>248.33130699088147</v>
      </c>
      <c r="N330" s="123">
        <v>485232</v>
      </c>
    </row>
    <row r="331" spans="1:17" x14ac:dyDescent="0.25">
      <c r="A331" s="138">
        <v>38497</v>
      </c>
      <c r="B331" s="133">
        <v>42934.550694444442</v>
      </c>
      <c r="C331" s="121">
        <v>30975278</v>
      </c>
      <c r="D331" s="121" t="s">
        <v>170</v>
      </c>
      <c r="E331" s="121" t="s">
        <v>171</v>
      </c>
      <c r="F331" s="121" t="s">
        <v>175</v>
      </c>
      <c r="G331" s="121" t="s">
        <v>474</v>
      </c>
      <c r="H331" s="121" t="s">
        <v>173</v>
      </c>
      <c r="I331" s="122"/>
      <c r="J331" s="122">
        <v>220</v>
      </c>
      <c r="K331" s="121">
        <v>87753</v>
      </c>
      <c r="L331" s="193">
        <v>144760</v>
      </c>
      <c r="M331" s="123">
        <v>220</v>
      </c>
      <c r="N331" s="123">
        <v>674450</v>
      </c>
    </row>
    <row r="332" spans="1:17" x14ac:dyDescent="0.25">
      <c r="A332" s="138">
        <v>53566</v>
      </c>
      <c r="B332" s="133">
        <v>42934.552083333336</v>
      </c>
      <c r="C332" s="121">
        <v>30975278</v>
      </c>
      <c r="D332" s="121" t="s">
        <v>170</v>
      </c>
      <c r="E332" s="121" t="s">
        <v>171</v>
      </c>
      <c r="F332" s="121" t="s">
        <v>175</v>
      </c>
      <c r="G332" s="121" t="s">
        <v>475</v>
      </c>
      <c r="H332" s="121" t="s">
        <v>173</v>
      </c>
      <c r="I332" s="122"/>
      <c r="J332" s="122">
        <v>176</v>
      </c>
      <c r="K332" s="121" t="s">
        <v>476</v>
      </c>
      <c r="L332" s="193">
        <v>115808</v>
      </c>
      <c r="M332" s="123">
        <v>176</v>
      </c>
      <c r="N332" s="123">
        <v>609637</v>
      </c>
    </row>
    <row r="333" spans="1:17" x14ac:dyDescent="0.25">
      <c r="A333" s="138">
        <v>98804</v>
      </c>
      <c r="B333" s="133">
        <v>42934.554166666669</v>
      </c>
      <c r="C333" s="121">
        <v>30905830</v>
      </c>
      <c r="D333" s="121" t="s">
        <v>170</v>
      </c>
      <c r="E333" s="121" t="s">
        <v>174</v>
      </c>
      <c r="F333" s="121" t="s">
        <v>175</v>
      </c>
      <c r="G333" s="121" t="s">
        <v>477</v>
      </c>
      <c r="H333" s="121" t="s">
        <v>174</v>
      </c>
      <c r="I333" s="122">
        <v>152456</v>
      </c>
      <c r="J333" s="122"/>
      <c r="K333" s="121">
        <v>401331</v>
      </c>
      <c r="L333" s="193">
        <v>152456</v>
      </c>
      <c r="M333" s="123">
        <v>231.69604863221883</v>
      </c>
      <c r="N333" s="123">
        <v>603561</v>
      </c>
    </row>
    <row r="334" spans="1:17" x14ac:dyDescent="0.25">
      <c r="A334" s="138">
        <v>97042</v>
      </c>
      <c r="B334" s="133">
        <v>42934.555555555555</v>
      </c>
      <c r="C334" s="121">
        <v>30975278</v>
      </c>
      <c r="D334" s="121" t="s">
        <v>170</v>
      </c>
      <c r="E334" s="121" t="s">
        <v>171</v>
      </c>
      <c r="F334" s="121" t="s">
        <v>172</v>
      </c>
      <c r="G334" s="121" t="s">
        <v>478</v>
      </c>
      <c r="H334" s="121" t="s">
        <v>173</v>
      </c>
      <c r="I334" s="122"/>
      <c r="J334" s="122">
        <v>195</v>
      </c>
      <c r="K334" s="121">
        <v>51</v>
      </c>
      <c r="L334" s="193">
        <v>128310</v>
      </c>
      <c r="M334" s="123">
        <v>195</v>
      </c>
      <c r="N334" s="123">
        <v>384930</v>
      </c>
    </row>
    <row r="335" spans="1:17" x14ac:dyDescent="0.25">
      <c r="A335" s="138">
        <v>66393</v>
      </c>
      <c r="B335" s="133">
        <v>42934.556944444441</v>
      </c>
      <c r="C335" s="121">
        <v>30975278</v>
      </c>
      <c r="D335" s="121" t="s">
        <v>170</v>
      </c>
      <c r="E335" s="121" t="s">
        <v>171</v>
      </c>
      <c r="F335" s="121" t="s">
        <v>176</v>
      </c>
      <c r="G335" s="121" t="s">
        <v>479</v>
      </c>
      <c r="H335" s="121" t="s">
        <v>173</v>
      </c>
      <c r="I335" s="122"/>
      <c r="J335" s="122">
        <v>585</v>
      </c>
      <c r="K335" s="121">
        <v>20807</v>
      </c>
      <c r="L335" s="193">
        <v>384930</v>
      </c>
      <c r="M335" s="123">
        <v>585</v>
      </c>
      <c r="N335" s="123">
        <v>1204140</v>
      </c>
    </row>
    <row r="336" spans="1:17" x14ac:dyDescent="0.25">
      <c r="A336" s="138">
        <v>40571</v>
      </c>
      <c r="B336" s="133" t="s">
        <v>576</v>
      </c>
      <c r="C336" s="121" t="s">
        <v>243</v>
      </c>
      <c r="D336" s="121" t="s">
        <v>170</v>
      </c>
      <c r="E336" s="121" t="s">
        <v>565</v>
      </c>
      <c r="F336" s="121" t="s">
        <v>172</v>
      </c>
      <c r="G336" s="121"/>
      <c r="H336" s="121" t="s">
        <v>173</v>
      </c>
      <c r="I336" s="122">
        <v>0</v>
      </c>
      <c r="J336" s="122">
        <v>0</v>
      </c>
      <c r="K336" s="121" t="s">
        <v>577</v>
      </c>
      <c r="L336" s="193">
        <v>0</v>
      </c>
      <c r="M336" s="123">
        <v>0</v>
      </c>
      <c r="N336" s="123">
        <v>0</v>
      </c>
    </row>
    <row r="337" spans="1:14" x14ac:dyDescent="0.25">
      <c r="A337" s="138">
        <v>40571</v>
      </c>
      <c r="B337" s="133" t="s">
        <v>576</v>
      </c>
      <c r="C337" s="121" t="s">
        <v>243</v>
      </c>
      <c r="D337" s="121" t="s">
        <v>170</v>
      </c>
      <c r="E337" s="121" t="s">
        <v>565</v>
      </c>
      <c r="F337" s="121" t="s">
        <v>172</v>
      </c>
      <c r="G337" s="121" t="s">
        <v>480</v>
      </c>
      <c r="H337" s="121" t="s">
        <v>173</v>
      </c>
      <c r="I337" s="122"/>
      <c r="J337" s="122">
        <v>-195</v>
      </c>
      <c r="K337" s="121" t="s">
        <v>577</v>
      </c>
      <c r="L337" s="193">
        <v>-128310</v>
      </c>
      <c r="M337" s="123">
        <v>-195</v>
      </c>
      <c r="N337" s="123">
        <v>0</v>
      </c>
    </row>
    <row r="338" spans="1:14" x14ac:dyDescent="0.25">
      <c r="A338" s="138">
        <v>40571</v>
      </c>
      <c r="B338" s="133">
        <v>42935.393750000003</v>
      </c>
      <c r="C338" s="121">
        <v>30975278</v>
      </c>
      <c r="D338" s="121" t="s">
        <v>170</v>
      </c>
      <c r="E338" s="121" t="s">
        <v>171</v>
      </c>
      <c r="F338" s="121" t="s">
        <v>172</v>
      </c>
      <c r="G338" s="121" t="s">
        <v>480</v>
      </c>
      <c r="H338" s="121" t="s">
        <v>173</v>
      </c>
      <c r="I338" s="122"/>
      <c r="J338" s="122">
        <v>195</v>
      </c>
      <c r="K338" s="121">
        <v>17</v>
      </c>
      <c r="L338" s="193">
        <v>128310</v>
      </c>
      <c r="M338" s="123">
        <v>195</v>
      </c>
      <c r="N338" s="123">
        <v>0</v>
      </c>
    </row>
    <row r="339" spans="1:14" x14ac:dyDescent="0.25">
      <c r="A339" s="138">
        <v>30258</v>
      </c>
      <c r="B339" s="133">
        <v>42935.422222222223</v>
      </c>
      <c r="C339" s="121">
        <v>30905830</v>
      </c>
      <c r="D339" s="121" t="s">
        <v>170</v>
      </c>
      <c r="E339" s="121" t="s">
        <v>174</v>
      </c>
      <c r="F339" s="121" t="s">
        <v>176</v>
      </c>
      <c r="G339" s="121" t="s">
        <v>440</v>
      </c>
      <c r="H339" s="121" t="s">
        <v>174</v>
      </c>
      <c r="I339" s="122">
        <v>289227</v>
      </c>
      <c r="J339" s="122"/>
      <c r="K339" s="121">
        <v>390709</v>
      </c>
      <c r="L339" s="193">
        <v>289227</v>
      </c>
      <c r="M339" s="123">
        <v>439.55471124620061</v>
      </c>
      <c r="N339" s="123">
        <v>0</v>
      </c>
    </row>
    <row r="340" spans="1:14" x14ac:dyDescent="0.25">
      <c r="A340" s="138">
        <v>97042</v>
      </c>
      <c r="B340" s="133">
        <v>42935.490277777775</v>
      </c>
      <c r="C340" s="121">
        <v>30975278</v>
      </c>
      <c r="D340" s="121" t="s">
        <v>170</v>
      </c>
      <c r="E340" s="121" t="s">
        <v>171</v>
      </c>
      <c r="F340" s="121" t="s">
        <v>172</v>
      </c>
      <c r="G340" s="121" t="s">
        <v>478</v>
      </c>
      <c r="H340" s="121" t="s">
        <v>173</v>
      </c>
      <c r="I340" s="122"/>
      <c r="J340" s="122">
        <v>390</v>
      </c>
      <c r="K340" s="121">
        <v>11</v>
      </c>
      <c r="L340" s="193">
        <v>256620</v>
      </c>
      <c r="M340" s="123">
        <v>390</v>
      </c>
      <c r="N340" s="123">
        <v>384930</v>
      </c>
    </row>
    <row r="341" spans="1:14" x14ac:dyDescent="0.25">
      <c r="A341" s="138">
        <v>4042</v>
      </c>
      <c r="B341" s="133">
        <v>42936.402777777781</v>
      </c>
      <c r="C341" s="121">
        <v>30975278</v>
      </c>
      <c r="D341" s="121" t="s">
        <v>170</v>
      </c>
      <c r="E341" s="121" t="s">
        <v>171</v>
      </c>
      <c r="F341" s="121" t="s">
        <v>175</v>
      </c>
      <c r="G341" s="121" t="s">
        <v>481</v>
      </c>
      <c r="H341" s="121" t="s">
        <v>173</v>
      </c>
      <c r="I341" s="122"/>
      <c r="J341" s="122">
        <v>220</v>
      </c>
      <c r="K341" s="121" t="s">
        <v>482</v>
      </c>
      <c r="L341" s="193">
        <v>144760</v>
      </c>
      <c r="M341" s="123">
        <v>220</v>
      </c>
      <c r="N341" s="123">
        <v>523110</v>
      </c>
    </row>
    <row r="342" spans="1:14" x14ac:dyDescent="0.25">
      <c r="A342" s="138">
        <v>75672</v>
      </c>
      <c r="B342" s="133">
        <v>42936.708333333336</v>
      </c>
      <c r="C342" s="121">
        <v>30975278</v>
      </c>
      <c r="D342" s="121" t="s">
        <v>170</v>
      </c>
      <c r="E342" s="121" t="s">
        <v>171</v>
      </c>
      <c r="F342" s="121" t="s">
        <v>175</v>
      </c>
      <c r="G342" s="121" t="s">
        <v>393</v>
      </c>
      <c r="H342" s="121" t="s">
        <v>173</v>
      </c>
      <c r="I342" s="122"/>
      <c r="J342" s="122">
        <v>278</v>
      </c>
      <c r="K342" s="121">
        <v>79278</v>
      </c>
      <c r="L342" s="193">
        <v>182924</v>
      </c>
      <c r="M342" s="123">
        <v>278</v>
      </c>
      <c r="N342" s="123">
        <v>0</v>
      </c>
    </row>
    <row r="343" spans="1:14" x14ac:dyDescent="0.25">
      <c r="A343" s="138">
        <v>25005</v>
      </c>
      <c r="B343" s="133">
        <v>42936.827777777777</v>
      </c>
      <c r="C343" s="121">
        <v>30975278</v>
      </c>
      <c r="D343" s="121" t="s">
        <v>170</v>
      </c>
      <c r="E343" s="121" t="s">
        <v>171</v>
      </c>
      <c r="F343" s="121" t="s">
        <v>175</v>
      </c>
      <c r="G343" s="121" t="s">
        <v>483</v>
      </c>
      <c r="H343" s="121" t="s">
        <v>173</v>
      </c>
      <c r="I343" s="122"/>
      <c r="J343" s="122">
        <v>195</v>
      </c>
      <c r="K343" s="121">
        <v>951575</v>
      </c>
      <c r="L343" s="193">
        <v>128310</v>
      </c>
      <c r="M343" s="123">
        <v>195</v>
      </c>
      <c r="N343" s="123">
        <v>128310</v>
      </c>
    </row>
    <row r="344" spans="1:14" x14ac:dyDescent="0.25">
      <c r="A344" s="138">
        <v>92065</v>
      </c>
      <c r="B344" s="133">
        <v>42937.454861111109</v>
      </c>
      <c r="C344" s="121">
        <v>30905830</v>
      </c>
      <c r="D344" s="121" t="s">
        <v>170</v>
      </c>
      <c r="E344" s="121" t="s">
        <v>174</v>
      </c>
      <c r="F344" s="121" t="s">
        <v>175</v>
      </c>
      <c r="G344" s="121" t="s">
        <v>386</v>
      </c>
      <c r="H344" s="121" t="s">
        <v>174</v>
      </c>
      <c r="I344" s="122">
        <v>3000</v>
      </c>
      <c r="J344" s="122"/>
      <c r="K344" s="121">
        <v>321142</v>
      </c>
      <c r="L344" s="193">
        <v>3000</v>
      </c>
      <c r="M344" s="123">
        <v>4.5592705167173255</v>
      </c>
      <c r="N344" s="123">
        <v>0</v>
      </c>
    </row>
    <row r="345" spans="1:14" x14ac:dyDescent="0.25">
      <c r="A345" s="138">
        <v>96525</v>
      </c>
      <c r="B345" s="133">
        <v>42937.463194444441</v>
      </c>
      <c r="C345" s="121">
        <v>30975278</v>
      </c>
      <c r="D345" s="121" t="s">
        <v>170</v>
      </c>
      <c r="E345" s="121" t="s">
        <v>171</v>
      </c>
      <c r="F345" s="121" t="s">
        <v>176</v>
      </c>
      <c r="G345" s="121" t="s">
        <v>389</v>
      </c>
      <c r="H345" s="121" t="s">
        <v>173</v>
      </c>
      <c r="I345" s="122"/>
      <c r="J345" s="122">
        <v>195</v>
      </c>
      <c r="K345" s="121">
        <v>510267</v>
      </c>
      <c r="L345" s="193">
        <v>128310</v>
      </c>
      <c r="M345" s="123">
        <v>195</v>
      </c>
      <c r="N345" s="123">
        <v>0</v>
      </c>
    </row>
    <row r="346" spans="1:14" x14ac:dyDescent="0.25">
      <c r="A346" s="138">
        <v>88938</v>
      </c>
      <c r="B346" s="133">
        <v>42937.576388888891</v>
      </c>
      <c r="C346" s="121">
        <v>30975278</v>
      </c>
      <c r="D346" s="121" t="s">
        <v>170</v>
      </c>
      <c r="E346" s="121" t="s">
        <v>171</v>
      </c>
      <c r="F346" s="121" t="s">
        <v>175</v>
      </c>
      <c r="G346" s="121" t="s">
        <v>484</v>
      </c>
      <c r="H346" s="121" t="s">
        <v>173</v>
      </c>
      <c r="I346" s="122"/>
      <c r="J346" s="122">
        <v>195</v>
      </c>
      <c r="K346" s="121">
        <v>530053</v>
      </c>
      <c r="L346" s="193">
        <v>128310</v>
      </c>
      <c r="M346" s="123">
        <v>195</v>
      </c>
      <c r="N346" s="123">
        <v>0</v>
      </c>
    </row>
    <row r="347" spans="1:14" x14ac:dyDescent="0.25">
      <c r="A347" s="138">
        <v>291</v>
      </c>
      <c r="B347" s="133">
        <v>42937.57708333333</v>
      </c>
      <c r="C347" s="121">
        <v>30975278</v>
      </c>
      <c r="D347" s="121" t="s">
        <v>170</v>
      </c>
      <c r="E347" s="121" t="s">
        <v>171</v>
      </c>
      <c r="F347" s="121" t="s">
        <v>175</v>
      </c>
      <c r="G347" s="121" t="s">
        <v>485</v>
      </c>
      <c r="H347" s="121" t="s">
        <v>173</v>
      </c>
      <c r="I347" s="122"/>
      <c r="J347" s="122">
        <v>195</v>
      </c>
      <c r="K347" s="121" t="s">
        <v>486</v>
      </c>
      <c r="L347" s="193">
        <v>128310</v>
      </c>
      <c r="M347" s="123">
        <v>195</v>
      </c>
      <c r="N347" s="123">
        <v>513240</v>
      </c>
    </row>
    <row r="348" spans="1:14" x14ac:dyDescent="0.25">
      <c r="A348" s="138">
        <v>48024</v>
      </c>
      <c r="B348" s="133">
        <v>42937.578472222223</v>
      </c>
      <c r="C348" s="121">
        <v>30975278</v>
      </c>
      <c r="D348" s="121" t="s">
        <v>170</v>
      </c>
      <c r="E348" s="121" t="s">
        <v>171</v>
      </c>
      <c r="F348" s="121" t="s">
        <v>175</v>
      </c>
      <c r="G348" s="121" t="s">
        <v>487</v>
      </c>
      <c r="H348" s="121" t="s">
        <v>173</v>
      </c>
      <c r="I348" s="122"/>
      <c r="J348" s="122">
        <v>175</v>
      </c>
      <c r="K348" s="121">
        <v>37405</v>
      </c>
      <c r="L348" s="193">
        <v>115150</v>
      </c>
      <c r="M348" s="123">
        <v>175</v>
      </c>
      <c r="N348" s="123">
        <v>346108</v>
      </c>
    </row>
    <row r="349" spans="1:14" x14ac:dyDescent="0.25">
      <c r="A349" s="138">
        <v>14697</v>
      </c>
      <c r="B349" s="133">
        <v>42937.580555555556</v>
      </c>
      <c r="C349" s="121">
        <v>30905830</v>
      </c>
      <c r="D349" s="121" t="s">
        <v>170</v>
      </c>
      <c r="E349" s="121" t="s">
        <v>174</v>
      </c>
      <c r="F349" s="121" t="s">
        <v>175</v>
      </c>
      <c r="G349" s="121" t="s">
        <v>488</v>
      </c>
      <c r="H349" s="121" t="s">
        <v>174</v>
      </c>
      <c r="I349" s="122">
        <v>136167</v>
      </c>
      <c r="J349" s="122"/>
      <c r="K349" s="121">
        <v>900307</v>
      </c>
      <c r="L349" s="193">
        <v>136167</v>
      </c>
      <c r="M349" s="123">
        <v>206.94072948328267</v>
      </c>
      <c r="N349" s="123">
        <v>0</v>
      </c>
    </row>
    <row r="350" spans="1:14" x14ac:dyDescent="0.25">
      <c r="A350" s="138">
        <v>94232</v>
      </c>
      <c r="B350" s="133">
        <v>42940.446527777778</v>
      </c>
      <c r="C350" s="121">
        <v>30975278</v>
      </c>
      <c r="D350" s="121" t="s">
        <v>170</v>
      </c>
      <c r="E350" s="121" t="s">
        <v>171</v>
      </c>
      <c r="F350" s="121" t="s">
        <v>175</v>
      </c>
      <c r="G350" s="121" t="s">
        <v>489</v>
      </c>
      <c r="H350" s="121" t="s">
        <v>173</v>
      </c>
      <c r="I350" s="122"/>
      <c r="J350" s="122">
        <v>390</v>
      </c>
      <c r="K350" s="121">
        <v>541373</v>
      </c>
      <c r="L350" s="193">
        <v>256620</v>
      </c>
      <c r="M350" s="123">
        <v>390</v>
      </c>
      <c r="N350" s="123">
        <v>0</v>
      </c>
    </row>
    <row r="351" spans="1:14" x14ac:dyDescent="0.25">
      <c r="A351" s="138">
        <v>32487</v>
      </c>
      <c r="B351" s="133">
        <v>42941.397916666669</v>
      </c>
      <c r="C351" s="121">
        <v>30975278</v>
      </c>
      <c r="D351" s="121" t="s">
        <v>170</v>
      </c>
      <c r="E351" s="121" t="s">
        <v>171</v>
      </c>
      <c r="F351" s="121" t="s">
        <v>176</v>
      </c>
      <c r="G351" s="121" t="s">
        <v>490</v>
      </c>
      <c r="H351" s="121" t="s">
        <v>173</v>
      </c>
      <c r="I351" s="122"/>
      <c r="J351" s="122">
        <v>176</v>
      </c>
      <c r="K351" s="121">
        <v>361055</v>
      </c>
      <c r="L351" s="193">
        <v>115808</v>
      </c>
      <c r="M351" s="123">
        <v>176</v>
      </c>
      <c r="N351" s="123">
        <v>230958</v>
      </c>
    </row>
    <row r="352" spans="1:14" x14ac:dyDescent="0.25">
      <c r="A352" s="138">
        <v>17156</v>
      </c>
      <c r="B352" s="133">
        <v>42941.469444444447</v>
      </c>
      <c r="C352" s="121">
        <v>30975278</v>
      </c>
      <c r="D352" s="121" t="s">
        <v>170</v>
      </c>
      <c r="E352" s="121" t="s">
        <v>171</v>
      </c>
      <c r="F352" s="121" t="s">
        <v>176</v>
      </c>
      <c r="G352" s="121" t="s">
        <v>491</v>
      </c>
      <c r="H352" s="121" t="s">
        <v>173</v>
      </c>
      <c r="I352" s="122"/>
      <c r="J352" s="122">
        <v>176</v>
      </c>
      <c r="K352" s="121">
        <v>373850</v>
      </c>
      <c r="L352" s="193">
        <v>115808</v>
      </c>
      <c r="M352" s="123">
        <v>176</v>
      </c>
      <c r="N352" s="123">
        <v>115479</v>
      </c>
    </row>
    <row r="353" spans="1:17" x14ac:dyDescent="0.25">
      <c r="A353" s="138">
        <v>75642</v>
      </c>
      <c r="B353" s="133">
        <v>42941.47152777778</v>
      </c>
      <c r="C353" s="121">
        <v>30975278</v>
      </c>
      <c r="D353" s="121" t="s">
        <v>170</v>
      </c>
      <c r="E353" s="121" t="s">
        <v>171</v>
      </c>
      <c r="F353" s="121" t="s">
        <v>176</v>
      </c>
      <c r="G353" s="121" t="s">
        <v>492</v>
      </c>
      <c r="H353" s="121" t="s">
        <v>173</v>
      </c>
      <c r="I353" s="122"/>
      <c r="J353" s="122">
        <v>195</v>
      </c>
      <c r="K353" s="121">
        <v>615277</v>
      </c>
      <c r="L353" s="193">
        <v>128310</v>
      </c>
      <c r="M353" s="123">
        <v>195</v>
      </c>
      <c r="N353" s="123">
        <v>898170</v>
      </c>
    </row>
    <row r="354" spans="1:17" x14ac:dyDescent="0.25">
      <c r="A354" s="138">
        <v>59699</v>
      </c>
      <c r="B354" s="133">
        <v>42941.472222222219</v>
      </c>
      <c r="C354" s="121">
        <v>30975278</v>
      </c>
      <c r="D354" s="121" t="s">
        <v>170</v>
      </c>
      <c r="E354" s="121" t="s">
        <v>171</v>
      </c>
      <c r="F354" s="121" t="s">
        <v>172</v>
      </c>
      <c r="G354" s="121" t="s">
        <v>493</v>
      </c>
      <c r="H354" s="121" t="s">
        <v>173</v>
      </c>
      <c r="I354" s="122"/>
      <c r="J354" s="122">
        <v>176</v>
      </c>
      <c r="K354" s="121">
        <v>18</v>
      </c>
      <c r="L354" s="193">
        <v>115808</v>
      </c>
      <c r="M354" s="123">
        <v>176</v>
      </c>
      <c r="N354" s="123">
        <v>461916</v>
      </c>
    </row>
    <row r="355" spans="1:17" x14ac:dyDescent="0.25">
      <c r="A355" s="138">
        <v>83045</v>
      </c>
      <c r="B355" s="133">
        <v>42941.473611111112</v>
      </c>
      <c r="C355" s="121">
        <v>30975278</v>
      </c>
      <c r="D355" s="121" t="s">
        <v>170</v>
      </c>
      <c r="E355" s="121" t="s">
        <v>171</v>
      </c>
      <c r="F355" s="121" t="s">
        <v>176</v>
      </c>
      <c r="G355" s="121" t="s">
        <v>494</v>
      </c>
      <c r="H355" s="121" t="s">
        <v>173</v>
      </c>
      <c r="I355" s="122"/>
      <c r="J355" s="122">
        <v>195</v>
      </c>
      <c r="K355" s="121">
        <v>13786</v>
      </c>
      <c r="L355" s="193">
        <v>128310</v>
      </c>
      <c r="M355" s="123">
        <v>195</v>
      </c>
      <c r="N355" s="123">
        <v>769860</v>
      </c>
    </row>
    <row r="356" spans="1:17" x14ac:dyDescent="0.25">
      <c r="A356" s="138">
        <v>13931</v>
      </c>
      <c r="B356" s="133">
        <v>42941.474305555559</v>
      </c>
      <c r="C356" s="121">
        <v>30975278</v>
      </c>
      <c r="D356" s="121" t="s">
        <v>170</v>
      </c>
      <c r="E356" s="121" t="s">
        <v>171</v>
      </c>
      <c r="F356" s="121" t="s">
        <v>175</v>
      </c>
      <c r="G356" s="121" t="s">
        <v>495</v>
      </c>
      <c r="H356" s="121" t="s">
        <v>173</v>
      </c>
      <c r="I356" s="122"/>
      <c r="J356" s="122">
        <v>195</v>
      </c>
      <c r="K356" s="121">
        <v>800650</v>
      </c>
      <c r="L356" s="193">
        <v>128310</v>
      </c>
      <c r="M356" s="123">
        <v>195</v>
      </c>
      <c r="N356" s="123">
        <v>513240</v>
      </c>
    </row>
    <row r="357" spans="1:17" x14ac:dyDescent="0.25">
      <c r="A357" s="138">
        <v>8872</v>
      </c>
      <c r="B357" s="133">
        <v>42941.477083333331</v>
      </c>
      <c r="C357" s="121">
        <v>30975278</v>
      </c>
      <c r="D357" s="121" t="s">
        <v>170</v>
      </c>
      <c r="E357" s="121" t="s">
        <v>171</v>
      </c>
      <c r="F357" s="121" t="s">
        <v>176</v>
      </c>
      <c r="G357" s="121" t="s">
        <v>496</v>
      </c>
      <c r="H357" s="121" t="s">
        <v>173</v>
      </c>
      <c r="I357" s="122"/>
      <c r="J357" s="122">
        <v>195</v>
      </c>
      <c r="K357" s="121">
        <v>82618</v>
      </c>
      <c r="L357" s="193">
        <v>128310</v>
      </c>
      <c r="M357" s="123">
        <v>195</v>
      </c>
      <c r="N357" s="123">
        <v>769860</v>
      </c>
    </row>
    <row r="358" spans="1:17" x14ac:dyDescent="0.25">
      <c r="A358" s="138">
        <v>74211</v>
      </c>
      <c r="B358" s="133">
        <v>42941.479166666664</v>
      </c>
      <c r="C358" s="121">
        <v>30975278</v>
      </c>
      <c r="D358" s="121" t="s">
        <v>170</v>
      </c>
      <c r="E358" s="121" t="s">
        <v>171</v>
      </c>
      <c r="F358" s="121" t="s">
        <v>176</v>
      </c>
      <c r="G358" s="121" t="s">
        <v>497</v>
      </c>
      <c r="H358" s="121" t="s">
        <v>173</v>
      </c>
      <c r="I358" s="122"/>
      <c r="J358" s="122">
        <v>195</v>
      </c>
      <c r="K358" s="121">
        <v>42899</v>
      </c>
      <c r="L358" s="193">
        <v>128310</v>
      </c>
      <c r="M358" s="123">
        <v>195</v>
      </c>
      <c r="N358" s="123">
        <v>128310</v>
      </c>
    </row>
    <row r="359" spans="1:17" x14ac:dyDescent="0.25">
      <c r="A359" s="138">
        <v>53137</v>
      </c>
      <c r="B359" s="133">
        <v>42941.526388888888</v>
      </c>
      <c r="C359" s="121">
        <v>30975278</v>
      </c>
      <c r="D359" s="121" t="s">
        <v>170</v>
      </c>
      <c r="E359" s="121" t="s">
        <v>171</v>
      </c>
      <c r="F359" s="121" t="s">
        <v>176</v>
      </c>
      <c r="G359" s="121" t="s">
        <v>417</v>
      </c>
      <c r="H359" s="121" t="s">
        <v>173</v>
      </c>
      <c r="I359" s="122"/>
      <c r="J359" s="122">
        <v>1170</v>
      </c>
      <c r="K359" s="121">
        <v>610612</v>
      </c>
      <c r="L359" s="193">
        <v>769860</v>
      </c>
      <c r="M359" s="123">
        <v>1170</v>
      </c>
      <c r="N359" s="123">
        <v>0</v>
      </c>
    </row>
    <row r="360" spans="1:17" x14ac:dyDescent="0.25">
      <c r="A360" s="138">
        <v>25903</v>
      </c>
      <c r="B360" s="133">
        <v>42941.552083333336</v>
      </c>
      <c r="C360" s="121">
        <v>30975278</v>
      </c>
      <c r="D360" s="121" t="s">
        <v>170</v>
      </c>
      <c r="E360" s="121" t="s">
        <v>171</v>
      </c>
      <c r="F360" s="121" t="s">
        <v>175</v>
      </c>
      <c r="G360" s="121" t="s">
        <v>498</v>
      </c>
      <c r="H360" s="121" t="s">
        <v>173</v>
      </c>
      <c r="I360" s="122"/>
      <c r="J360" s="122">
        <v>176</v>
      </c>
      <c r="K360" s="121">
        <v>73935</v>
      </c>
      <c r="L360" s="193">
        <v>115808</v>
      </c>
      <c r="M360" s="123">
        <v>176</v>
      </c>
      <c r="N360" s="123">
        <v>692874</v>
      </c>
      <c r="Q360" s="278" t="str">
        <f t="shared" ref="Q360:Q364" si="0">CONCATENATE(MID(B360,1,2),"-",MID(B360,4,2),"-",MID(B360,7,4))</f>
        <v>42-41-5520</v>
      </c>
    </row>
    <row r="361" spans="1:17" x14ac:dyDescent="0.25">
      <c r="A361" s="138">
        <v>37447</v>
      </c>
      <c r="B361" s="133">
        <v>42941.709722222222</v>
      </c>
      <c r="C361" s="121">
        <v>30975278</v>
      </c>
      <c r="D361" s="121" t="s">
        <v>170</v>
      </c>
      <c r="E361" s="121" t="s">
        <v>171</v>
      </c>
      <c r="F361" s="121" t="s">
        <v>175</v>
      </c>
      <c r="G361" s="121" t="s">
        <v>499</v>
      </c>
      <c r="H361" s="121" t="s">
        <v>173</v>
      </c>
      <c r="I361" s="122"/>
      <c r="J361" s="122">
        <v>360</v>
      </c>
      <c r="K361" s="121">
        <v>645558</v>
      </c>
      <c r="L361" s="193">
        <v>236880</v>
      </c>
      <c r="M361" s="123">
        <v>360</v>
      </c>
      <c r="N361" s="123">
        <v>0</v>
      </c>
      <c r="Q361" s="278" t="str">
        <f t="shared" si="0"/>
        <v>42-41-7097</v>
      </c>
    </row>
    <row r="362" spans="1:17" x14ac:dyDescent="0.25">
      <c r="A362" s="138">
        <v>37447</v>
      </c>
      <c r="B362" s="133">
        <v>42941.709722222222</v>
      </c>
      <c r="C362" s="121">
        <v>30975278</v>
      </c>
      <c r="D362" s="121" t="s">
        <v>170</v>
      </c>
      <c r="E362" s="121" t="s">
        <v>171</v>
      </c>
      <c r="F362" s="121" t="s">
        <v>175</v>
      </c>
      <c r="G362" s="121" t="s">
        <v>499</v>
      </c>
      <c r="H362" s="121" t="s">
        <v>173</v>
      </c>
      <c r="I362" s="122"/>
      <c r="J362" s="122">
        <v>-360</v>
      </c>
      <c r="K362" s="121">
        <v>645558</v>
      </c>
      <c r="L362" s="193">
        <v>-236880</v>
      </c>
      <c r="M362" s="123">
        <v>-360</v>
      </c>
      <c r="N362" s="123">
        <v>0</v>
      </c>
      <c r="Q362" s="278" t="str">
        <f t="shared" si="0"/>
        <v>42-41-7097</v>
      </c>
    </row>
    <row r="363" spans="1:17" x14ac:dyDescent="0.25">
      <c r="A363" s="138">
        <v>55032</v>
      </c>
      <c r="B363" s="133">
        <v>42941.788194444445</v>
      </c>
      <c r="C363" s="121">
        <v>30975278</v>
      </c>
      <c r="D363" s="121" t="s">
        <v>170</v>
      </c>
      <c r="E363" s="121" t="s">
        <v>171</v>
      </c>
      <c r="F363" s="121" t="s">
        <v>176</v>
      </c>
      <c r="G363" s="121" t="s">
        <v>500</v>
      </c>
      <c r="H363" s="121" t="s">
        <v>173</v>
      </c>
      <c r="I363" s="122"/>
      <c r="J363" s="122">
        <v>390</v>
      </c>
      <c r="K363" s="121">
        <v>131175</v>
      </c>
      <c r="L363" s="193">
        <v>256620</v>
      </c>
      <c r="M363" s="123">
        <v>390</v>
      </c>
      <c r="N363" s="123">
        <v>0</v>
      </c>
      <c r="Q363" s="278" t="str">
        <f t="shared" si="0"/>
        <v>42-41-7881</v>
      </c>
    </row>
    <row r="364" spans="1:17" x14ac:dyDescent="0.25">
      <c r="A364" s="138">
        <v>37447</v>
      </c>
      <c r="B364" s="133">
        <v>42942.364583333336</v>
      </c>
      <c r="C364" s="121">
        <v>30975278</v>
      </c>
      <c r="D364" s="121" t="s">
        <v>170</v>
      </c>
      <c r="E364" s="121" t="s">
        <v>171</v>
      </c>
      <c r="F364" s="121" t="s">
        <v>172</v>
      </c>
      <c r="G364" s="121" t="s">
        <v>394</v>
      </c>
      <c r="H364" s="121" t="s">
        <v>173</v>
      </c>
      <c r="I364" s="122"/>
      <c r="J364" s="122">
        <v>260</v>
      </c>
      <c r="K364" s="121">
        <v>21</v>
      </c>
      <c r="L364" s="193">
        <v>171080</v>
      </c>
      <c r="M364" s="123">
        <v>260</v>
      </c>
      <c r="N364" s="123">
        <v>0</v>
      </c>
      <c r="Q364" s="278" t="str">
        <f t="shared" si="0"/>
        <v>42-42-3645</v>
      </c>
    </row>
    <row r="365" spans="1:17" x14ac:dyDescent="0.25">
      <c r="A365" s="138">
        <v>96060</v>
      </c>
      <c r="B365" s="133">
        <v>42943.359722222223</v>
      </c>
      <c r="C365" s="121">
        <v>30975278</v>
      </c>
      <c r="D365" s="121" t="s">
        <v>170</v>
      </c>
      <c r="E365" s="121" t="s">
        <v>171</v>
      </c>
      <c r="F365" s="121" t="s">
        <v>176</v>
      </c>
      <c r="G365" s="121" t="s">
        <v>501</v>
      </c>
      <c r="H365" s="121" t="s">
        <v>173</v>
      </c>
      <c r="I365" s="122"/>
      <c r="J365" s="122">
        <v>195</v>
      </c>
      <c r="K365" s="121">
        <v>84082</v>
      </c>
      <c r="L365" s="193">
        <v>128310</v>
      </c>
      <c r="M365" s="123">
        <v>195</v>
      </c>
      <c r="N365" s="123">
        <v>641550</v>
      </c>
      <c r="Q365" s="278" t="str">
        <f>CONCATENATE(MID(B365,1,2),"-",MID(B365,4,2),"-",MID(B365,7,4))</f>
        <v>42-43-3597</v>
      </c>
    </row>
    <row r="366" spans="1:17" x14ac:dyDescent="0.25">
      <c r="A366" s="138">
        <v>40571</v>
      </c>
      <c r="B366" s="133">
        <v>42943.361805555556</v>
      </c>
      <c r="C366" s="121">
        <v>30905830</v>
      </c>
      <c r="D366" s="121" t="s">
        <v>170</v>
      </c>
      <c r="E366" s="121" t="s">
        <v>174</v>
      </c>
      <c r="F366" s="121" t="s">
        <v>172</v>
      </c>
      <c r="G366" s="121" t="s">
        <v>480</v>
      </c>
      <c r="H366" s="121" t="s">
        <v>174</v>
      </c>
      <c r="I366" s="122">
        <v>755322</v>
      </c>
      <c r="J366" s="122"/>
      <c r="K366" s="121">
        <v>18</v>
      </c>
      <c r="L366" s="193">
        <v>755322</v>
      </c>
      <c r="M366" s="123">
        <v>1147.9057750759878</v>
      </c>
      <c r="N366" s="123">
        <v>0</v>
      </c>
    </row>
    <row r="367" spans="1:17" x14ac:dyDescent="0.25">
      <c r="A367" s="138">
        <v>46675</v>
      </c>
      <c r="B367" s="133">
        <v>42944.365277777775</v>
      </c>
      <c r="C367" s="121">
        <v>30975278</v>
      </c>
      <c r="D367" s="121" t="s">
        <v>170</v>
      </c>
      <c r="E367" s="121" t="s">
        <v>171</v>
      </c>
      <c r="F367" s="121" t="s">
        <v>176</v>
      </c>
      <c r="G367" s="121" t="s">
        <v>420</v>
      </c>
      <c r="H367" s="121" t="s">
        <v>173</v>
      </c>
      <c r="I367" s="122"/>
      <c r="J367" s="122">
        <v>780</v>
      </c>
      <c r="K367" s="121">
        <v>491862</v>
      </c>
      <c r="L367" s="193">
        <v>513240</v>
      </c>
      <c r="M367" s="123">
        <v>780</v>
      </c>
      <c r="N367" s="123">
        <v>0</v>
      </c>
    </row>
    <row r="368" spans="1:17" x14ac:dyDescent="0.25">
      <c r="A368" s="138">
        <v>36071</v>
      </c>
      <c r="B368" s="133">
        <v>42944.39166666667</v>
      </c>
      <c r="C368" s="121">
        <v>30905830</v>
      </c>
      <c r="D368" s="121" t="s">
        <v>170</v>
      </c>
      <c r="E368" s="121" t="s">
        <v>174</v>
      </c>
      <c r="F368" s="121" t="s">
        <v>175</v>
      </c>
      <c r="G368" s="121" t="s">
        <v>502</v>
      </c>
      <c r="H368" s="121" t="s">
        <v>174</v>
      </c>
      <c r="I368" s="122">
        <v>135332</v>
      </c>
      <c r="J368" s="122"/>
      <c r="K368" s="121">
        <v>886303</v>
      </c>
      <c r="L368" s="193">
        <v>135332</v>
      </c>
      <c r="M368" s="123">
        <v>205.67173252279636</v>
      </c>
      <c r="N368" s="123">
        <v>645842</v>
      </c>
    </row>
    <row r="369" spans="1:14" x14ac:dyDescent="0.25">
      <c r="A369" s="138">
        <v>179618</v>
      </c>
      <c r="B369" s="133">
        <v>42944.550694444442</v>
      </c>
      <c r="C369" s="121">
        <v>30975278</v>
      </c>
      <c r="D369" s="121" t="s">
        <v>170</v>
      </c>
      <c r="E369" s="121" t="s">
        <v>171</v>
      </c>
      <c r="F369" s="121" t="s">
        <v>176</v>
      </c>
      <c r="G369" s="121" t="s">
        <v>395</v>
      </c>
      <c r="H369" s="121" t="s">
        <v>173</v>
      </c>
      <c r="I369" s="122"/>
      <c r="J369" s="122">
        <v>185</v>
      </c>
      <c r="K369" s="121">
        <v>47338</v>
      </c>
      <c r="L369" s="193">
        <v>121730</v>
      </c>
      <c r="M369" s="123">
        <v>185</v>
      </c>
      <c r="N369" s="123">
        <v>0</v>
      </c>
    </row>
    <row r="370" spans="1:14" x14ac:dyDescent="0.25">
      <c r="A370" s="138">
        <v>421</v>
      </c>
      <c r="B370" s="133">
        <v>42944.803472222222</v>
      </c>
      <c r="C370" s="121">
        <v>30905830</v>
      </c>
      <c r="D370" s="121" t="s">
        <v>170</v>
      </c>
      <c r="E370" s="121" t="s">
        <v>174</v>
      </c>
      <c r="F370" s="121" t="s">
        <v>175</v>
      </c>
      <c r="G370" s="121" t="s">
        <v>488</v>
      </c>
      <c r="H370" s="121" t="s">
        <v>174</v>
      </c>
      <c r="I370" s="122">
        <v>136167</v>
      </c>
      <c r="J370" s="122"/>
      <c r="K370" s="121">
        <v>242678</v>
      </c>
      <c r="L370" s="193">
        <v>136167</v>
      </c>
      <c r="M370" s="123">
        <v>206.94072948328267</v>
      </c>
      <c r="N370" s="123">
        <v>0</v>
      </c>
    </row>
    <row r="371" spans="1:14" x14ac:dyDescent="0.25">
      <c r="A371" s="138">
        <v>48166</v>
      </c>
      <c r="B371" s="133">
        <v>42945.413888888892</v>
      </c>
      <c r="C371" s="121">
        <v>30905830</v>
      </c>
      <c r="D371" s="121" t="s">
        <v>170</v>
      </c>
      <c r="E371" s="121" t="s">
        <v>174</v>
      </c>
      <c r="F371" s="121" t="s">
        <v>172</v>
      </c>
      <c r="G371" s="121" t="s">
        <v>503</v>
      </c>
      <c r="H371" s="121" t="s">
        <v>174</v>
      </c>
      <c r="I371" s="122">
        <v>5000</v>
      </c>
      <c r="J371" s="122"/>
      <c r="K371" s="121">
        <v>52</v>
      </c>
      <c r="L371" s="193">
        <v>5000</v>
      </c>
      <c r="M371" s="123">
        <v>7.598784194528875</v>
      </c>
      <c r="N371" s="123">
        <v>0</v>
      </c>
    </row>
    <row r="372" spans="1:14" x14ac:dyDescent="0.25">
      <c r="A372" s="138">
        <v>2488</v>
      </c>
      <c r="B372" s="133">
        <v>42945.704861111109</v>
      </c>
      <c r="C372" s="121">
        <v>30975278</v>
      </c>
      <c r="D372" s="121" t="s">
        <v>170</v>
      </c>
      <c r="E372" s="121" t="s">
        <v>171</v>
      </c>
      <c r="F372" s="121" t="s">
        <v>172</v>
      </c>
      <c r="G372" s="121" t="s">
        <v>454</v>
      </c>
      <c r="H372" s="121" t="s">
        <v>173</v>
      </c>
      <c r="I372" s="122"/>
      <c r="J372" s="122">
        <v>195</v>
      </c>
      <c r="K372" s="121">
        <v>21</v>
      </c>
      <c r="L372" s="193">
        <v>128310</v>
      </c>
      <c r="M372" s="123">
        <v>195</v>
      </c>
      <c r="N372" s="123">
        <v>0</v>
      </c>
    </row>
    <row r="373" spans="1:14" x14ac:dyDescent="0.25">
      <c r="A373" s="138">
        <v>19332</v>
      </c>
      <c r="B373" s="133">
        <v>42945.705555555556</v>
      </c>
      <c r="C373" s="121">
        <v>30975278</v>
      </c>
      <c r="D373" s="121" t="s">
        <v>170</v>
      </c>
      <c r="E373" s="121" t="s">
        <v>171</v>
      </c>
      <c r="F373" s="121" t="s">
        <v>172</v>
      </c>
      <c r="G373" s="121" t="s">
        <v>455</v>
      </c>
      <c r="H373" s="121" t="s">
        <v>173</v>
      </c>
      <c r="I373" s="122"/>
      <c r="J373" s="122">
        <v>176</v>
      </c>
      <c r="K373" s="121">
        <v>38</v>
      </c>
      <c r="L373" s="193">
        <v>115808</v>
      </c>
      <c r="M373" s="123">
        <v>176</v>
      </c>
      <c r="N373" s="123">
        <v>0</v>
      </c>
    </row>
    <row r="374" spans="1:14" x14ac:dyDescent="0.25">
      <c r="A374" s="138">
        <v>88938</v>
      </c>
      <c r="B374" s="133">
        <v>42946.663194444445</v>
      </c>
      <c r="C374" s="121">
        <v>30975278</v>
      </c>
      <c r="D374" s="121" t="s">
        <v>170</v>
      </c>
      <c r="E374" s="121" t="s">
        <v>171</v>
      </c>
      <c r="F374" s="121" t="s">
        <v>176</v>
      </c>
      <c r="G374" s="121" t="s">
        <v>504</v>
      </c>
      <c r="H374" s="121" t="s">
        <v>173</v>
      </c>
      <c r="I374" s="122"/>
      <c r="J374" s="122">
        <v>780</v>
      </c>
      <c r="K374" s="121">
        <v>31332</v>
      </c>
      <c r="L374" s="193">
        <v>513240</v>
      </c>
      <c r="M374" s="123">
        <v>780</v>
      </c>
      <c r="N374" s="123">
        <v>0</v>
      </c>
    </row>
    <row r="375" spans="1:14" x14ac:dyDescent="0.25">
      <c r="A375" s="138">
        <v>87018</v>
      </c>
      <c r="B375" s="133">
        <v>42947.397222222222</v>
      </c>
      <c r="C375" s="121">
        <v>30975278</v>
      </c>
      <c r="D375" s="121" t="s">
        <v>170</v>
      </c>
      <c r="E375" s="121" t="s">
        <v>171</v>
      </c>
      <c r="F375" s="121" t="s">
        <v>176</v>
      </c>
      <c r="G375" s="121" t="s">
        <v>424</v>
      </c>
      <c r="H375" s="121" t="s">
        <v>173</v>
      </c>
      <c r="I375" s="122"/>
      <c r="J375" s="122">
        <v>585</v>
      </c>
      <c r="K375" s="121">
        <v>645360</v>
      </c>
      <c r="L375" s="193">
        <v>384930</v>
      </c>
      <c r="M375" s="123">
        <v>585</v>
      </c>
      <c r="N375" s="123">
        <v>0</v>
      </c>
    </row>
    <row r="376" spans="1:14" x14ac:dyDescent="0.25">
      <c r="A376" s="138">
        <v>65514</v>
      </c>
      <c r="B376" s="133">
        <v>42947.48541666667</v>
      </c>
      <c r="C376" s="121">
        <v>30975278</v>
      </c>
      <c r="D376" s="121" t="s">
        <v>170</v>
      </c>
      <c r="E376" s="121" t="s">
        <v>171</v>
      </c>
      <c r="F376" s="121" t="s">
        <v>175</v>
      </c>
      <c r="G376" s="121" t="s">
        <v>505</v>
      </c>
      <c r="H376" s="121" t="s">
        <v>173</v>
      </c>
      <c r="I376" s="122"/>
      <c r="J376" s="122">
        <v>527</v>
      </c>
      <c r="K376" s="121">
        <v>7463</v>
      </c>
      <c r="L376" s="193">
        <v>346766</v>
      </c>
      <c r="M376" s="123">
        <v>527</v>
      </c>
      <c r="N376" s="123">
        <v>0</v>
      </c>
    </row>
    <row r="377" spans="1:14" x14ac:dyDescent="0.25">
      <c r="A377" s="138">
        <v>11664</v>
      </c>
      <c r="B377" s="133">
        <v>42947.69027777778</v>
      </c>
      <c r="C377" s="121">
        <v>30975278</v>
      </c>
      <c r="D377" s="121" t="s">
        <v>170</v>
      </c>
      <c r="E377" s="121" t="s">
        <v>171</v>
      </c>
      <c r="F377" s="121" t="s">
        <v>175</v>
      </c>
      <c r="G377" s="121" t="s">
        <v>506</v>
      </c>
      <c r="H377" s="121" t="s">
        <v>173</v>
      </c>
      <c r="I377" s="122"/>
      <c r="J377" s="122">
        <v>975</v>
      </c>
      <c r="K377" s="121">
        <v>646887</v>
      </c>
      <c r="L377" s="193">
        <v>641550</v>
      </c>
      <c r="M377" s="123">
        <v>975</v>
      </c>
      <c r="N377" s="123">
        <v>0</v>
      </c>
    </row>
    <row r="378" spans="1:14" x14ac:dyDescent="0.25">
      <c r="A378" s="138">
        <v>14675</v>
      </c>
      <c r="B378" s="133">
        <v>42947.691666666666</v>
      </c>
      <c r="C378" s="121">
        <v>30975278</v>
      </c>
      <c r="D378" s="121" t="s">
        <v>170</v>
      </c>
      <c r="E378" s="121" t="s">
        <v>171</v>
      </c>
      <c r="F378" s="121" t="s">
        <v>172</v>
      </c>
      <c r="G378" s="121" t="s">
        <v>427</v>
      </c>
      <c r="H378" s="121" t="s">
        <v>173</v>
      </c>
      <c r="I378" s="122"/>
      <c r="J378" s="122">
        <v>975</v>
      </c>
      <c r="K378" s="121">
        <v>19</v>
      </c>
      <c r="L378" s="193">
        <v>641550</v>
      </c>
      <c r="M378" s="123">
        <v>975</v>
      </c>
      <c r="N378" s="123">
        <v>0</v>
      </c>
    </row>
    <row r="379" spans="1:14" x14ac:dyDescent="0.25">
      <c r="A379" s="138">
        <v>14918</v>
      </c>
      <c r="B379" s="133">
        <v>42947.75</v>
      </c>
      <c r="C379" s="121">
        <v>30975278</v>
      </c>
      <c r="D379" s="121" t="s">
        <v>170</v>
      </c>
      <c r="E379" s="121" t="s">
        <v>171</v>
      </c>
      <c r="F379" s="121" t="s">
        <v>175</v>
      </c>
      <c r="G379" s="121" t="s">
        <v>507</v>
      </c>
      <c r="H379" s="121" t="s">
        <v>173</v>
      </c>
      <c r="I379" s="122"/>
      <c r="J379" s="122">
        <v>780</v>
      </c>
      <c r="K379" s="121">
        <v>372602</v>
      </c>
      <c r="L379" s="193">
        <v>513240</v>
      </c>
      <c r="M379" s="123">
        <v>780</v>
      </c>
      <c r="N379" s="123">
        <v>0</v>
      </c>
    </row>
    <row r="380" spans="1:14" x14ac:dyDescent="0.25">
      <c r="A380" s="138"/>
      <c r="B380" s="133"/>
      <c r="C380" s="121"/>
      <c r="D380" s="121"/>
      <c r="E380" s="121"/>
      <c r="F380" s="121"/>
      <c r="G380" s="121"/>
      <c r="H380" s="121"/>
      <c r="I380" s="122"/>
      <c r="J380" s="122"/>
      <c r="K380" s="121"/>
      <c r="L380" s="193"/>
      <c r="M380" s="123"/>
      <c r="N380" s="123"/>
    </row>
    <row r="381" spans="1:14" x14ac:dyDescent="0.25">
      <c r="A381" s="138"/>
      <c r="B381" s="133"/>
      <c r="C381" s="121"/>
      <c r="D381" s="121"/>
      <c r="E381" s="121"/>
      <c r="F381" s="121"/>
      <c r="G381" s="121"/>
      <c r="H381" s="121"/>
      <c r="I381" s="122"/>
      <c r="J381" s="122"/>
      <c r="K381" s="121"/>
      <c r="L381" s="193"/>
      <c r="M381" s="123"/>
      <c r="N381" s="123"/>
    </row>
    <row r="382" spans="1:14" x14ac:dyDescent="0.25">
      <c r="A382" s="138"/>
      <c r="B382" s="133"/>
      <c r="C382" s="121"/>
      <c r="D382" s="121"/>
      <c r="E382" s="121"/>
      <c r="F382" s="121"/>
      <c r="G382" s="121"/>
      <c r="H382" s="121"/>
      <c r="I382" s="122"/>
      <c r="J382" s="122"/>
      <c r="K382" s="121"/>
      <c r="L382" s="193"/>
      <c r="M382" s="123"/>
      <c r="N382" s="123"/>
    </row>
    <row r="383" spans="1:14" x14ac:dyDescent="0.25">
      <c r="A383" s="138"/>
      <c r="B383" s="133"/>
      <c r="C383" s="121"/>
      <c r="D383" s="121"/>
      <c r="E383" s="121"/>
      <c r="F383" s="121"/>
      <c r="G383" s="121"/>
      <c r="H383" s="121"/>
      <c r="I383" s="122"/>
      <c r="J383" s="122"/>
      <c r="K383" s="121"/>
      <c r="L383" s="193"/>
      <c r="M383" s="123"/>
      <c r="N383" s="123"/>
    </row>
    <row r="384" spans="1:14" x14ac:dyDescent="0.25">
      <c r="A384" s="138"/>
      <c r="B384" s="133"/>
      <c r="C384" s="121"/>
      <c r="D384" s="121"/>
      <c r="E384" s="121"/>
      <c r="F384" s="121"/>
      <c r="G384" s="121"/>
      <c r="H384" s="121"/>
      <c r="I384" s="122"/>
      <c r="J384" s="122"/>
      <c r="K384" s="121"/>
      <c r="L384" s="193"/>
      <c r="M384" s="123"/>
      <c r="N384" s="123"/>
    </row>
    <row r="385" spans="1:14" x14ac:dyDescent="0.25">
      <c r="A385" s="138"/>
      <c r="B385" s="133"/>
      <c r="C385" s="121"/>
      <c r="D385" s="121"/>
      <c r="E385" s="121"/>
      <c r="F385" s="121"/>
      <c r="G385" s="121"/>
      <c r="H385" s="121"/>
      <c r="I385" s="122"/>
      <c r="J385" s="122"/>
      <c r="K385" s="121"/>
      <c r="L385" s="193"/>
      <c r="M385" s="123"/>
      <c r="N385" s="123"/>
    </row>
    <row r="386" spans="1:14" x14ac:dyDescent="0.25">
      <c r="A386" s="138"/>
      <c r="B386" s="133"/>
      <c r="C386" s="121"/>
      <c r="D386" s="121"/>
      <c r="E386" s="121"/>
      <c r="F386" s="121"/>
      <c r="G386" s="121"/>
      <c r="H386" s="121"/>
      <c r="I386" s="122"/>
      <c r="J386" s="122"/>
      <c r="K386" s="121"/>
      <c r="L386" s="193"/>
      <c r="M386" s="123"/>
      <c r="N386" s="123"/>
    </row>
    <row r="387" spans="1:14" x14ac:dyDescent="0.25">
      <c r="A387" s="138"/>
      <c r="B387" s="133"/>
      <c r="C387" s="121"/>
      <c r="D387" s="121"/>
      <c r="E387" s="121"/>
      <c r="F387" s="121"/>
      <c r="G387" s="121"/>
      <c r="H387" s="121"/>
      <c r="I387" s="122"/>
      <c r="J387" s="122"/>
      <c r="K387" s="121"/>
      <c r="L387" s="193"/>
      <c r="M387" s="123"/>
      <c r="N387" s="123"/>
    </row>
    <row r="388" spans="1:14" x14ac:dyDescent="0.25">
      <c r="A388" s="138"/>
      <c r="B388" s="133"/>
      <c r="C388" s="121"/>
      <c r="D388" s="121"/>
      <c r="E388" s="121"/>
      <c r="F388" s="121"/>
      <c r="G388" s="121"/>
      <c r="H388" s="121"/>
      <c r="I388" s="122"/>
      <c r="J388" s="122"/>
      <c r="K388" s="121"/>
      <c r="L388" s="193"/>
      <c r="M388" s="123"/>
      <c r="N388" s="123"/>
    </row>
    <row r="389" spans="1:14" x14ac:dyDescent="0.25">
      <c r="A389" s="138"/>
      <c r="B389" s="133"/>
      <c r="C389" s="121"/>
      <c r="D389" s="121"/>
      <c r="E389" s="121"/>
      <c r="F389" s="121"/>
      <c r="G389" s="121"/>
      <c r="H389" s="121"/>
      <c r="I389" s="122"/>
      <c r="J389" s="122"/>
      <c r="K389" s="121"/>
      <c r="L389" s="193"/>
      <c r="M389" s="123"/>
      <c r="N389" s="123"/>
    </row>
    <row r="390" spans="1:14" x14ac:dyDescent="0.25">
      <c r="A390" s="138"/>
      <c r="B390" s="133"/>
      <c r="C390" s="121"/>
      <c r="D390" s="121"/>
      <c r="E390" s="121"/>
      <c r="F390" s="121"/>
      <c r="G390" s="121"/>
      <c r="H390" s="121"/>
      <c r="I390" s="122"/>
      <c r="J390" s="122"/>
      <c r="K390" s="121"/>
      <c r="L390" s="193"/>
      <c r="M390" s="123"/>
      <c r="N390" s="123"/>
    </row>
    <row r="391" spans="1:14" x14ac:dyDescent="0.25">
      <c r="A391" s="138"/>
      <c r="B391" s="133"/>
      <c r="C391" s="121"/>
      <c r="D391" s="121"/>
      <c r="E391" s="121"/>
      <c r="F391" s="121"/>
      <c r="G391" s="121"/>
      <c r="H391" s="121"/>
      <c r="I391" s="122"/>
      <c r="J391" s="122"/>
      <c r="K391" s="121"/>
      <c r="L391" s="193"/>
      <c r="M391" s="123"/>
      <c r="N391" s="123"/>
    </row>
    <row r="392" spans="1:14" x14ac:dyDescent="0.25">
      <c r="A392" s="138"/>
      <c r="B392" s="133"/>
      <c r="C392" s="121"/>
      <c r="D392" s="121"/>
      <c r="E392" s="121"/>
      <c r="F392" s="121"/>
      <c r="G392" s="121"/>
      <c r="H392" s="121"/>
      <c r="I392" s="122"/>
      <c r="J392" s="122"/>
      <c r="K392" s="121"/>
      <c r="L392" s="193"/>
      <c r="M392" s="123"/>
      <c r="N392" s="123"/>
    </row>
    <row r="393" spans="1:14" x14ac:dyDescent="0.25">
      <c r="A393" s="138"/>
      <c r="B393" s="133"/>
      <c r="C393" s="121"/>
      <c r="D393" s="121"/>
      <c r="E393" s="121"/>
      <c r="F393" s="121"/>
      <c r="G393" s="121"/>
      <c r="H393" s="121"/>
      <c r="I393" s="122"/>
      <c r="J393" s="122"/>
      <c r="K393" s="121"/>
      <c r="L393" s="193"/>
      <c r="M393" s="123"/>
      <c r="N393" s="123"/>
    </row>
    <row r="394" spans="1:14" x14ac:dyDescent="0.25">
      <c r="A394" s="138"/>
      <c r="B394" s="133"/>
      <c r="C394" s="121"/>
      <c r="D394" s="121"/>
      <c r="E394" s="121"/>
      <c r="F394" s="121"/>
      <c r="G394" s="121"/>
      <c r="H394" s="121"/>
      <c r="I394" s="122"/>
      <c r="J394" s="122"/>
      <c r="K394" s="121"/>
      <c r="L394" s="193"/>
      <c r="M394" s="123"/>
      <c r="N394" s="123"/>
    </row>
    <row r="395" spans="1:14" x14ac:dyDescent="0.25">
      <c r="A395" s="138"/>
      <c r="B395" s="133"/>
      <c r="C395" s="121"/>
      <c r="D395" s="121"/>
      <c r="E395" s="121"/>
      <c r="F395" s="121"/>
      <c r="G395" s="121"/>
      <c r="H395" s="121"/>
      <c r="I395" s="122"/>
      <c r="J395" s="122"/>
      <c r="K395" s="121"/>
      <c r="L395" s="193"/>
      <c r="M395" s="123"/>
      <c r="N395" s="123"/>
    </row>
    <row r="396" spans="1:14" x14ac:dyDescent="0.25">
      <c r="A396" s="138"/>
      <c r="B396" s="133"/>
      <c r="C396" s="121"/>
      <c r="D396" s="121"/>
      <c r="E396" s="121"/>
      <c r="F396" s="121"/>
      <c r="G396" s="121"/>
      <c r="H396" s="121"/>
      <c r="I396" s="122"/>
      <c r="J396" s="122"/>
      <c r="K396" s="121"/>
      <c r="L396" s="193"/>
      <c r="M396" s="123"/>
      <c r="N396" s="123"/>
    </row>
    <row r="397" spans="1:14" x14ac:dyDescent="0.25">
      <c r="A397" s="138"/>
      <c r="B397" s="133"/>
      <c r="C397" s="121"/>
      <c r="D397" s="121"/>
      <c r="E397" s="121"/>
      <c r="F397" s="121"/>
      <c r="G397" s="121"/>
      <c r="H397" s="121"/>
      <c r="I397" s="122"/>
      <c r="J397" s="122"/>
      <c r="K397" s="121"/>
      <c r="L397" s="193"/>
      <c r="M397" s="123"/>
      <c r="N397" s="123"/>
    </row>
    <row r="398" spans="1:14" x14ac:dyDescent="0.25">
      <c r="A398" s="138"/>
      <c r="B398" s="133"/>
      <c r="C398" s="121"/>
      <c r="D398" s="121"/>
      <c r="E398" s="121"/>
      <c r="F398" s="121"/>
      <c r="G398" s="121"/>
      <c r="H398" s="121"/>
      <c r="I398" s="122"/>
      <c r="J398" s="122"/>
      <c r="K398" s="121"/>
      <c r="L398" s="193"/>
      <c r="M398" s="123"/>
      <c r="N398" s="123"/>
    </row>
    <row r="399" spans="1:14" x14ac:dyDescent="0.25">
      <c r="A399" s="138"/>
      <c r="B399" s="133"/>
      <c r="C399" s="121"/>
      <c r="D399" s="121"/>
      <c r="E399" s="121"/>
      <c r="F399" s="121"/>
      <c r="G399" s="121"/>
      <c r="H399" s="121"/>
      <c r="I399" s="122"/>
      <c r="J399" s="122"/>
      <c r="K399" s="121"/>
      <c r="L399" s="193"/>
      <c r="M399" s="123"/>
      <c r="N399" s="123"/>
    </row>
    <row r="400" spans="1:14" x14ac:dyDescent="0.25">
      <c r="A400" s="138"/>
      <c r="B400" s="133"/>
      <c r="C400" s="121"/>
      <c r="D400" s="121"/>
      <c r="E400" s="121"/>
      <c r="F400" s="121"/>
      <c r="G400" s="121"/>
      <c r="H400" s="121"/>
      <c r="I400" s="122"/>
      <c r="J400" s="122"/>
      <c r="K400" s="121"/>
      <c r="L400" s="193"/>
      <c r="M400" s="123"/>
      <c r="N400" s="123"/>
    </row>
    <row r="401" spans="1:14" x14ac:dyDescent="0.25">
      <c r="A401" s="138"/>
      <c r="B401" s="133"/>
      <c r="C401" s="121"/>
      <c r="D401" s="121"/>
      <c r="E401" s="121"/>
      <c r="F401" s="121"/>
      <c r="G401" s="121"/>
      <c r="H401" s="121"/>
      <c r="I401" s="122"/>
      <c r="J401" s="122"/>
      <c r="K401" s="121"/>
      <c r="L401" s="193"/>
      <c r="M401" s="123"/>
      <c r="N401" s="123"/>
    </row>
    <row r="402" spans="1:14" x14ac:dyDescent="0.25">
      <c r="A402" s="138"/>
      <c r="B402" s="133"/>
      <c r="C402" s="121"/>
      <c r="D402" s="121"/>
      <c r="E402" s="121"/>
      <c r="F402" s="121"/>
      <c r="G402" s="121"/>
      <c r="H402" s="121"/>
      <c r="I402" s="122"/>
      <c r="J402" s="122"/>
      <c r="K402" s="121"/>
      <c r="L402" s="193"/>
      <c r="M402" s="123"/>
      <c r="N402" s="123"/>
    </row>
    <row r="403" spans="1:14" x14ac:dyDescent="0.25">
      <c r="A403" s="138"/>
      <c r="B403" s="133"/>
      <c r="C403" s="121"/>
      <c r="D403" s="121"/>
      <c r="E403" s="121"/>
      <c r="F403" s="121"/>
      <c r="G403" s="121"/>
      <c r="H403" s="121"/>
      <c r="I403" s="122"/>
      <c r="J403" s="122"/>
      <c r="K403" s="121"/>
      <c r="L403" s="193"/>
      <c r="M403" s="123"/>
      <c r="N403" s="123"/>
    </row>
    <row r="404" spans="1:14" x14ac:dyDescent="0.25">
      <c r="A404" s="138"/>
      <c r="B404" s="133"/>
      <c r="C404" s="121"/>
      <c r="D404" s="121"/>
      <c r="E404" s="121"/>
      <c r="F404" s="121"/>
      <c r="G404" s="121"/>
      <c r="H404" s="121"/>
      <c r="I404" s="122"/>
      <c r="J404" s="122"/>
      <c r="K404" s="121"/>
      <c r="L404" s="193"/>
      <c r="M404" s="123"/>
      <c r="N404" s="123"/>
    </row>
    <row r="405" spans="1:14" x14ac:dyDescent="0.25">
      <c r="A405" s="138"/>
      <c r="B405" s="133"/>
      <c r="C405" s="121"/>
      <c r="D405" s="121"/>
      <c r="E405" s="121"/>
      <c r="F405" s="121"/>
      <c r="G405" s="121"/>
      <c r="H405" s="121"/>
      <c r="I405" s="122"/>
      <c r="J405" s="122"/>
      <c r="K405" s="121"/>
      <c r="L405" s="193"/>
      <c r="M405" s="123"/>
      <c r="N405" s="123"/>
    </row>
    <row r="406" spans="1:14" x14ac:dyDescent="0.25">
      <c r="A406" s="138"/>
      <c r="B406" s="133"/>
      <c r="C406" s="121"/>
      <c r="D406" s="121"/>
      <c r="E406" s="121"/>
      <c r="F406" s="121"/>
      <c r="G406" s="121"/>
      <c r="H406" s="121"/>
      <c r="I406" s="122"/>
      <c r="J406" s="122"/>
      <c r="K406" s="121"/>
      <c r="L406" s="193"/>
      <c r="M406" s="123"/>
      <c r="N406" s="123"/>
    </row>
    <row r="407" spans="1:14" x14ac:dyDescent="0.25">
      <c r="A407" s="138"/>
      <c r="B407" s="133"/>
      <c r="C407" s="121"/>
      <c r="D407" s="121"/>
      <c r="E407" s="121"/>
      <c r="F407" s="121"/>
      <c r="G407" s="121"/>
      <c r="H407" s="121"/>
      <c r="I407" s="122"/>
      <c r="J407" s="122"/>
      <c r="K407" s="121"/>
      <c r="L407" s="193"/>
      <c r="M407" s="123"/>
      <c r="N407" s="123"/>
    </row>
    <row r="408" spans="1:14" x14ac:dyDescent="0.25">
      <c r="A408" s="138"/>
      <c r="B408" s="133"/>
      <c r="C408" s="121"/>
      <c r="D408" s="121"/>
      <c r="E408" s="121"/>
      <c r="F408" s="121"/>
      <c r="G408" s="121"/>
      <c r="H408" s="121"/>
      <c r="I408" s="122"/>
      <c r="J408" s="122"/>
      <c r="K408" s="121"/>
      <c r="L408" s="193"/>
      <c r="M408" s="123"/>
      <c r="N408" s="123"/>
    </row>
    <row r="409" spans="1:14" x14ac:dyDescent="0.25">
      <c r="A409" s="138"/>
      <c r="B409" s="133"/>
      <c r="C409" s="121"/>
      <c r="D409" s="121"/>
      <c r="E409" s="121"/>
      <c r="F409" s="121"/>
      <c r="G409" s="121"/>
      <c r="H409" s="121"/>
      <c r="I409" s="122"/>
      <c r="J409" s="122"/>
      <c r="K409" s="121"/>
      <c r="L409" s="193"/>
      <c r="M409" s="123"/>
      <c r="N409" s="123"/>
    </row>
    <row r="410" spans="1:14" x14ac:dyDescent="0.25">
      <c r="A410" s="138"/>
      <c r="B410" s="133"/>
      <c r="C410" s="121"/>
      <c r="D410" s="121"/>
      <c r="E410" s="121"/>
      <c r="F410" s="121"/>
      <c r="G410" s="121"/>
      <c r="H410" s="121"/>
      <c r="I410" s="122"/>
      <c r="J410" s="122"/>
      <c r="K410" s="121"/>
      <c r="L410" s="193"/>
      <c r="M410" s="123"/>
      <c r="N410" s="123"/>
    </row>
    <row r="411" spans="1:14" x14ac:dyDescent="0.25">
      <c r="A411" s="138"/>
      <c r="B411" s="133"/>
      <c r="C411" s="121"/>
      <c r="D411" s="121"/>
      <c r="E411" s="121"/>
      <c r="F411" s="121"/>
      <c r="G411" s="121"/>
      <c r="H411" s="121"/>
      <c r="I411" s="122"/>
      <c r="J411" s="122"/>
      <c r="K411" s="121"/>
      <c r="L411" s="193"/>
      <c r="M411" s="123"/>
      <c r="N411" s="123"/>
    </row>
    <row r="412" spans="1:14" x14ac:dyDescent="0.25">
      <c r="A412" s="138"/>
      <c r="B412" s="133"/>
      <c r="C412" s="121"/>
      <c r="D412" s="121"/>
      <c r="E412" s="121"/>
      <c r="F412" s="121"/>
      <c r="G412" s="121"/>
      <c r="H412" s="121"/>
      <c r="I412" s="122"/>
      <c r="J412" s="122"/>
      <c r="K412" s="121"/>
      <c r="L412" s="193"/>
      <c r="M412" s="123"/>
      <c r="N412" s="123"/>
    </row>
    <row r="413" spans="1:14" x14ac:dyDescent="0.25">
      <c r="A413" s="138"/>
      <c r="B413" s="133"/>
      <c r="C413" s="121"/>
      <c r="D413" s="121"/>
      <c r="E413" s="121"/>
      <c r="F413" s="121"/>
      <c r="G413" s="121"/>
      <c r="H413" s="121"/>
      <c r="I413" s="122"/>
      <c r="J413" s="122"/>
      <c r="K413" s="121"/>
      <c r="L413" s="193"/>
      <c r="M413" s="123"/>
      <c r="N413" s="123"/>
    </row>
    <row r="414" spans="1:14" x14ac:dyDescent="0.25">
      <c r="A414" s="138"/>
      <c r="B414" s="133"/>
      <c r="C414" s="121"/>
      <c r="D414" s="121"/>
      <c r="E414" s="121"/>
      <c r="F414" s="121"/>
      <c r="G414" s="121"/>
      <c r="H414" s="121"/>
      <c r="I414" s="122"/>
      <c r="J414" s="122"/>
      <c r="K414" s="121"/>
      <c r="L414" s="193"/>
      <c r="M414" s="123"/>
      <c r="N414" s="123"/>
    </row>
    <row r="415" spans="1:14" x14ac:dyDescent="0.25">
      <c r="A415" s="138"/>
      <c r="B415" s="133"/>
      <c r="C415" s="121"/>
      <c r="D415" s="121"/>
      <c r="E415" s="121"/>
      <c r="F415" s="121"/>
      <c r="G415" s="121"/>
      <c r="H415" s="121"/>
      <c r="I415" s="122"/>
      <c r="J415" s="122"/>
      <c r="K415" s="121"/>
      <c r="L415" s="193"/>
      <c r="M415" s="123"/>
      <c r="N415" s="123"/>
    </row>
    <row r="416" spans="1:14" x14ac:dyDescent="0.25">
      <c r="A416" s="138"/>
      <c r="B416" s="133"/>
      <c r="C416" s="121"/>
      <c r="D416" s="121"/>
      <c r="E416" s="121"/>
      <c r="F416" s="121"/>
      <c r="G416" s="121"/>
      <c r="H416" s="121"/>
      <c r="I416" s="122"/>
      <c r="J416" s="122"/>
      <c r="K416" s="121"/>
      <c r="L416" s="193"/>
      <c r="M416" s="123"/>
      <c r="N416" s="123"/>
    </row>
    <row r="417" spans="1:21" x14ac:dyDescent="0.25">
      <c r="A417" s="138"/>
      <c r="B417" s="133"/>
      <c r="C417" s="121"/>
      <c r="D417" s="121"/>
      <c r="E417" s="121"/>
      <c r="F417" s="121"/>
      <c r="G417" s="121"/>
      <c r="H417" s="121"/>
      <c r="I417" s="122"/>
      <c r="J417" s="122"/>
      <c r="K417" s="121"/>
      <c r="L417" s="193"/>
      <c r="M417" s="123"/>
      <c r="N417" s="123"/>
    </row>
    <row r="418" spans="1:21" x14ac:dyDescent="0.25">
      <c r="A418" s="138"/>
      <c r="B418" s="133"/>
      <c r="C418" s="121"/>
      <c r="D418" s="121"/>
      <c r="E418" s="121"/>
      <c r="F418" s="121"/>
      <c r="G418" s="121"/>
      <c r="H418" s="121"/>
      <c r="I418" s="122"/>
      <c r="J418" s="122"/>
      <c r="K418" s="121"/>
      <c r="L418" s="193"/>
      <c r="M418" s="123"/>
      <c r="N418" s="123"/>
    </row>
    <row r="419" spans="1:21" x14ac:dyDescent="0.25">
      <c r="A419" s="138"/>
      <c r="B419" s="133"/>
      <c r="C419" s="121"/>
      <c r="D419" s="121"/>
      <c r="E419" s="121"/>
      <c r="F419" s="121"/>
      <c r="G419" s="121"/>
      <c r="H419" s="121"/>
      <c r="I419" s="122"/>
      <c r="J419" s="122"/>
      <c r="K419" s="121"/>
      <c r="L419" s="193"/>
      <c r="M419" s="123"/>
      <c r="N419" s="123"/>
    </row>
    <row r="420" spans="1:21" x14ac:dyDescent="0.25">
      <c r="A420" s="138"/>
      <c r="B420" s="133"/>
      <c r="C420" s="121"/>
      <c r="D420" s="121"/>
      <c r="E420" s="121"/>
      <c r="F420" s="121"/>
      <c r="G420" s="121"/>
      <c r="H420" s="121"/>
      <c r="I420" s="122"/>
      <c r="J420" s="122"/>
      <c r="K420" s="121"/>
      <c r="L420" s="193"/>
      <c r="M420" s="123"/>
      <c r="N420" s="123"/>
    </row>
    <row r="421" spans="1:21" x14ac:dyDescent="0.25">
      <c r="A421" s="138"/>
      <c r="B421" s="133"/>
      <c r="C421" s="121"/>
      <c r="D421" s="121"/>
      <c r="E421" s="121"/>
      <c r="F421" s="121"/>
      <c r="G421" s="121"/>
      <c r="H421" s="121"/>
      <c r="I421" s="122"/>
      <c r="J421" s="122"/>
      <c r="K421" s="121"/>
      <c r="L421" s="193"/>
      <c r="M421" s="123"/>
      <c r="N421" s="123"/>
    </row>
    <row r="422" spans="1:21" x14ac:dyDescent="0.25">
      <c r="A422" s="138"/>
      <c r="B422" s="133"/>
      <c r="C422" s="121"/>
      <c r="D422" s="121"/>
      <c r="E422" s="121"/>
      <c r="F422" s="121"/>
      <c r="G422" s="121"/>
      <c r="H422" s="121"/>
      <c r="I422" s="122"/>
      <c r="J422" s="122"/>
      <c r="K422" s="121"/>
      <c r="L422" s="193"/>
      <c r="M422" s="123"/>
      <c r="N422" s="123"/>
    </row>
    <row r="423" spans="1:21" x14ac:dyDescent="0.25">
      <c r="A423" s="138"/>
      <c r="B423" s="133"/>
      <c r="C423" s="121"/>
      <c r="D423" s="121"/>
      <c r="E423" s="121"/>
      <c r="F423" s="121"/>
      <c r="G423" s="121"/>
      <c r="H423" s="121"/>
      <c r="I423" s="122"/>
      <c r="J423" s="122"/>
      <c r="K423" s="121"/>
      <c r="L423" s="193"/>
      <c r="M423" s="123"/>
      <c r="N423" s="123"/>
    </row>
    <row r="424" spans="1:21" x14ac:dyDescent="0.25">
      <c r="A424" s="138"/>
      <c r="B424" s="133"/>
      <c r="C424" s="121"/>
      <c r="D424" s="121"/>
      <c r="E424" s="121"/>
      <c r="F424" s="121"/>
      <c r="G424" s="121"/>
      <c r="H424" s="121"/>
      <c r="I424" s="122"/>
      <c r="J424" s="122"/>
      <c r="K424" s="121"/>
      <c r="L424" s="193"/>
      <c r="M424" s="123"/>
      <c r="N424" s="123"/>
    </row>
    <row r="425" spans="1:21" x14ac:dyDescent="0.25">
      <c r="A425" s="246"/>
      <c r="B425" s="247"/>
      <c r="C425" s="248"/>
      <c r="D425" s="248"/>
      <c r="E425" s="248"/>
      <c r="F425" s="248"/>
      <c r="G425" s="248"/>
      <c r="H425" s="248"/>
      <c r="I425" s="249"/>
      <c r="J425" s="249"/>
      <c r="K425" s="248"/>
      <c r="L425" s="193"/>
      <c r="M425" s="123"/>
      <c r="N425" s="123"/>
    </row>
    <row r="426" spans="1:21" x14ac:dyDescent="0.25">
      <c r="A426" s="246"/>
      <c r="B426" s="247"/>
      <c r="C426" s="248"/>
      <c r="D426" s="248"/>
      <c r="E426" s="248"/>
      <c r="F426" s="248"/>
      <c r="G426" s="248"/>
      <c r="H426" s="248"/>
      <c r="I426" s="249"/>
      <c r="J426" s="249"/>
      <c r="K426" s="248"/>
      <c r="L426" s="193"/>
      <c r="M426" s="123"/>
      <c r="N426" s="123"/>
    </row>
    <row r="427" spans="1:21" x14ac:dyDescent="0.25">
      <c r="A427" s="246"/>
      <c r="B427" s="247"/>
      <c r="C427" s="248"/>
      <c r="D427" s="248"/>
      <c r="E427" s="248"/>
      <c r="F427" s="248"/>
      <c r="G427" s="248"/>
      <c r="H427" s="248"/>
      <c r="I427" s="249"/>
      <c r="J427" s="249"/>
      <c r="K427" s="248"/>
      <c r="L427" s="193"/>
      <c r="M427" s="123"/>
      <c r="N427" s="123"/>
    </row>
    <row r="428" spans="1:21" x14ac:dyDescent="0.25">
      <c r="A428" s="246"/>
      <c r="B428" s="247"/>
      <c r="C428" s="248"/>
      <c r="D428" s="248"/>
      <c r="E428" s="248"/>
      <c r="F428" s="248"/>
      <c r="G428" s="248"/>
      <c r="H428" s="248"/>
      <c r="I428" s="249"/>
      <c r="J428" s="249"/>
      <c r="K428" s="248"/>
      <c r="L428" s="193"/>
      <c r="M428" s="123"/>
      <c r="N428" s="123"/>
      <c r="U428" s="60" t="s">
        <v>324</v>
      </c>
    </row>
    <row r="429" spans="1:21" x14ac:dyDescent="0.25">
      <c r="A429" s="138"/>
      <c r="B429" s="133"/>
      <c r="C429" s="121"/>
      <c r="D429" s="121"/>
      <c r="E429" s="121"/>
      <c r="F429" s="121"/>
      <c r="G429" s="121"/>
      <c r="H429" s="121"/>
      <c r="I429" s="122"/>
      <c r="J429" s="122"/>
      <c r="K429" s="121"/>
      <c r="L429" s="193">
        <f>I429+J429*EERR!$D$2</f>
        <v>0</v>
      </c>
      <c r="M429" s="123">
        <f>L429/EERR!$D$2</f>
        <v>0</v>
      </c>
      <c r="N429" s="123" t="e">
        <f>SUMIF(Agosto!#REF!,A429,Agosto!$R$3:$R$92)+SUMIF(Agosto!$B$3:$B$92,A429,Agosto!$R$3:$R$92)</f>
        <v>#REF!</v>
      </c>
    </row>
    <row r="430" spans="1:21" x14ac:dyDescent="0.25">
      <c r="A430" s="138"/>
      <c r="B430" s="133"/>
      <c r="C430" s="121"/>
      <c r="D430" s="121"/>
      <c r="E430" s="121"/>
      <c r="F430" s="121"/>
      <c r="G430" s="121"/>
      <c r="H430" s="121"/>
      <c r="I430" s="122"/>
      <c r="J430" s="122"/>
      <c r="K430" s="121"/>
      <c r="L430" s="193">
        <f>I430+J430*EERR!$D$2</f>
        <v>0</v>
      </c>
      <c r="M430" s="123">
        <f>L430/EERR!$D$2</f>
        <v>0</v>
      </c>
      <c r="N430" s="123" t="e">
        <f>SUMIF(Agosto!#REF!,A430,Agosto!$R$3:$R$92)+SUMIF(Agosto!$B$3:$B$92,A430,Agosto!$R$3:$R$92)</f>
        <v>#REF!</v>
      </c>
    </row>
    <row r="431" spans="1:21" x14ac:dyDescent="0.25">
      <c r="A431" s="138"/>
      <c r="B431" s="133"/>
      <c r="C431" s="121"/>
      <c r="D431" s="121"/>
      <c r="E431" s="121"/>
      <c r="F431" s="121"/>
      <c r="G431" s="121"/>
      <c r="H431" s="121"/>
      <c r="I431" s="122"/>
      <c r="J431" s="122"/>
      <c r="K431" s="121"/>
      <c r="L431" s="193">
        <f>I431+J431*EERR!$D$2</f>
        <v>0</v>
      </c>
      <c r="M431" s="123">
        <f>L431/EERR!$D$2</f>
        <v>0</v>
      </c>
      <c r="N431" s="123" t="e">
        <f>SUMIF(Agosto!#REF!,A431,Agosto!$R$3:$R$92)+SUMIF(Agosto!$B$3:$B$92,A431,Agosto!$R$3:$R$92)</f>
        <v>#REF!</v>
      </c>
    </row>
    <row r="432" spans="1:21" x14ac:dyDescent="0.25">
      <c r="A432" s="138"/>
      <c r="B432" s="133"/>
      <c r="C432" s="121"/>
      <c r="D432" s="121"/>
      <c r="E432" s="121"/>
      <c r="F432" s="121"/>
      <c r="G432" s="121"/>
      <c r="H432" s="121"/>
      <c r="I432" s="122"/>
      <c r="J432" s="122"/>
      <c r="K432" s="121"/>
      <c r="L432" s="193">
        <f>I432+J432*EERR!$D$2</f>
        <v>0</v>
      </c>
      <c r="M432" s="123">
        <f>L432/EERR!$D$2</f>
        <v>0</v>
      </c>
      <c r="N432" s="123" t="e">
        <f>SUMIF(Agosto!#REF!,A432,Agosto!$R$3:$R$92)+SUMIF(Agosto!$B$3:$B$92,A432,Agosto!$R$3:$R$92)</f>
        <v>#REF!</v>
      </c>
    </row>
    <row r="433" spans="1:14" x14ac:dyDescent="0.25">
      <c r="A433" s="138"/>
      <c r="B433" s="133"/>
      <c r="C433" s="121"/>
      <c r="D433" s="121"/>
      <c r="E433" s="121"/>
      <c r="F433" s="121"/>
      <c r="G433" s="121"/>
      <c r="H433" s="121"/>
      <c r="I433" s="122">
        <f>SUM(I228:I432)</f>
        <v>5839698</v>
      </c>
      <c r="J433" s="122">
        <f>SUM(J228:J432)</f>
        <v>39313.5</v>
      </c>
      <c r="K433" s="121"/>
      <c r="L433" s="193">
        <f>I433+J433*EERR!$D$2</f>
        <v>31167027.240000002</v>
      </c>
      <c r="M433" s="123">
        <f>L433/EERR!$D$2</f>
        <v>48377.975971687571</v>
      </c>
      <c r="N433" s="123" t="e">
        <f>SUMIF(Agosto!#REF!,A433,Agosto!$R$3:$R$92)+SUMIF(Agosto!$B$3:$B$92,A433,Agosto!$R$3:$R$92)</f>
        <v>#REF!</v>
      </c>
    </row>
    <row r="437" spans="1:14" x14ac:dyDescent="0.25">
      <c r="A437" s="184"/>
      <c r="B437" s="184"/>
      <c r="C437" s="184"/>
      <c r="D437" s="184"/>
      <c r="E437" s="184"/>
      <c r="F437" s="184"/>
      <c r="G437" s="184"/>
      <c r="H437" s="184"/>
      <c r="I437" s="211"/>
      <c r="J437" s="211"/>
      <c r="K437" s="184"/>
      <c r="L437" s="211">
        <f>Agosto!J93</f>
        <v>0</v>
      </c>
      <c r="M437" s="184"/>
      <c r="N437" s="184"/>
    </row>
    <row r="438" spans="1:14" x14ac:dyDescent="0.25">
      <c r="A438" s="184"/>
      <c r="B438" s="212"/>
      <c r="C438" s="184"/>
      <c r="D438" s="184"/>
      <c r="E438" s="184"/>
      <c r="F438" s="184"/>
      <c r="G438" s="184"/>
      <c r="H438" s="184"/>
      <c r="I438" s="211"/>
      <c r="J438" s="211"/>
      <c r="K438" s="184"/>
      <c r="L438" s="185" t="e">
        <f>SUM(L221:L437)</f>
        <v>#VALUE!</v>
      </c>
    </row>
    <row r="439" spans="1:14" x14ac:dyDescent="0.25">
      <c r="A439" s="184"/>
      <c r="B439" s="212"/>
      <c r="C439" s="184"/>
      <c r="D439" s="184"/>
      <c r="E439" s="184"/>
      <c r="F439" s="184"/>
      <c r="G439" s="184"/>
      <c r="H439" s="184"/>
      <c r="I439" s="211"/>
      <c r="J439" s="211"/>
      <c r="K439" s="184"/>
    </row>
    <row r="440" spans="1:14" x14ac:dyDescent="0.25">
      <c r="A440" s="213"/>
      <c r="B440" s="213"/>
      <c r="C440" s="213"/>
      <c r="D440" s="213"/>
      <c r="E440" s="213"/>
      <c r="F440" s="213"/>
      <c r="G440" s="213" t="s">
        <v>153</v>
      </c>
      <c r="H440" s="213"/>
      <c r="I440" s="214">
        <f>I221</f>
        <v>5825125</v>
      </c>
      <c r="J440" s="214">
        <f>J221</f>
        <v>31599</v>
      </c>
      <c r="K440" s="213"/>
      <c r="L440" s="185">
        <v>51431551.622000001</v>
      </c>
    </row>
    <row r="441" spans="1:14" x14ac:dyDescent="0.25">
      <c r="A441" s="213"/>
      <c r="B441" s="213"/>
      <c r="C441" s="213"/>
      <c r="D441" s="213"/>
      <c r="E441" s="213"/>
      <c r="F441" s="213"/>
      <c r="G441" s="213" t="s">
        <v>154</v>
      </c>
      <c r="H441" s="213"/>
      <c r="I441" s="215"/>
      <c r="J441" s="215"/>
      <c r="K441" s="213"/>
    </row>
    <row r="442" spans="1:14" x14ac:dyDescent="0.25">
      <c r="A442" s="213"/>
      <c r="B442" s="213"/>
      <c r="C442" s="213"/>
      <c r="D442" s="213"/>
      <c r="E442" s="213"/>
      <c r="F442" s="213"/>
      <c r="G442" s="213"/>
      <c r="H442" s="213"/>
      <c r="K442" s="185"/>
    </row>
    <row r="443" spans="1:14" x14ac:dyDescent="0.25">
      <c r="A443" s="213"/>
      <c r="B443" s="213"/>
      <c r="C443" s="213"/>
      <c r="D443" s="213"/>
      <c r="E443" s="213"/>
      <c r="F443" s="213"/>
      <c r="G443" s="213"/>
      <c r="H443" s="213"/>
      <c r="I443" s="216"/>
      <c r="J443" s="216"/>
      <c r="K443" s="213"/>
    </row>
    <row r="444" spans="1:14" x14ac:dyDescent="0.25">
      <c r="A444" s="171" t="s">
        <v>142</v>
      </c>
      <c r="B444" s="213"/>
      <c r="C444" s="213"/>
      <c r="D444" s="213"/>
      <c r="E444" s="213"/>
      <c r="F444" s="213"/>
      <c r="G444" s="213"/>
      <c r="H444" s="213"/>
      <c r="I444" s="216"/>
      <c r="J444" s="216"/>
      <c r="K444" s="213"/>
    </row>
    <row r="445" spans="1:14" x14ac:dyDescent="0.25">
      <c r="A445" s="121"/>
      <c r="B445" s="213"/>
      <c r="C445" s="213"/>
      <c r="D445" s="213"/>
      <c r="E445" s="213"/>
      <c r="F445" s="213"/>
      <c r="G445" s="213"/>
      <c r="H445" s="213"/>
      <c r="I445" s="216"/>
      <c r="J445" s="216"/>
      <c r="K445" s="213"/>
    </row>
    <row r="446" spans="1:14" x14ac:dyDescent="0.25">
      <c r="A446" s="121"/>
      <c r="B446" s="213"/>
      <c r="C446" s="213"/>
      <c r="D446" s="213"/>
      <c r="E446" s="213"/>
      <c r="F446" s="213"/>
      <c r="G446" s="213"/>
      <c r="H446" s="213"/>
      <c r="I446" s="216"/>
      <c r="J446" s="216"/>
      <c r="K446" s="213"/>
    </row>
    <row r="447" spans="1:14" x14ac:dyDescent="0.25">
      <c r="A447" s="121"/>
      <c r="B447" s="213"/>
      <c r="C447" s="213"/>
      <c r="D447" s="213"/>
      <c r="E447" s="213"/>
      <c r="F447" s="213"/>
      <c r="G447" s="213"/>
      <c r="H447" s="213"/>
      <c r="I447" s="216"/>
      <c r="J447" s="216"/>
      <c r="K447" s="213"/>
    </row>
    <row r="448" spans="1:14" x14ac:dyDescent="0.25">
      <c r="A448" s="121"/>
      <c r="B448" s="213"/>
      <c r="C448" s="213"/>
      <c r="D448" s="213"/>
      <c r="E448" s="213"/>
      <c r="F448" s="213"/>
      <c r="G448" s="213"/>
      <c r="H448" s="213"/>
      <c r="I448" s="216"/>
      <c r="J448" s="216"/>
      <c r="K448" s="213"/>
    </row>
    <row r="449" spans="1:1" x14ac:dyDescent="0.25">
      <c r="A449" s="121"/>
    </row>
    <row r="450" spans="1:1" x14ac:dyDescent="0.25">
      <c r="A450" s="121"/>
    </row>
    <row r="451" spans="1:1" x14ac:dyDescent="0.25">
      <c r="A451" s="121"/>
    </row>
    <row r="452" spans="1:1" x14ac:dyDescent="0.25">
      <c r="A452" s="121"/>
    </row>
    <row r="453" spans="1:1" x14ac:dyDescent="0.25">
      <c r="A453" s="121"/>
    </row>
    <row r="454" spans="1:1" x14ac:dyDescent="0.25">
      <c r="A454" s="121"/>
    </row>
    <row r="455" spans="1:1" x14ac:dyDescent="0.25">
      <c r="A455" s="121"/>
    </row>
    <row r="456" spans="1:1" x14ac:dyDescent="0.25">
      <c r="A456" s="121"/>
    </row>
    <row r="457" spans="1:1" x14ac:dyDescent="0.25">
      <c r="A457" s="121"/>
    </row>
    <row r="458" spans="1:1" x14ac:dyDescent="0.25">
      <c r="A458" s="121"/>
    </row>
    <row r="459" spans="1:1" x14ac:dyDescent="0.25">
      <c r="A459" s="121"/>
    </row>
  </sheetData>
  <sortState ref="A2:K158">
    <sortCondition ref="B2:B158"/>
    <sortCondition ref="A2:A15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07"/>
  <sheetViews>
    <sheetView zoomScale="55" zoomScaleNormal="55" workbookViewId="0">
      <selection activeCell="I20" sqref="I20"/>
    </sheetView>
  </sheetViews>
  <sheetFormatPr baseColWidth="10" defaultRowHeight="14.25" x14ac:dyDescent="0.2"/>
  <cols>
    <col min="1" max="1" width="3.85546875" style="19" customWidth="1"/>
    <col min="2" max="2" width="18.7109375" style="19" customWidth="1"/>
    <col min="3" max="3" width="20.28515625" style="19" customWidth="1"/>
    <col min="4" max="4" width="33.28515625" style="19" customWidth="1"/>
    <col min="5" max="5" width="14.7109375" style="19" customWidth="1"/>
    <col min="6" max="6" width="15" style="19" customWidth="1"/>
    <col min="7" max="7" width="15.7109375" style="19" customWidth="1"/>
    <col min="8" max="8" width="14.85546875" style="19" customWidth="1"/>
    <col min="9" max="9" width="27" style="45" customWidth="1"/>
    <col min="10" max="10" width="30.85546875" style="45" customWidth="1"/>
    <col min="11" max="11" width="22.140625" style="19" customWidth="1"/>
    <col min="12" max="12" width="23.42578125" style="19" customWidth="1"/>
    <col min="13" max="13" width="18.140625" style="19" customWidth="1"/>
    <col min="14" max="14" width="7.28515625" style="19" customWidth="1"/>
    <col min="15" max="15" width="13.28515625" style="118" customWidth="1"/>
    <col min="16" max="16" width="11.5703125" style="45" customWidth="1"/>
    <col min="17" max="17" width="18" style="45" customWidth="1"/>
    <col min="18" max="18" width="11.140625" style="45" customWidth="1"/>
    <col min="19" max="19" width="15.42578125" style="119" customWidth="1"/>
    <col min="20" max="20" width="11.140625" style="119" customWidth="1"/>
    <col min="21" max="22" width="11.140625" style="45" customWidth="1"/>
    <col min="23" max="23" width="29.7109375" style="45" customWidth="1"/>
    <col min="24" max="232" width="9.140625" style="19" customWidth="1"/>
    <col min="233" max="233" width="3.85546875" style="19" customWidth="1"/>
    <col min="234" max="235" width="23.28515625" style="19" customWidth="1"/>
    <col min="236" max="236" width="39" style="19" customWidth="1"/>
    <col min="237" max="237" width="19.7109375" style="19" customWidth="1"/>
    <col min="238" max="241" width="15.7109375" style="19" customWidth="1"/>
    <col min="242" max="488" width="9.140625" style="19" customWidth="1"/>
    <col min="489" max="489" width="3.85546875" style="19" customWidth="1"/>
    <col min="490" max="491" width="23.28515625" style="19" customWidth="1"/>
    <col min="492" max="492" width="39" style="19" customWidth="1"/>
    <col min="493" max="493" width="19.7109375" style="19" customWidth="1"/>
    <col min="494" max="497" width="15.7109375" style="19" customWidth="1"/>
    <col min="498" max="744" width="9.140625" style="19" customWidth="1"/>
    <col min="745" max="745" width="3.85546875" style="19" customWidth="1"/>
    <col min="746" max="747" width="23.28515625" style="19" customWidth="1"/>
    <col min="748" max="748" width="39" style="19" customWidth="1"/>
    <col min="749" max="749" width="19.7109375" style="19" customWidth="1"/>
    <col min="750" max="753" width="15.7109375" style="19" customWidth="1"/>
    <col min="754" max="1000" width="9.140625" style="19" customWidth="1"/>
    <col min="1001" max="1001" width="3.85546875" style="19" customWidth="1"/>
    <col min="1002" max="1003" width="23.28515625" style="19" customWidth="1"/>
    <col min="1004" max="1004" width="39" style="19" customWidth="1"/>
    <col min="1005" max="1005" width="19.7109375" style="19" customWidth="1"/>
    <col min="1006" max="1009" width="15.7109375" style="19" customWidth="1"/>
    <col min="1010" max="1256" width="9.140625" style="19" customWidth="1"/>
    <col min="1257" max="1257" width="3.85546875" style="19" customWidth="1"/>
    <col min="1258" max="1259" width="23.28515625" style="19" customWidth="1"/>
    <col min="1260" max="1260" width="39" style="19" customWidth="1"/>
    <col min="1261" max="1261" width="19.7109375" style="19" customWidth="1"/>
    <col min="1262" max="1265" width="15.7109375" style="19" customWidth="1"/>
    <col min="1266" max="1512" width="9.140625" style="19" customWidth="1"/>
    <col min="1513" max="1513" width="3.85546875" style="19" customWidth="1"/>
    <col min="1514" max="1515" width="23.28515625" style="19" customWidth="1"/>
    <col min="1516" max="1516" width="39" style="19" customWidth="1"/>
    <col min="1517" max="1517" width="19.7109375" style="19" customWidth="1"/>
    <col min="1518" max="1521" width="15.7109375" style="19" customWidth="1"/>
    <col min="1522" max="1768" width="9.140625" style="19" customWidth="1"/>
    <col min="1769" max="1769" width="3.85546875" style="19" customWidth="1"/>
    <col min="1770" max="1771" width="23.28515625" style="19" customWidth="1"/>
    <col min="1772" max="1772" width="39" style="19" customWidth="1"/>
    <col min="1773" max="1773" width="19.7109375" style="19" customWidth="1"/>
    <col min="1774" max="1777" width="15.7109375" style="19" customWidth="1"/>
    <col min="1778" max="2024" width="9.140625" style="19" customWidth="1"/>
    <col min="2025" max="2025" width="3.85546875" style="19" customWidth="1"/>
    <col min="2026" max="2027" width="23.28515625" style="19" customWidth="1"/>
    <col min="2028" max="2028" width="39" style="19" customWidth="1"/>
    <col min="2029" max="2029" width="19.7109375" style="19" customWidth="1"/>
    <col min="2030" max="2033" width="15.7109375" style="19" customWidth="1"/>
    <col min="2034" max="2280" width="9.140625" style="19" customWidth="1"/>
    <col min="2281" max="2281" width="3.85546875" style="19" customWidth="1"/>
    <col min="2282" max="2283" width="23.28515625" style="19" customWidth="1"/>
    <col min="2284" max="2284" width="39" style="19" customWidth="1"/>
    <col min="2285" max="2285" width="19.7109375" style="19" customWidth="1"/>
    <col min="2286" max="2289" width="15.7109375" style="19" customWidth="1"/>
    <col min="2290" max="2536" width="9.140625" style="19" customWidth="1"/>
    <col min="2537" max="2537" width="3.85546875" style="19" customWidth="1"/>
    <col min="2538" max="2539" width="23.28515625" style="19" customWidth="1"/>
    <col min="2540" max="2540" width="39" style="19" customWidth="1"/>
    <col min="2541" max="2541" width="19.7109375" style="19" customWidth="1"/>
    <col min="2542" max="2545" width="15.7109375" style="19" customWidth="1"/>
    <col min="2546" max="2792" width="9.140625" style="19" customWidth="1"/>
    <col min="2793" max="2793" width="3.85546875" style="19" customWidth="1"/>
    <col min="2794" max="2795" width="23.28515625" style="19" customWidth="1"/>
    <col min="2796" max="2796" width="39" style="19" customWidth="1"/>
    <col min="2797" max="2797" width="19.7109375" style="19" customWidth="1"/>
    <col min="2798" max="2801" width="15.7109375" style="19" customWidth="1"/>
    <col min="2802" max="3048" width="9.140625" style="19" customWidth="1"/>
    <col min="3049" max="3049" width="3.85546875" style="19" customWidth="1"/>
    <col min="3050" max="3051" width="23.28515625" style="19" customWidth="1"/>
    <col min="3052" max="3052" width="39" style="19" customWidth="1"/>
    <col min="3053" max="3053" width="19.7109375" style="19" customWidth="1"/>
    <col min="3054" max="3057" width="15.7109375" style="19" customWidth="1"/>
    <col min="3058" max="3304" width="9.140625" style="19" customWidth="1"/>
    <col min="3305" max="3305" width="3.85546875" style="19" customWidth="1"/>
    <col min="3306" max="3307" width="23.28515625" style="19" customWidth="1"/>
    <col min="3308" max="3308" width="39" style="19" customWidth="1"/>
    <col min="3309" max="3309" width="19.7109375" style="19" customWidth="1"/>
    <col min="3310" max="3313" width="15.7109375" style="19" customWidth="1"/>
    <col min="3314" max="3560" width="9.140625" style="19" customWidth="1"/>
    <col min="3561" max="3561" width="3.85546875" style="19" customWidth="1"/>
    <col min="3562" max="3563" width="23.28515625" style="19" customWidth="1"/>
    <col min="3564" max="3564" width="39" style="19" customWidth="1"/>
    <col min="3565" max="3565" width="19.7109375" style="19" customWidth="1"/>
    <col min="3566" max="3569" width="15.7109375" style="19" customWidth="1"/>
    <col min="3570" max="3816" width="9.140625" style="19" customWidth="1"/>
    <col min="3817" max="3817" width="3.85546875" style="19" customWidth="1"/>
    <col min="3818" max="3819" width="23.28515625" style="19" customWidth="1"/>
    <col min="3820" max="3820" width="39" style="19" customWidth="1"/>
    <col min="3821" max="3821" width="19.7109375" style="19" customWidth="1"/>
    <col min="3822" max="3825" width="15.7109375" style="19" customWidth="1"/>
    <col min="3826" max="4072" width="9.140625" style="19" customWidth="1"/>
    <col min="4073" max="4073" width="3.85546875" style="19" customWidth="1"/>
    <col min="4074" max="4075" width="23.28515625" style="19" customWidth="1"/>
    <col min="4076" max="4076" width="39" style="19" customWidth="1"/>
    <col min="4077" max="4077" width="19.7109375" style="19" customWidth="1"/>
    <col min="4078" max="4081" width="15.7109375" style="19" customWidth="1"/>
    <col min="4082" max="4328" width="9.140625" style="19" customWidth="1"/>
    <col min="4329" max="4329" width="3.85546875" style="19" customWidth="1"/>
    <col min="4330" max="4331" width="23.28515625" style="19" customWidth="1"/>
    <col min="4332" max="4332" width="39" style="19" customWidth="1"/>
    <col min="4333" max="4333" width="19.7109375" style="19" customWidth="1"/>
    <col min="4334" max="4337" width="15.7109375" style="19" customWidth="1"/>
    <col min="4338" max="4584" width="9.140625" style="19" customWidth="1"/>
    <col min="4585" max="4585" width="3.85546875" style="19" customWidth="1"/>
    <col min="4586" max="4587" width="23.28515625" style="19" customWidth="1"/>
    <col min="4588" max="4588" width="39" style="19" customWidth="1"/>
    <col min="4589" max="4589" width="19.7109375" style="19" customWidth="1"/>
    <col min="4590" max="4593" width="15.7109375" style="19" customWidth="1"/>
    <col min="4594" max="4840" width="9.140625" style="19" customWidth="1"/>
    <col min="4841" max="4841" width="3.85546875" style="19" customWidth="1"/>
    <col min="4842" max="4843" width="23.28515625" style="19" customWidth="1"/>
    <col min="4844" max="4844" width="39" style="19" customWidth="1"/>
    <col min="4845" max="4845" width="19.7109375" style="19" customWidth="1"/>
    <col min="4846" max="4849" width="15.7109375" style="19" customWidth="1"/>
    <col min="4850" max="5096" width="9.140625" style="19" customWidth="1"/>
    <col min="5097" max="5097" width="3.85546875" style="19" customWidth="1"/>
    <col min="5098" max="5099" width="23.28515625" style="19" customWidth="1"/>
    <col min="5100" max="5100" width="39" style="19" customWidth="1"/>
    <col min="5101" max="5101" width="19.7109375" style="19" customWidth="1"/>
    <col min="5102" max="5105" width="15.7109375" style="19" customWidth="1"/>
    <col min="5106" max="5352" width="9.140625" style="19" customWidth="1"/>
    <col min="5353" max="5353" width="3.85546875" style="19" customWidth="1"/>
    <col min="5354" max="5355" width="23.28515625" style="19" customWidth="1"/>
    <col min="5356" max="5356" width="39" style="19" customWidth="1"/>
    <col min="5357" max="5357" width="19.7109375" style="19" customWidth="1"/>
    <col min="5358" max="5361" width="15.7109375" style="19" customWidth="1"/>
    <col min="5362" max="5608" width="9.140625" style="19" customWidth="1"/>
    <col min="5609" max="5609" width="3.85546875" style="19" customWidth="1"/>
    <col min="5610" max="5611" width="23.28515625" style="19" customWidth="1"/>
    <col min="5612" max="5612" width="39" style="19" customWidth="1"/>
    <col min="5613" max="5613" width="19.7109375" style="19" customWidth="1"/>
    <col min="5614" max="5617" width="15.7109375" style="19" customWidth="1"/>
    <col min="5618" max="5864" width="9.140625" style="19" customWidth="1"/>
    <col min="5865" max="5865" width="3.85546875" style="19" customWidth="1"/>
    <col min="5866" max="5867" width="23.28515625" style="19" customWidth="1"/>
    <col min="5868" max="5868" width="39" style="19" customWidth="1"/>
    <col min="5869" max="5869" width="19.7109375" style="19" customWidth="1"/>
    <col min="5870" max="5873" width="15.7109375" style="19" customWidth="1"/>
    <col min="5874" max="6120" width="9.140625" style="19" customWidth="1"/>
    <col min="6121" max="6121" width="3.85546875" style="19" customWidth="1"/>
    <col min="6122" max="6123" width="23.28515625" style="19" customWidth="1"/>
    <col min="6124" max="6124" width="39" style="19" customWidth="1"/>
    <col min="6125" max="6125" width="19.7109375" style="19" customWidth="1"/>
    <col min="6126" max="6129" width="15.7109375" style="19" customWidth="1"/>
    <col min="6130" max="6376" width="9.140625" style="19" customWidth="1"/>
    <col min="6377" max="6377" width="3.85546875" style="19" customWidth="1"/>
    <col min="6378" max="6379" width="23.28515625" style="19" customWidth="1"/>
    <col min="6380" max="6380" width="39" style="19" customWidth="1"/>
    <col min="6381" max="6381" width="19.7109375" style="19" customWidth="1"/>
    <col min="6382" max="6385" width="15.7109375" style="19" customWidth="1"/>
    <col min="6386" max="6632" width="9.140625" style="19" customWidth="1"/>
    <col min="6633" max="6633" width="3.85546875" style="19" customWidth="1"/>
    <col min="6634" max="6635" width="23.28515625" style="19" customWidth="1"/>
    <col min="6636" max="6636" width="39" style="19" customWidth="1"/>
    <col min="6637" max="6637" width="19.7109375" style="19" customWidth="1"/>
    <col min="6638" max="6641" width="15.7109375" style="19" customWidth="1"/>
    <col min="6642" max="6888" width="9.140625" style="19" customWidth="1"/>
    <col min="6889" max="6889" width="3.85546875" style="19" customWidth="1"/>
    <col min="6890" max="6891" width="23.28515625" style="19" customWidth="1"/>
    <col min="6892" max="6892" width="39" style="19" customWidth="1"/>
    <col min="6893" max="6893" width="19.7109375" style="19" customWidth="1"/>
    <col min="6894" max="6897" width="15.7109375" style="19" customWidth="1"/>
    <col min="6898" max="7144" width="9.140625" style="19" customWidth="1"/>
    <col min="7145" max="7145" width="3.85546875" style="19" customWidth="1"/>
    <col min="7146" max="7147" width="23.28515625" style="19" customWidth="1"/>
    <col min="7148" max="7148" width="39" style="19" customWidth="1"/>
    <col min="7149" max="7149" width="19.7109375" style="19" customWidth="1"/>
    <col min="7150" max="7153" width="15.7109375" style="19" customWidth="1"/>
    <col min="7154" max="7400" width="9.140625" style="19" customWidth="1"/>
    <col min="7401" max="7401" width="3.85546875" style="19" customWidth="1"/>
    <col min="7402" max="7403" width="23.28515625" style="19" customWidth="1"/>
    <col min="7404" max="7404" width="39" style="19" customWidth="1"/>
    <col min="7405" max="7405" width="19.7109375" style="19" customWidth="1"/>
    <col min="7406" max="7409" width="15.7109375" style="19" customWidth="1"/>
    <col min="7410" max="7656" width="9.140625" style="19" customWidth="1"/>
    <col min="7657" max="7657" width="3.85546875" style="19" customWidth="1"/>
    <col min="7658" max="7659" width="23.28515625" style="19" customWidth="1"/>
    <col min="7660" max="7660" width="39" style="19" customWidth="1"/>
    <col min="7661" max="7661" width="19.7109375" style="19" customWidth="1"/>
    <col min="7662" max="7665" width="15.7109375" style="19" customWidth="1"/>
    <col min="7666" max="7912" width="9.140625" style="19" customWidth="1"/>
    <col min="7913" max="7913" width="3.85546875" style="19" customWidth="1"/>
    <col min="7914" max="7915" width="23.28515625" style="19" customWidth="1"/>
    <col min="7916" max="7916" width="39" style="19" customWidth="1"/>
    <col min="7917" max="7917" width="19.7109375" style="19" customWidth="1"/>
    <col min="7918" max="7921" width="15.7109375" style="19" customWidth="1"/>
    <col min="7922" max="8168" width="9.140625" style="19" customWidth="1"/>
    <col min="8169" max="8169" width="3.85546875" style="19" customWidth="1"/>
    <col min="8170" max="8171" width="23.28515625" style="19" customWidth="1"/>
    <col min="8172" max="8172" width="39" style="19" customWidth="1"/>
    <col min="8173" max="8173" width="19.7109375" style="19" customWidth="1"/>
    <col min="8174" max="8177" width="15.7109375" style="19" customWidth="1"/>
    <col min="8178" max="8424" width="9.140625" style="19" customWidth="1"/>
    <col min="8425" max="8425" width="3.85546875" style="19" customWidth="1"/>
    <col min="8426" max="8427" width="23.28515625" style="19" customWidth="1"/>
    <col min="8428" max="8428" width="39" style="19" customWidth="1"/>
    <col min="8429" max="8429" width="19.7109375" style="19" customWidth="1"/>
    <col min="8430" max="8433" width="15.7109375" style="19" customWidth="1"/>
    <col min="8434" max="8680" width="9.140625" style="19" customWidth="1"/>
    <col min="8681" max="8681" width="3.85546875" style="19" customWidth="1"/>
    <col min="8682" max="8683" width="23.28515625" style="19" customWidth="1"/>
    <col min="8684" max="8684" width="39" style="19" customWidth="1"/>
    <col min="8685" max="8685" width="19.7109375" style="19" customWidth="1"/>
    <col min="8686" max="8689" width="15.7109375" style="19" customWidth="1"/>
    <col min="8690" max="8936" width="9.140625" style="19" customWidth="1"/>
    <col min="8937" max="8937" width="3.85546875" style="19" customWidth="1"/>
    <col min="8938" max="8939" width="23.28515625" style="19" customWidth="1"/>
    <col min="8940" max="8940" width="39" style="19" customWidth="1"/>
    <col min="8941" max="8941" width="19.7109375" style="19" customWidth="1"/>
    <col min="8942" max="8945" width="15.7109375" style="19" customWidth="1"/>
    <col min="8946" max="9192" width="9.140625" style="19" customWidth="1"/>
    <col min="9193" max="9193" width="3.85546875" style="19" customWidth="1"/>
    <col min="9194" max="9195" width="23.28515625" style="19" customWidth="1"/>
    <col min="9196" max="9196" width="39" style="19" customWidth="1"/>
    <col min="9197" max="9197" width="19.7109375" style="19" customWidth="1"/>
    <col min="9198" max="9201" width="15.7109375" style="19" customWidth="1"/>
    <col min="9202" max="9448" width="9.140625" style="19" customWidth="1"/>
    <col min="9449" max="9449" width="3.85546875" style="19" customWidth="1"/>
    <col min="9450" max="9451" width="23.28515625" style="19" customWidth="1"/>
    <col min="9452" max="9452" width="39" style="19" customWidth="1"/>
    <col min="9453" max="9453" width="19.7109375" style="19" customWidth="1"/>
    <col min="9454" max="9457" width="15.7109375" style="19" customWidth="1"/>
    <col min="9458" max="9704" width="9.140625" style="19" customWidth="1"/>
    <col min="9705" max="9705" width="3.85546875" style="19" customWidth="1"/>
    <col min="9706" max="9707" width="23.28515625" style="19" customWidth="1"/>
    <col min="9708" max="9708" width="39" style="19" customWidth="1"/>
    <col min="9709" max="9709" width="19.7109375" style="19" customWidth="1"/>
    <col min="9710" max="9713" width="15.7109375" style="19" customWidth="1"/>
    <col min="9714" max="9960" width="9.140625" style="19" customWidth="1"/>
    <col min="9961" max="9961" width="3.85546875" style="19" customWidth="1"/>
    <col min="9962" max="9963" width="23.28515625" style="19" customWidth="1"/>
    <col min="9964" max="9964" width="39" style="19" customWidth="1"/>
    <col min="9965" max="9965" width="19.7109375" style="19" customWidth="1"/>
    <col min="9966" max="9969" width="15.7109375" style="19" customWidth="1"/>
    <col min="9970" max="10216" width="9.140625" style="19" customWidth="1"/>
    <col min="10217" max="10217" width="3.85546875" style="19" customWidth="1"/>
    <col min="10218" max="10219" width="23.28515625" style="19" customWidth="1"/>
    <col min="10220" max="10220" width="39" style="19" customWidth="1"/>
    <col min="10221" max="10221" width="19.7109375" style="19" customWidth="1"/>
    <col min="10222" max="10225" width="15.7109375" style="19" customWidth="1"/>
    <col min="10226" max="10472" width="9.140625" style="19" customWidth="1"/>
    <col min="10473" max="10473" width="3.85546875" style="19" customWidth="1"/>
    <col min="10474" max="10475" width="23.28515625" style="19" customWidth="1"/>
    <col min="10476" max="10476" width="39" style="19" customWidth="1"/>
    <col min="10477" max="10477" width="19.7109375" style="19" customWidth="1"/>
    <col min="10478" max="10481" width="15.7109375" style="19" customWidth="1"/>
    <col min="10482" max="10728" width="9.140625" style="19" customWidth="1"/>
    <col min="10729" max="10729" width="3.85546875" style="19" customWidth="1"/>
    <col min="10730" max="10731" width="23.28515625" style="19" customWidth="1"/>
    <col min="10732" max="10732" width="39" style="19" customWidth="1"/>
    <col min="10733" max="10733" width="19.7109375" style="19" customWidth="1"/>
    <col min="10734" max="10737" width="15.7109375" style="19" customWidth="1"/>
    <col min="10738" max="10984" width="9.140625" style="19" customWidth="1"/>
    <col min="10985" max="10985" width="3.85546875" style="19" customWidth="1"/>
    <col min="10986" max="10987" width="23.28515625" style="19" customWidth="1"/>
    <col min="10988" max="10988" width="39" style="19" customWidth="1"/>
    <col min="10989" max="10989" width="19.7109375" style="19" customWidth="1"/>
    <col min="10990" max="10993" width="15.7109375" style="19" customWidth="1"/>
    <col min="10994" max="11240" width="9.140625" style="19" customWidth="1"/>
    <col min="11241" max="11241" width="3.85546875" style="19" customWidth="1"/>
    <col min="11242" max="11243" width="23.28515625" style="19" customWidth="1"/>
    <col min="11244" max="11244" width="39" style="19" customWidth="1"/>
    <col min="11245" max="11245" width="19.7109375" style="19" customWidth="1"/>
    <col min="11246" max="11249" width="15.7109375" style="19" customWidth="1"/>
    <col min="11250" max="11496" width="9.140625" style="19" customWidth="1"/>
    <col min="11497" max="11497" width="3.85546875" style="19" customWidth="1"/>
    <col min="11498" max="11499" width="23.28515625" style="19" customWidth="1"/>
    <col min="11500" max="11500" width="39" style="19" customWidth="1"/>
    <col min="11501" max="11501" width="19.7109375" style="19" customWidth="1"/>
    <col min="11502" max="11505" width="15.7109375" style="19" customWidth="1"/>
    <col min="11506" max="11752" width="9.140625" style="19" customWidth="1"/>
    <col min="11753" max="11753" width="3.85546875" style="19" customWidth="1"/>
    <col min="11754" max="11755" width="23.28515625" style="19" customWidth="1"/>
    <col min="11756" max="11756" width="39" style="19" customWidth="1"/>
    <col min="11757" max="11757" width="19.7109375" style="19" customWidth="1"/>
    <col min="11758" max="11761" width="15.7109375" style="19" customWidth="1"/>
    <col min="11762" max="12008" width="9.140625" style="19" customWidth="1"/>
    <col min="12009" max="12009" width="3.85546875" style="19" customWidth="1"/>
    <col min="12010" max="12011" width="23.28515625" style="19" customWidth="1"/>
    <col min="12012" max="12012" width="39" style="19" customWidth="1"/>
    <col min="12013" max="12013" width="19.7109375" style="19" customWidth="1"/>
    <col min="12014" max="12017" width="15.7109375" style="19" customWidth="1"/>
    <col min="12018" max="12264" width="9.140625" style="19" customWidth="1"/>
    <col min="12265" max="12265" width="3.85546875" style="19" customWidth="1"/>
    <col min="12266" max="12267" width="23.28515625" style="19" customWidth="1"/>
    <col min="12268" max="12268" width="39" style="19" customWidth="1"/>
    <col min="12269" max="12269" width="19.7109375" style="19" customWidth="1"/>
    <col min="12270" max="12273" width="15.7109375" style="19" customWidth="1"/>
    <col min="12274" max="12520" width="9.140625" style="19" customWidth="1"/>
    <col min="12521" max="12521" width="3.85546875" style="19" customWidth="1"/>
    <col min="12522" max="12523" width="23.28515625" style="19" customWidth="1"/>
    <col min="12524" max="12524" width="39" style="19" customWidth="1"/>
    <col min="12525" max="12525" width="19.7109375" style="19" customWidth="1"/>
    <col min="12526" max="12529" width="15.7109375" style="19" customWidth="1"/>
    <col min="12530" max="12776" width="9.140625" style="19" customWidth="1"/>
    <col min="12777" max="12777" width="3.85546875" style="19" customWidth="1"/>
    <col min="12778" max="12779" width="23.28515625" style="19" customWidth="1"/>
    <col min="12780" max="12780" width="39" style="19" customWidth="1"/>
    <col min="12781" max="12781" width="19.7109375" style="19" customWidth="1"/>
    <col min="12782" max="12785" width="15.7109375" style="19" customWidth="1"/>
    <col min="12786" max="13032" width="9.140625" style="19" customWidth="1"/>
    <col min="13033" max="13033" width="3.85546875" style="19" customWidth="1"/>
    <col min="13034" max="13035" width="23.28515625" style="19" customWidth="1"/>
    <col min="13036" max="13036" width="39" style="19" customWidth="1"/>
    <col min="13037" max="13037" width="19.7109375" style="19" customWidth="1"/>
    <col min="13038" max="13041" width="15.7109375" style="19" customWidth="1"/>
    <col min="13042" max="13288" width="9.140625" style="19" customWidth="1"/>
    <col min="13289" max="13289" width="3.85546875" style="19" customWidth="1"/>
    <col min="13290" max="13291" width="23.28515625" style="19" customWidth="1"/>
    <col min="13292" max="13292" width="39" style="19" customWidth="1"/>
    <col min="13293" max="13293" width="19.7109375" style="19" customWidth="1"/>
    <col min="13294" max="13297" width="15.7109375" style="19" customWidth="1"/>
    <col min="13298" max="13544" width="9.140625" style="19" customWidth="1"/>
    <col min="13545" max="13545" width="3.85546875" style="19" customWidth="1"/>
    <col min="13546" max="13547" width="23.28515625" style="19" customWidth="1"/>
    <col min="13548" max="13548" width="39" style="19" customWidth="1"/>
    <col min="13549" max="13549" width="19.7109375" style="19" customWidth="1"/>
    <col min="13550" max="13553" width="15.7109375" style="19" customWidth="1"/>
    <col min="13554" max="13800" width="9.140625" style="19" customWidth="1"/>
    <col min="13801" max="13801" width="3.85546875" style="19" customWidth="1"/>
    <col min="13802" max="13803" width="23.28515625" style="19" customWidth="1"/>
    <col min="13804" max="13804" width="39" style="19" customWidth="1"/>
    <col min="13805" max="13805" width="19.7109375" style="19" customWidth="1"/>
    <col min="13806" max="13809" width="15.7109375" style="19" customWidth="1"/>
    <col min="13810" max="14056" width="9.140625" style="19" customWidth="1"/>
    <col min="14057" max="14057" width="3.85546875" style="19" customWidth="1"/>
    <col min="14058" max="14059" width="23.28515625" style="19" customWidth="1"/>
    <col min="14060" max="14060" width="39" style="19" customWidth="1"/>
    <col min="14061" max="14061" width="19.7109375" style="19" customWidth="1"/>
    <col min="14062" max="14065" width="15.7109375" style="19" customWidth="1"/>
    <col min="14066" max="14312" width="9.140625" style="19" customWidth="1"/>
    <col min="14313" max="14313" width="3.85546875" style="19" customWidth="1"/>
    <col min="14314" max="14315" width="23.28515625" style="19" customWidth="1"/>
    <col min="14316" max="14316" width="39" style="19" customWidth="1"/>
    <col min="14317" max="14317" width="19.7109375" style="19" customWidth="1"/>
    <col min="14318" max="14321" width="15.7109375" style="19" customWidth="1"/>
    <col min="14322" max="14568" width="9.140625" style="19" customWidth="1"/>
    <col min="14569" max="14569" width="3.85546875" style="19" customWidth="1"/>
    <col min="14570" max="14571" width="23.28515625" style="19" customWidth="1"/>
    <col min="14572" max="14572" width="39" style="19" customWidth="1"/>
    <col min="14573" max="14573" width="19.7109375" style="19" customWidth="1"/>
    <col min="14574" max="14577" width="15.7109375" style="19" customWidth="1"/>
    <col min="14578" max="14824" width="9.140625" style="19" customWidth="1"/>
    <col min="14825" max="14825" width="3.85546875" style="19" customWidth="1"/>
    <col min="14826" max="14827" width="23.28515625" style="19" customWidth="1"/>
    <col min="14828" max="14828" width="39" style="19" customWidth="1"/>
    <col min="14829" max="14829" width="19.7109375" style="19" customWidth="1"/>
    <col min="14830" max="14833" width="15.7109375" style="19" customWidth="1"/>
    <col min="14834" max="15080" width="9.140625" style="19" customWidth="1"/>
    <col min="15081" max="15081" width="3.85546875" style="19" customWidth="1"/>
    <col min="15082" max="15083" width="23.28515625" style="19" customWidth="1"/>
    <col min="15084" max="15084" width="39" style="19" customWidth="1"/>
    <col min="15085" max="15085" width="19.7109375" style="19" customWidth="1"/>
    <col min="15086" max="15089" width="15.7109375" style="19" customWidth="1"/>
    <col min="15090" max="15336" width="9.140625" style="19" customWidth="1"/>
    <col min="15337" max="15337" width="3.85546875" style="19" customWidth="1"/>
    <col min="15338" max="15339" width="23.28515625" style="19" customWidth="1"/>
    <col min="15340" max="15340" width="39" style="19" customWidth="1"/>
    <col min="15341" max="15341" width="19.7109375" style="19" customWidth="1"/>
    <col min="15342" max="15345" width="15.7109375" style="19" customWidth="1"/>
    <col min="15346" max="15592" width="9.140625" style="19" customWidth="1"/>
    <col min="15593" max="15593" width="3.85546875" style="19" customWidth="1"/>
    <col min="15594" max="15595" width="23.28515625" style="19" customWidth="1"/>
    <col min="15596" max="15596" width="39" style="19" customWidth="1"/>
    <col min="15597" max="15597" width="19.7109375" style="19" customWidth="1"/>
    <col min="15598" max="15601" width="15.7109375" style="19" customWidth="1"/>
    <col min="15602" max="15848" width="9.140625" style="19" customWidth="1"/>
    <col min="15849" max="15849" width="3.85546875" style="19" customWidth="1"/>
    <col min="15850" max="15851" width="23.28515625" style="19" customWidth="1"/>
    <col min="15852" max="15852" width="39" style="19" customWidth="1"/>
    <col min="15853" max="15853" width="19.7109375" style="19" customWidth="1"/>
    <col min="15854" max="15857" width="15.7109375" style="19" customWidth="1"/>
    <col min="15858" max="16104" width="9.140625" style="19" customWidth="1"/>
    <col min="16105" max="16105" width="3.85546875" style="19" customWidth="1"/>
    <col min="16106" max="16107" width="23.28515625" style="19" customWidth="1"/>
    <col min="16108" max="16108" width="39" style="19" customWidth="1"/>
    <col min="16109" max="16109" width="19.7109375" style="19" customWidth="1"/>
    <col min="16110" max="16113" width="15.7109375" style="19" customWidth="1"/>
    <col min="16114" max="16384" width="9.140625" style="19" customWidth="1"/>
  </cols>
  <sheetData>
    <row r="1" spans="1:25" x14ac:dyDescent="0.2">
      <c r="A1" s="27"/>
      <c r="M1" s="168"/>
      <c r="N1" s="59"/>
      <c r="O1" s="148" t="s">
        <v>157</v>
      </c>
      <c r="P1" s="149"/>
      <c r="Q1" s="149"/>
      <c r="R1" s="149"/>
      <c r="S1" s="150"/>
      <c r="T1" s="150"/>
      <c r="U1" s="149"/>
      <c r="V1" s="149"/>
      <c r="W1" s="149"/>
    </row>
    <row r="2" spans="1:25" ht="18" customHeight="1" x14ac:dyDescent="0.25">
      <c r="A2" s="27"/>
      <c r="B2" s="61" t="s">
        <v>5</v>
      </c>
      <c r="C2" s="61" t="s">
        <v>45</v>
      </c>
      <c r="D2" s="61" t="s">
        <v>46</v>
      </c>
      <c r="E2" s="61" t="s">
        <v>47</v>
      </c>
      <c r="F2" s="61" t="s">
        <v>48</v>
      </c>
      <c r="G2" s="61" t="s">
        <v>49</v>
      </c>
      <c r="H2" s="61" t="s">
        <v>78</v>
      </c>
      <c r="I2" s="62" t="s">
        <v>58</v>
      </c>
      <c r="J2" s="62" t="s">
        <v>233</v>
      </c>
      <c r="K2" s="62" t="s">
        <v>158</v>
      </c>
      <c r="L2" s="131"/>
      <c r="M2" s="168"/>
      <c r="N2" s="125"/>
      <c r="O2" s="230" t="s">
        <v>5</v>
      </c>
      <c r="P2" s="230" t="s">
        <v>263</v>
      </c>
      <c r="Q2" s="230" t="s">
        <v>264</v>
      </c>
      <c r="R2" s="230" t="s">
        <v>265</v>
      </c>
      <c r="S2" s="230" t="s">
        <v>266</v>
      </c>
      <c r="T2" s="230" t="s">
        <v>155</v>
      </c>
      <c r="U2" s="230" t="s">
        <v>97</v>
      </c>
      <c r="V2" s="230" t="s">
        <v>267</v>
      </c>
      <c r="W2" s="230" t="s">
        <v>268</v>
      </c>
    </row>
    <row r="3" spans="1:25" ht="18" customHeight="1" x14ac:dyDescent="0.35">
      <c r="A3" s="27"/>
      <c r="B3" s="182" t="s">
        <v>861</v>
      </c>
      <c r="C3" s="183" t="s">
        <v>183</v>
      </c>
      <c r="D3" s="183" t="s">
        <v>187</v>
      </c>
      <c r="E3" s="183" t="s">
        <v>219</v>
      </c>
      <c r="F3" s="183">
        <v>2000000</v>
      </c>
      <c r="G3" s="183">
        <v>0</v>
      </c>
      <c r="H3" s="183">
        <v>4236699</v>
      </c>
      <c r="I3" s="217" t="s">
        <v>256</v>
      </c>
      <c r="J3" s="167" t="str">
        <f>IFERROR(VLOOKUP(-F3,$T$3:$W$41,4,FALSE),"")</f>
        <v xml:space="preserve"> </v>
      </c>
      <c r="K3" s="167" t="str">
        <f>IFERROR(VLOOKUP(-F3,$T$3:$W$35,3,FALSE),"")</f>
        <v>SOCIEDAD HOTELERA ZAMORA RAMIREZ HERMANOS LIM</v>
      </c>
      <c r="L3" s="196"/>
      <c r="M3" s="125"/>
      <c r="N3" s="125"/>
      <c r="O3" s="263" t="s">
        <v>861</v>
      </c>
      <c r="P3" s="264" t="s">
        <v>886</v>
      </c>
      <c r="Q3" s="264" t="s">
        <v>246</v>
      </c>
      <c r="R3" s="264" t="s">
        <v>212</v>
      </c>
      <c r="S3" s="265" t="s">
        <v>511</v>
      </c>
      <c r="T3" s="268">
        <v>-2000000</v>
      </c>
      <c r="U3" s="264" t="s">
        <v>209</v>
      </c>
      <c r="V3" s="264" t="s">
        <v>247</v>
      </c>
      <c r="W3" s="266" t="s">
        <v>262</v>
      </c>
    </row>
    <row r="4" spans="1:25" ht="18" customHeight="1" x14ac:dyDescent="0.3">
      <c r="A4" s="27"/>
      <c r="B4" s="182" t="s">
        <v>861</v>
      </c>
      <c r="C4" s="183" t="s">
        <v>183</v>
      </c>
      <c r="D4" s="183" t="s">
        <v>184</v>
      </c>
      <c r="E4" s="183" t="s">
        <v>219</v>
      </c>
      <c r="F4" s="183">
        <v>50000</v>
      </c>
      <c r="G4" s="183">
        <v>0</v>
      </c>
      <c r="H4" s="183">
        <v>6236699</v>
      </c>
      <c r="I4" s="217" t="s">
        <v>258</v>
      </c>
      <c r="J4" s="167" t="str">
        <f t="shared" ref="J4:J23" si="0">IFERROR(VLOOKUP(-F4,$T$3:$W$41,4,FALSE),"")</f>
        <v>Finiquieto Soc Hotelera Zamora</v>
      </c>
      <c r="K4" s="167" t="str">
        <f t="shared" ref="K4:K23" si="1">IFERROR(VLOOKUP(-F4,$T$3:$W$35,3,FALSE),"")</f>
        <v xml:space="preserve">Javier Mellado                               </v>
      </c>
      <c r="L4" s="196" t="s">
        <v>1036</v>
      </c>
      <c r="M4" s="125"/>
      <c r="N4" s="125"/>
      <c r="O4" s="267" t="s">
        <v>861</v>
      </c>
      <c r="P4" s="264" t="s">
        <v>887</v>
      </c>
      <c r="Q4" s="264" t="s">
        <v>888</v>
      </c>
      <c r="R4" s="264" t="s">
        <v>889</v>
      </c>
      <c r="S4" s="265" t="s">
        <v>890</v>
      </c>
      <c r="T4" s="268">
        <v>-50000</v>
      </c>
      <c r="U4" s="264" t="s">
        <v>209</v>
      </c>
      <c r="V4" s="264" t="s">
        <v>891</v>
      </c>
      <c r="W4" s="266" t="s">
        <v>892</v>
      </c>
      <c r="Y4" s="234"/>
    </row>
    <row r="5" spans="1:25" ht="18" customHeight="1" x14ac:dyDescent="0.35">
      <c r="A5" s="27"/>
      <c r="B5" s="182" t="s">
        <v>861</v>
      </c>
      <c r="C5" s="183" t="s">
        <v>183</v>
      </c>
      <c r="D5" s="183" t="s">
        <v>188</v>
      </c>
      <c r="E5" s="183" t="s">
        <v>219</v>
      </c>
      <c r="F5" s="183">
        <v>0</v>
      </c>
      <c r="G5" s="183">
        <v>4000000</v>
      </c>
      <c r="H5" s="183">
        <v>6286699</v>
      </c>
      <c r="I5" s="217" t="s">
        <v>197</v>
      </c>
      <c r="J5" s="167" t="str">
        <f t="shared" si="0"/>
        <v/>
      </c>
      <c r="K5" s="167" t="str">
        <f t="shared" si="1"/>
        <v/>
      </c>
      <c r="L5" s="196"/>
      <c r="M5" s="125"/>
      <c r="N5" s="125"/>
      <c r="O5" s="267" t="s">
        <v>862</v>
      </c>
      <c r="P5" s="264" t="s">
        <v>893</v>
      </c>
      <c r="Q5" s="264" t="s">
        <v>240</v>
      </c>
      <c r="R5" s="264" t="s">
        <v>210</v>
      </c>
      <c r="S5" s="265" t="s">
        <v>512</v>
      </c>
      <c r="T5" s="268">
        <v>-126603</v>
      </c>
      <c r="U5" s="264" t="s">
        <v>209</v>
      </c>
      <c r="V5" s="264" t="s">
        <v>241</v>
      </c>
      <c r="W5" s="266" t="s">
        <v>894</v>
      </c>
      <c r="Y5" s="234"/>
    </row>
    <row r="6" spans="1:25" ht="18" customHeight="1" x14ac:dyDescent="0.3">
      <c r="A6" s="27"/>
      <c r="B6" s="182" t="s">
        <v>861</v>
      </c>
      <c r="C6" s="183" t="s">
        <v>191</v>
      </c>
      <c r="D6" s="183" t="s">
        <v>192</v>
      </c>
      <c r="E6" s="183" t="s">
        <v>219</v>
      </c>
      <c r="F6" s="183">
        <v>12250</v>
      </c>
      <c r="G6" s="183">
        <v>0</v>
      </c>
      <c r="H6" s="183">
        <v>2286699</v>
      </c>
      <c r="I6" s="217" t="s">
        <v>257</v>
      </c>
      <c r="J6" s="167" t="str">
        <f t="shared" si="0"/>
        <v/>
      </c>
      <c r="K6" s="167" t="str">
        <f t="shared" si="1"/>
        <v/>
      </c>
      <c r="L6" s="196"/>
      <c r="M6" s="125"/>
      <c r="N6" s="125"/>
      <c r="O6" s="267" t="s">
        <v>862</v>
      </c>
      <c r="P6" s="264" t="s">
        <v>895</v>
      </c>
      <c r="Q6" s="264" t="s">
        <v>517</v>
      </c>
      <c r="R6" s="264" t="s">
        <v>518</v>
      </c>
      <c r="S6" s="265" t="s">
        <v>519</v>
      </c>
      <c r="T6" s="268">
        <v>-250000</v>
      </c>
      <c r="U6" s="264" t="s">
        <v>209</v>
      </c>
      <c r="V6" s="264" t="s">
        <v>520</v>
      </c>
      <c r="W6" s="266" t="s">
        <v>896</v>
      </c>
      <c r="Y6" s="234"/>
    </row>
    <row r="7" spans="1:25" s="109" customFormat="1" ht="18" customHeight="1" x14ac:dyDescent="0.3">
      <c r="A7" s="27"/>
      <c r="B7" s="182" t="s">
        <v>862</v>
      </c>
      <c r="C7" s="183" t="s">
        <v>185</v>
      </c>
      <c r="D7" s="183" t="s">
        <v>398</v>
      </c>
      <c r="E7" s="183" t="s">
        <v>219</v>
      </c>
      <c r="F7" s="183">
        <v>47476</v>
      </c>
      <c r="G7" s="183">
        <v>0</v>
      </c>
      <c r="H7" s="183">
        <v>8291108</v>
      </c>
      <c r="I7" s="217" t="s">
        <v>255</v>
      </c>
      <c r="J7" s="167" t="str">
        <f t="shared" si="0"/>
        <v/>
      </c>
      <c r="K7" s="167" t="str">
        <f t="shared" si="1"/>
        <v/>
      </c>
      <c r="L7" s="196"/>
      <c r="M7" s="125"/>
      <c r="N7" s="125"/>
      <c r="O7" s="267" t="s">
        <v>862</v>
      </c>
      <c r="P7" s="264" t="s">
        <v>897</v>
      </c>
      <c r="Q7" s="264" t="s">
        <v>898</v>
      </c>
      <c r="R7" s="264" t="s">
        <v>210</v>
      </c>
      <c r="S7" s="265" t="s">
        <v>899</v>
      </c>
      <c r="T7" s="268">
        <v>-505512</v>
      </c>
      <c r="U7" s="264" t="s">
        <v>209</v>
      </c>
      <c r="V7" s="264" t="s">
        <v>900</v>
      </c>
      <c r="W7" s="266" t="s">
        <v>901</v>
      </c>
      <c r="Y7" s="234"/>
    </row>
    <row r="8" spans="1:25" ht="18" customHeight="1" x14ac:dyDescent="0.3">
      <c r="A8" s="27"/>
      <c r="B8" s="182" t="s">
        <v>862</v>
      </c>
      <c r="C8" s="183" t="s">
        <v>191</v>
      </c>
      <c r="D8" s="183" t="s">
        <v>192</v>
      </c>
      <c r="E8" s="183" t="s">
        <v>219</v>
      </c>
      <c r="F8" s="183">
        <v>16000</v>
      </c>
      <c r="G8" s="183">
        <v>0</v>
      </c>
      <c r="H8" s="183">
        <v>8338584</v>
      </c>
      <c r="I8" s="217" t="s">
        <v>257</v>
      </c>
      <c r="J8" s="167" t="str">
        <f t="shared" si="0"/>
        <v/>
      </c>
      <c r="K8" s="167" t="str">
        <f t="shared" si="1"/>
        <v/>
      </c>
      <c r="L8" s="196"/>
      <c r="M8" s="125"/>
      <c r="N8" s="125"/>
      <c r="O8" s="263" t="s">
        <v>864</v>
      </c>
      <c r="P8" s="264" t="s">
        <v>902</v>
      </c>
      <c r="Q8" s="264" t="s">
        <v>903</v>
      </c>
      <c r="R8" s="264" t="s">
        <v>212</v>
      </c>
      <c r="S8" s="265" t="s">
        <v>904</v>
      </c>
      <c r="T8" s="268">
        <v>-49000</v>
      </c>
      <c r="U8" s="264" t="s">
        <v>209</v>
      </c>
      <c r="V8" s="264" t="s">
        <v>905</v>
      </c>
      <c r="W8" s="266" t="s">
        <v>906</v>
      </c>
      <c r="Y8" s="234"/>
    </row>
    <row r="9" spans="1:25" ht="18" customHeight="1" x14ac:dyDescent="0.3">
      <c r="A9" s="27"/>
      <c r="B9" s="182" t="s">
        <v>862</v>
      </c>
      <c r="C9" s="183" t="s">
        <v>183</v>
      </c>
      <c r="D9" s="183" t="s">
        <v>184</v>
      </c>
      <c r="E9" s="183" t="s">
        <v>219</v>
      </c>
      <c r="F9" s="183">
        <v>126603</v>
      </c>
      <c r="G9" s="183">
        <v>0</v>
      </c>
      <c r="H9" s="183">
        <v>8354584</v>
      </c>
      <c r="I9" s="217" t="s">
        <v>257</v>
      </c>
      <c r="J9" s="167" t="str">
        <f t="shared" si="0"/>
        <v>Fact 357704 Acepta</v>
      </c>
      <c r="K9" s="167" t="str">
        <f t="shared" si="1"/>
        <v xml:space="preserve">Acepta.com                                   </v>
      </c>
      <c r="L9" s="196"/>
      <c r="M9" s="125"/>
      <c r="N9" s="125"/>
      <c r="O9" s="263" t="s">
        <v>865</v>
      </c>
      <c r="P9" s="264" t="s">
        <v>907</v>
      </c>
      <c r="Q9" s="264" t="s">
        <v>908</v>
      </c>
      <c r="R9" s="264" t="s">
        <v>210</v>
      </c>
      <c r="S9" s="265" t="s">
        <v>909</v>
      </c>
      <c r="T9" s="268">
        <v>-172425</v>
      </c>
      <c r="U9" s="264" t="s">
        <v>209</v>
      </c>
      <c r="V9" s="264" t="s">
        <v>910</v>
      </c>
      <c r="W9" s="266" t="s">
        <v>911</v>
      </c>
      <c r="Y9" s="234"/>
    </row>
    <row r="10" spans="1:25" ht="18" customHeight="1" x14ac:dyDescent="0.35">
      <c r="A10" s="27"/>
      <c r="B10" s="182" t="s">
        <v>862</v>
      </c>
      <c r="C10" s="183" t="s">
        <v>183</v>
      </c>
      <c r="D10" s="183" t="s">
        <v>188</v>
      </c>
      <c r="E10" s="183" t="s">
        <v>219</v>
      </c>
      <c r="F10" s="183">
        <v>0</v>
      </c>
      <c r="G10" s="183">
        <v>5000000</v>
      </c>
      <c r="H10" s="183">
        <v>8481187</v>
      </c>
      <c r="I10" s="217" t="s">
        <v>197</v>
      </c>
      <c r="J10" s="167" t="str">
        <f t="shared" si="0"/>
        <v/>
      </c>
      <c r="K10" s="167" t="str">
        <f t="shared" si="1"/>
        <v/>
      </c>
      <c r="L10" s="196"/>
      <c r="M10" s="125"/>
      <c r="N10" s="125"/>
      <c r="O10" s="263" t="s">
        <v>866</v>
      </c>
      <c r="P10" s="264" t="s">
        <v>912</v>
      </c>
      <c r="Q10" s="264" t="s">
        <v>913</v>
      </c>
      <c r="R10" s="264" t="s">
        <v>208</v>
      </c>
      <c r="S10" s="265" t="s">
        <v>914</v>
      </c>
      <c r="T10" s="268">
        <v>-1555782</v>
      </c>
      <c r="U10" s="264" t="s">
        <v>209</v>
      </c>
      <c r="V10" s="264" t="s">
        <v>915</v>
      </c>
      <c r="W10" s="266" t="s">
        <v>916</v>
      </c>
      <c r="Y10" s="234"/>
    </row>
    <row r="11" spans="1:25" ht="18" customHeight="1" x14ac:dyDescent="0.35">
      <c r="A11" s="27"/>
      <c r="B11" s="182" t="s">
        <v>862</v>
      </c>
      <c r="C11" s="183" t="s">
        <v>183</v>
      </c>
      <c r="D11" s="183" t="s">
        <v>184</v>
      </c>
      <c r="E11" s="183" t="s">
        <v>219</v>
      </c>
      <c r="F11" s="183">
        <v>505512</v>
      </c>
      <c r="G11" s="183">
        <v>0</v>
      </c>
      <c r="H11" s="183">
        <v>3481187</v>
      </c>
      <c r="I11" s="217" t="s">
        <v>9</v>
      </c>
      <c r="J11" s="167" t="str">
        <f t="shared" si="0"/>
        <v>Cot 113699</v>
      </c>
      <c r="K11" s="167" t="str">
        <f t="shared" si="1"/>
        <v xml:space="preserve">HORUS PROMOTIONS AND MARCKETING LTDA         </v>
      </c>
      <c r="L11" s="196"/>
      <c r="M11" s="125"/>
      <c r="N11" s="125"/>
      <c r="O11" s="263" t="s">
        <v>867</v>
      </c>
      <c r="P11" s="264" t="s">
        <v>917</v>
      </c>
      <c r="Q11" s="264" t="s">
        <v>918</v>
      </c>
      <c r="R11" s="264" t="s">
        <v>212</v>
      </c>
      <c r="S11" s="265" t="s">
        <v>919</v>
      </c>
      <c r="T11" s="268">
        <v>-154980</v>
      </c>
      <c r="U11" s="264" t="s">
        <v>209</v>
      </c>
      <c r="V11" s="264" t="s">
        <v>920</v>
      </c>
      <c r="W11" s="266" t="s">
        <v>921</v>
      </c>
      <c r="Y11" s="234"/>
    </row>
    <row r="12" spans="1:25" ht="18" customHeight="1" x14ac:dyDescent="0.3">
      <c r="A12" s="27"/>
      <c r="B12" s="182" t="s">
        <v>862</v>
      </c>
      <c r="C12" s="183" t="s">
        <v>183</v>
      </c>
      <c r="D12" s="183" t="s">
        <v>184</v>
      </c>
      <c r="E12" s="183" t="s">
        <v>219</v>
      </c>
      <c r="F12" s="183">
        <v>250000</v>
      </c>
      <c r="G12" s="183">
        <v>0</v>
      </c>
      <c r="H12" s="183">
        <v>3986699</v>
      </c>
      <c r="I12" s="217" t="s">
        <v>257</v>
      </c>
      <c r="J12" s="167" t="str">
        <f t="shared" si="0"/>
        <v>Serv Contables Julio  pendient</v>
      </c>
      <c r="K12" s="167" t="str">
        <f t="shared" si="1"/>
        <v xml:space="preserve">SERVICIOS CONTABLES JABR EIRL                </v>
      </c>
      <c r="L12" s="196"/>
      <c r="M12" s="125"/>
      <c r="N12" s="125"/>
      <c r="O12" s="263" t="s">
        <v>922</v>
      </c>
      <c r="P12" s="264" t="s">
        <v>923</v>
      </c>
      <c r="Q12" s="264" t="s">
        <v>325</v>
      </c>
      <c r="R12" s="264" t="s">
        <v>211</v>
      </c>
      <c r="S12" s="265" t="s">
        <v>513</v>
      </c>
      <c r="T12" s="268">
        <v>-200000</v>
      </c>
      <c r="U12" s="264" t="s">
        <v>209</v>
      </c>
      <c r="V12" s="264" t="s">
        <v>326</v>
      </c>
      <c r="W12" s="266" t="s">
        <v>924</v>
      </c>
      <c r="Y12" s="234"/>
    </row>
    <row r="13" spans="1:25" ht="18" customHeight="1" x14ac:dyDescent="0.3">
      <c r="A13" s="27"/>
      <c r="B13" s="182" t="s">
        <v>863</v>
      </c>
      <c r="C13" s="183" t="s">
        <v>189</v>
      </c>
      <c r="D13" s="183" t="s">
        <v>399</v>
      </c>
      <c r="E13" s="183" t="s">
        <v>219</v>
      </c>
      <c r="F13" s="183">
        <v>1587</v>
      </c>
      <c r="G13" s="183">
        <v>0</v>
      </c>
      <c r="H13" s="183">
        <v>8289521</v>
      </c>
      <c r="I13" s="217" t="s">
        <v>255</v>
      </c>
      <c r="J13" s="167" t="str">
        <f t="shared" si="0"/>
        <v/>
      </c>
      <c r="K13" s="167" t="str">
        <f t="shared" si="1"/>
        <v/>
      </c>
      <c r="L13" s="196"/>
      <c r="M13" s="125"/>
      <c r="N13" s="125"/>
      <c r="O13" s="263" t="s">
        <v>922</v>
      </c>
      <c r="P13" s="264" t="s">
        <v>925</v>
      </c>
      <c r="Q13" s="264" t="s">
        <v>926</v>
      </c>
      <c r="R13" s="264" t="s">
        <v>208</v>
      </c>
      <c r="S13" s="265" t="s">
        <v>927</v>
      </c>
      <c r="T13" s="268">
        <v>-42792</v>
      </c>
      <c r="U13" s="264" t="s">
        <v>209</v>
      </c>
      <c r="V13" s="264" t="s">
        <v>928</v>
      </c>
      <c r="W13" s="266" t="s">
        <v>929</v>
      </c>
      <c r="Y13" s="234"/>
    </row>
    <row r="14" spans="1:25" ht="18" customHeight="1" x14ac:dyDescent="0.3">
      <c r="A14" s="27"/>
      <c r="B14" s="182" t="s">
        <v>864</v>
      </c>
      <c r="C14" s="183" t="s">
        <v>185</v>
      </c>
      <c r="D14" s="183" t="s">
        <v>186</v>
      </c>
      <c r="E14" s="183" t="s">
        <v>219</v>
      </c>
      <c r="F14" s="183">
        <v>11173</v>
      </c>
      <c r="G14" s="183">
        <v>0</v>
      </c>
      <c r="H14" s="183">
        <v>8147348</v>
      </c>
      <c r="I14" s="217" t="s">
        <v>255</v>
      </c>
      <c r="J14" s="167" t="str">
        <f t="shared" si="0"/>
        <v/>
      </c>
      <c r="K14" s="167" t="str">
        <f t="shared" si="1"/>
        <v/>
      </c>
      <c r="L14" s="196"/>
      <c r="M14" s="125"/>
      <c r="N14" s="125"/>
      <c r="O14" s="263" t="s">
        <v>872</v>
      </c>
      <c r="P14" s="264" t="s">
        <v>930</v>
      </c>
      <c r="Q14" s="264" t="s">
        <v>918</v>
      </c>
      <c r="R14" s="264" t="s">
        <v>212</v>
      </c>
      <c r="S14" s="265" t="s">
        <v>919</v>
      </c>
      <c r="T14" s="268">
        <v>-595000</v>
      </c>
      <c r="U14" s="264" t="s">
        <v>209</v>
      </c>
      <c r="V14" s="264" t="s">
        <v>920</v>
      </c>
      <c r="W14" s="266" t="s">
        <v>931</v>
      </c>
      <c r="Y14" s="234"/>
    </row>
    <row r="15" spans="1:25" ht="18" customHeight="1" x14ac:dyDescent="0.35">
      <c r="A15" s="27"/>
      <c r="B15" s="182" t="s">
        <v>864</v>
      </c>
      <c r="C15" s="183" t="s">
        <v>348</v>
      </c>
      <c r="D15" s="183" t="s">
        <v>555</v>
      </c>
      <c r="E15" s="183" t="s">
        <v>219</v>
      </c>
      <c r="F15" s="183">
        <v>0</v>
      </c>
      <c r="G15" s="183">
        <v>18000</v>
      </c>
      <c r="H15" s="183">
        <v>8158521</v>
      </c>
      <c r="I15" s="217" t="s">
        <v>260</v>
      </c>
      <c r="J15" s="167" t="str">
        <f t="shared" si="0"/>
        <v/>
      </c>
      <c r="K15" s="167" t="s">
        <v>559</v>
      </c>
      <c r="L15" s="196"/>
      <c r="M15" s="125"/>
      <c r="N15" s="125"/>
      <c r="O15" s="263" t="s">
        <v>872</v>
      </c>
      <c r="P15" s="264" t="s">
        <v>932</v>
      </c>
      <c r="Q15" s="264" t="s">
        <v>214</v>
      </c>
      <c r="R15" s="264" t="s">
        <v>212</v>
      </c>
      <c r="S15" s="265" t="s">
        <v>526</v>
      </c>
      <c r="T15" s="268">
        <v>-1329449</v>
      </c>
      <c r="U15" s="264" t="s">
        <v>209</v>
      </c>
      <c r="V15" s="264" t="s">
        <v>221</v>
      </c>
      <c r="W15" s="266" t="s">
        <v>933</v>
      </c>
      <c r="Y15" s="234"/>
    </row>
    <row r="16" spans="1:25" ht="18" customHeight="1" x14ac:dyDescent="0.3">
      <c r="A16" s="27"/>
      <c r="B16" s="182" t="s">
        <v>864</v>
      </c>
      <c r="C16" s="183" t="s">
        <v>183</v>
      </c>
      <c r="D16" s="183" t="s">
        <v>187</v>
      </c>
      <c r="E16" s="183" t="s">
        <v>219</v>
      </c>
      <c r="F16" s="183">
        <v>49000</v>
      </c>
      <c r="G16" s="183">
        <v>0</v>
      </c>
      <c r="H16" s="183">
        <v>8140521</v>
      </c>
      <c r="I16" s="217" t="s">
        <v>258</v>
      </c>
      <c r="J16" s="167" t="str">
        <f t="shared" si="0"/>
        <v>Sergio Zamora - Curso Marketin</v>
      </c>
      <c r="K16" s="167" t="str">
        <f t="shared" si="1"/>
        <v xml:space="preserve">Nelson Venegas                               </v>
      </c>
      <c r="L16" s="196"/>
      <c r="M16" s="125"/>
      <c r="N16" s="125"/>
      <c r="O16" s="263" t="s">
        <v>875</v>
      </c>
      <c r="P16" s="264" t="s">
        <v>934</v>
      </c>
      <c r="Q16" s="264" t="s">
        <v>367</v>
      </c>
      <c r="R16" s="264" t="s">
        <v>208</v>
      </c>
      <c r="S16" s="265" t="s">
        <v>552</v>
      </c>
      <c r="T16" s="268">
        <v>-142464</v>
      </c>
      <c r="U16" s="264" t="s">
        <v>209</v>
      </c>
      <c r="V16" s="264" t="s">
        <v>368</v>
      </c>
      <c r="W16" s="266" t="s">
        <v>935</v>
      </c>
      <c r="Y16" s="234"/>
    </row>
    <row r="17" spans="1:25" ht="18" customHeight="1" x14ac:dyDescent="0.3">
      <c r="A17" s="27"/>
      <c r="B17" s="182" t="s">
        <v>864</v>
      </c>
      <c r="C17" s="183" t="s">
        <v>191</v>
      </c>
      <c r="D17" s="183" t="s">
        <v>220</v>
      </c>
      <c r="E17" s="183" t="s">
        <v>219</v>
      </c>
      <c r="F17" s="183">
        <v>100000</v>
      </c>
      <c r="G17" s="183">
        <v>0</v>
      </c>
      <c r="H17" s="183">
        <v>8189521</v>
      </c>
      <c r="I17" s="217" t="s">
        <v>257</v>
      </c>
      <c r="J17" s="167" t="str">
        <f t="shared" si="0"/>
        <v/>
      </c>
      <c r="K17" s="167" t="str">
        <f t="shared" si="1"/>
        <v/>
      </c>
      <c r="L17" s="196"/>
      <c r="M17" s="125"/>
      <c r="N17" s="125"/>
      <c r="O17" s="263" t="s">
        <v>881</v>
      </c>
      <c r="P17" s="264" t="s">
        <v>936</v>
      </c>
      <c r="Q17" s="264" t="s">
        <v>403</v>
      </c>
      <c r="R17" s="264" t="s">
        <v>210</v>
      </c>
      <c r="S17" s="265" t="s">
        <v>510</v>
      </c>
      <c r="T17" s="268">
        <v>-107594</v>
      </c>
      <c r="U17" s="264" t="s">
        <v>209</v>
      </c>
      <c r="V17" s="264" t="s">
        <v>404</v>
      </c>
      <c r="W17" s="266" t="s">
        <v>937</v>
      </c>
      <c r="Y17" s="234"/>
    </row>
    <row r="18" spans="1:25" ht="18" customHeight="1" x14ac:dyDescent="0.3">
      <c r="A18" s="27"/>
      <c r="B18" s="182" t="s">
        <v>865</v>
      </c>
      <c r="C18" s="183" t="s">
        <v>183</v>
      </c>
      <c r="D18" s="183" t="s">
        <v>184</v>
      </c>
      <c r="E18" s="183" t="s">
        <v>219</v>
      </c>
      <c r="F18" s="183">
        <v>172425</v>
      </c>
      <c r="G18" s="183">
        <v>0</v>
      </c>
      <c r="H18" s="183">
        <v>3840239</v>
      </c>
      <c r="I18" s="217" t="s">
        <v>257</v>
      </c>
      <c r="J18" s="167" t="str">
        <f t="shared" si="0"/>
        <v>21 poleras Pascual Andino</v>
      </c>
      <c r="K18" s="167" t="str">
        <f t="shared" si="1"/>
        <v xml:space="preserve">Sandra Millar Cardenas                       </v>
      </c>
      <c r="L18" s="196"/>
      <c r="M18" s="125"/>
      <c r="N18" s="125"/>
      <c r="O18" s="263" t="s">
        <v>881</v>
      </c>
      <c r="P18" s="264" t="s">
        <v>938</v>
      </c>
      <c r="Q18" s="264" t="s">
        <v>939</v>
      </c>
      <c r="R18" s="264" t="s">
        <v>210</v>
      </c>
      <c r="S18" s="265" t="s">
        <v>940</v>
      </c>
      <c r="T18" s="268">
        <v>-124236</v>
      </c>
      <c r="U18" s="264" t="s">
        <v>209</v>
      </c>
      <c r="V18" s="264" t="s">
        <v>941</v>
      </c>
      <c r="W18" s="266" t="s">
        <v>942</v>
      </c>
      <c r="Y18" s="234"/>
    </row>
    <row r="19" spans="1:25" ht="18" customHeight="1" x14ac:dyDescent="0.3">
      <c r="A19" s="27"/>
      <c r="B19" s="182" t="s">
        <v>865</v>
      </c>
      <c r="C19" s="183" t="s">
        <v>189</v>
      </c>
      <c r="D19" s="183" t="s">
        <v>190</v>
      </c>
      <c r="E19" s="183" t="s">
        <v>219</v>
      </c>
      <c r="F19" s="183">
        <v>4134684</v>
      </c>
      <c r="G19" s="183">
        <v>0</v>
      </c>
      <c r="H19" s="183">
        <v>4012664</v>
      </c>
      <c r="I19" s="217" t="s">
        <v>22</v>
      </c>
      <c r="J19" s="167" t="str">
        <f t="shared" si="0"/>
        <v/>
      </c>
      <c r="K19" s="167" t="str">
        <f t="shared" si="1"/>
        <v/>
      </c>
      <c r="L19" s="196"/>
      <c r="M19" s="125"/>
      <c r="N19" s="125"/>
      <c r="O19" s="263" t="s">
        <v>881</v>
      </c>
      <c r="P19" s="264" t="s">
        <v>943</v>
      </c>
      <c r="Q19" s="264" t="s">
        <v>548</v>
      </c>
      <c r="R19" s="264" t="s">
        <v>210</v>
      </c>
      <c r="S19" s="265" t="s">
        <v>549</v>
      </c>
      <c r="T19" s="268">
        <v>-73893</v>
      </c>
      <c r="U19" s="264" t="s">
        <v>209</v>
      </c>
      <c r="V19" s="264" t="s">
        <v>550</v>
      </c>
      <c r="W19" s="266" t="s">
        <v>944</v>
      </c>
      <c r="Y19" s="234"/>
    </row>
    <row r="20" spans="1:25" ht="18" customHeight="1" x14ac:dyDescent="0.3">
      <c r="A20" s="27"/>
      <c r="B20" s="182" t="s">
        <v>866</v>
      </c>
      <c r="C20" s="183" t="s">
        <v>183</v>
      </c>
      <c r="D20" s="183" t="s">
        <v>184</v>
      </c>
      <c r="E20" s="183" t="s">
        <v>219</v>
      </c>
      <c r="F20" s="183">
        <v>1555782</v>
      </c>
      <c r="G20" s="183">
        <v>0</v>
      </c>
      <c r="H20" s="183">
        <v>8142723</v>
      </c>
      <c r="I20" s="217" t="s">
        <v>12</v>
      </c>
      <c r="J20" s="167" t="str">
        <f t="shared" si="0"/>
        <v>10 colchones, cobertores y tra</v>
      </c>
      <c r="K20" s="167" t="s">
        <v>560</v>
      </c>
      <c r="L20" s="284"/>
      <c r="M20" s="285"/>
      <c r="N20" s="125"/>
      <c r="O20" s="263" t="s">
        <v>881</v>
      </c>
      <c r="P20" s="264" t="s">
        <v>945</v>
      </c>
      <c r="Q20" s="264" t="s">
        <v>403</v>
      </c>
      <c r="R20" s="264" t="s">
        <v>210</v>
      </c>
      <c r="S20" s="265" t="s">
        <v>510</v>
      </c>
      <c r="T20" s="268">
        <v>-354300</v>
      </c>
      <c r="U20" s="264" t="s">
        <v>209</v>
      </c>
      <c r="V20" s="264" t="s">
        <v>404</v>
      </c>
      <c r="W20" s="266" t="s">
        <v>946</v>
      </c>
      <c r="Y20" s="234"/>
    </row>
    <row r="21" spans="1:25" ht="18" customHeight="1" x14ac:dyDescent="0.35">
      <c r="A21" s="27"/>
      <c r="B21" s="182" t="s">
        <v>866</v>
      </c>
      <c r="C21" s="183" t="s">
        <v>183</v>
      </c>
      <c r="D21" s="183" t="s">
        <v>188</v>
      </c>
      <c r="E21" s="183" t="s">
        <v>219</v>
      </c>
      <c r="F21" s="183">
        <v>0</v>
      </c>
      <c r="G21" s="183">
        <v>5956196</v>
      </c>
      <c r="H21" s="183">
        <v>9698505</v>
      </c>
      <c r="I21" s="217" t="s">
        <v>198</v>
      </c>
      <c r="J21" s="167" t="str">
        <f t="shared" si="0"/>
        <v/>
      </c>
      <c r="K21" s="167" t="s">
        <v>1037</v>
      </c>
      <c r="L21" s="196"/>
      <c r="M21" s="125"/>
      <c r="N21" s="125"/>
      <c r="O21" s="263" t="s">
        <v>881</v>
      </c>
      <c r="P21" s="264" t="s">
        <v>947</v>
      </c>
      <c r="Q21" s="264" t="s">
        <v>527</v>
      </c>
      <c r="R21" s="264" t="s">
        <v>208</v>
      </c>
      <c r="S21" s="265" t="s">
        <v>528</v>
      </c>
      <c r="T21" s="268">
        <v>-167339</v>
      </c>
      <c r="U21" s="264" t="s">
        <v>209</v>
      </c>
      <c r="V21" s="264" t="s">
        <v>529</v>
      </c>
      <c r="W21" s="266" t="s">
        <v>948</v>
      </c>
      <c r="Y21" s="234"/>
    </row>
    <row r="22" spans="1:25" ht="18" customHeight="1" x14ac:dyDescent="0.3">
      <c r="A22" s="27"/>
      <c r="B22" s="182" t="s">
        <v>866</v>
      </c>
      <c r="C22" s="183" t="s">
        <v>191</v>
      </c>
      <c r="D22" s="183" t="s">
        <v>192</v>
      </c>
      <c r="E22" s="183" t="s">
        <v>219</v>
      </c>
      <c r="F22" s="183">
        <v>97930</v>
      </c>
      <c r="G22" s="183">
        <v>0</v>
      </c>
      <c r="H22" s="183">
        <v>3742309</v>
      </c>
      <c r="I22" s="217" t="s">
        <v>257</v>
      </c>
      <c r="J22" s="167" t="str">
        <f t="shared" si="0"/>
        <v/>
      </c>
      <c r="K22" s="167" t="str">
        <f t="shared" si="1"/>
        <v/>
      </c>
      <c r="L22" s="196"/>
      <c r="M22" s="125"/>
      <c r="N22" s="125"/>
      <c r="O22" s="263" t="s">
        <v>882</v>
      </c>
      <c r="P22" s="264" t="s">
        <v>949</v>
      </c>
      <c r="Q22" s="264" t="s">
        <v>545</v>
      </c>
      <c r="R22" s="264" t="s">
        <v>211</v>
      </c>
      <c r="S22" s="265" t="s">
        <v>546</v>
      </c>
      <c r="T22" s="268">
        <v>-105000</v>
      </c>
      <c r="U22" s="264" t="s">
        <v>209</v>
      </c>
      <c r="V22" s="264" t="s">
        <v>547</v>
      </c>
      <c r="W22" s="266" t="s">
        <v>950</v>
      </c>
      <c r="Y22" s="234"/>
    </row>
    <row r="23" spans="1:25" ht="18" customHeight="1" x14ac:dyDescent="0.3">
      <c r="A23" s="27"/>
      <c r="B23" s="182" t="s">
        <v>867</v>
      </c>
      <c r="C23" s="183" t="s">
        <v>183</v>
      </c>
      <c r="D23" s="183" t="s">
        <v>187</v>
      </c>
      <c r="E23" s="183" t="s">
        <v>219</v>
      </c>
      <c r="F23" s="183">
        <v>154980</v>
      </c>
      <c r="G23" s="183">
        <v>0</v>
      </c>
      <c r="H23" s="183">
        <v>7987743</v>
      </c>
      <c r="I23" s="217" t="s">
        <v>257</v>
      </c>
      <c r="J23" s="167" t="str">
        <f t="shared" si="0"/>
        <v>cot 5635789</v>
      </c>
      <c r="K23" s="167" t="str">
        <f t="shared" si="1"/>
        <v xml:space="preserve">Easy Retail SA                               </v>
      </c>
      <c r="L23" s="196" t="s">
        <v>1038</v>
      </c>
      <c r="M23" s="125"/>
      <c r="N23" s="125"/>
      <c r="O23" s="263" t="s">
        <v>882</v>
      </c>
      <c r="P23" s="264" t="s">
        <v>951</v>
      </c>
      <c r="Q23" s="264" t="s">
        <v>952</v>
      </c>
      <c r="R23" s="264" t="s">
        <v>211</v>
      </c>
      <c r="S23" s="265" t="s">
        <v>953</v>
      </c>
      <c r="T23" s="268">
        <v>-105000</v>
      </c>
      <c r="U23" s="264" t="s">
        <v>209</v>
      </c>
      <c r="V23" s="264" t="s">
        <v>954</v>
      </c>
      <c r="W23" s="266" t="s">
        <v>950</v>
      </c>
      <c r="Y23" s="234"/>
    </row>
    <row r="24" spans="1:25" s="145" customFormat="1" ht="18" customHeight="1" x14ac:dyDescent="0.3">
      <c r="A24" s="27"/>
      <c r="B24" s="182" t="s">
        <v>868</v>
      </c>
      <c r="C24" s="183" t="s">
        <v>191</v>
      </c>
      <c r="D24" s="183" t="s">
        <v>192</v>
      </c>
      <c r="E24" s="183" t="s">
        <v>219</v>
      </c>
      <c r="F24" s="183">
        <v>31992</v>
      </c>
      <c r="G24" s="183">
        <v>0</v>
      </c>
      <c r="H24" s="183">
        <v>7676516</v>
      </c>
      <c r="I24" s="217" t="s">
        <v>257</v>
      </c>
      <c r="J24" s="167" t="s">
        <v>406</v>
      </c>
      <c r="K24" s="167" t="str">
        <f t="shared" ref="K24:K35" si="2">IFERROR(VLOOKUP(-F24,$T$3:$W$35,3,FALSE),"")</f>
        <v/>
      </c>
      <c r="L24" s="196"/>
      <c r="M24" s="125"/>
      <c r="N24" s="125"/>
      <c r="O24" s="263" t="s">
        <v>882</v>
      </c>
      <c r="P24" s="264" t="s">
        <v>955</v>
      </c>
      <c r="Q24" s="264" t="s">
        <v>534</v>
      </c>
      <c r="R24" s="264" t="s">
        <v>211</v>
      </c>
      <c r="S24" s="265" t="s">
        <v>535</v>
      </c>
      <c r="T24" s="268">
        <v>-90000</v>
      </c>
      <c r="U24" s="264" t="s">
        <v>209</v>
      </c>
      <c r="V24" s="264" t="s">
        <v>536</v>
      </c>
      <c r="W24" s="266" t="s">
        <v>950</v>
      </c>
      <c r="Y24" s="234"/>
    </row>
    <row r="25" spans="1:25" s="145" customFormat="1" ht="18" customHeight="1" x14ac:dyDescent="0.3">
      <c r="A25" s="27"/>
      <c r="B25" s="182" t="s">
        <v>868</v>
      </c>
      <c r="C25" s="183" t="s">
        <v>191</v>
      </c>
      <c r="D25" s="183" t="s">
        <v>192</v>
      </c>
      <c r="E25" s="183" t="s">
        <v>219</v>
      </c>
      <c r="F25" s="183">
        <v>179990</v>
      </c>
      <c r="G25" s="183">
        <v>0</v>
      </c>
      <c r="H25" s="183">
        <v>7708508</v>
      </c>
      <c r="I25" s="217" t="s">
        <v>257</v>
      </c>
      <c r="J25" s="167" t="s">
        <v>406</v>
      </c>
      <c r="K25" s="167" t="str">
        <f t="shared" si="2"/>
        <v/>
      </c>
      <c r="L25" s="196"/>
      <c r="M25" s="125"/>
      <c r="N25" s="125"/>
      <c r="O25" s="263" t="s">
        <v>882</v>
      </c>
      <c r="P25" s="264" t="s">
        <v>956</v>
      </c>
      <c r="Q25" s="264" t="s">
        <v>541</v>
      </c>
      <c r="R25" s="264" t="s">
        <v>542</v>
      </c>
      <c r="S25" s="265" t="s">
        <v>543</v>
      </c>
      <c r="T25" s="268">
        <v>-75000</v>
      </c>
      <c r="U25" s="264" t="s">
        <v>209</v>
      </c>
      <c r="V25" s="264" t="s">
        <v>544</v>
      </c>
      <c r="W25" s="266" t="s">
        <v>950</v>
      </c>
      <c r="Y25" s="234"/>
    </row>
    <row r="26" spans="1:25" s="145" customFormat="1" ht="18" customHeight="1" x14ac:dyDescent="0.3">
      <c r="A26" s="27"/>
      <c r="B26" s="182" t="s">
        <v>868</v>
      </c>
      <c r="C26" s="183" t="s">
        <v>191</v>
      </c>
      <c r="D26" s="183" t="s">
        <v>192</v>
      </c>
      <c r="E26" s="183" t="s">
        <v>219</v>
      </c>
      <c r="F26" s="183">
        <v>27992</v>
      </c>
      <c r="G26" s="183">
        <v>0</v>
      </c>
      <c r="H26" s="183">
        <v>7888498</v>
      </c>
      <c r="I26" s="217" t="s">
        <v>257</v>
      </c>
      <c r="J26" s="167" t="s">
        <v>406</v>
      </c>
      <c r="K26" s="167" t="str">
        <f t="shared" si="2"/>
        <v/>
      </c>
      <c r="L26" s="196"/>
      <c r="M26" s="125"/>
      <c r="N26" s="125"/>
      <c r="O26" s="263" t="s">
        <v>882</v>
      </c>
      <c r="P26" s="264" t="s">
        <v>957</v>
      </c>
      <c r="Q26" s="264" t="s">
        <v>522</v>
      </c>
      <c r="R26" s="264" t="s">
        <v>211</v>
      </c>
      <c r="S26" s="265" t="s">
        <v>523</v>
      </c>
      <c r="T26" s="268">
        <v>-1230038</v>
      </c>
      <c r="U26" s="264" t="s">
        <v>209</v>
      </c>
      <c r="V26" s="264" t="s">
        <v>524</v>
      </c>
      <c r="W26" s="266" t="s">
        <v>950</v>
      </c>
      <c r="Y26" s="234"/>
    </row>
    <row r="27" spans="1:25" s="145" customFormat="1" ht="18" customHeight="1" x14ac:dyDescent="0.3">
      <c r="A27" s="27"/>
      <c r="B27" s="182" t="s">
        <v>868</v>
      </c>
      <c r="C27" s="183" t="s">
        <v>191</v>
      </c>
      <c r="D27" s="183" t="s">
        <v>192</v>
      </c>
      <c r="E27" s="183" t="s">
        <v>219</v>
      </c>
      <c r="F27" s="183">
        <v>71253</v>
      </c>
      <c r="G27" s="183">
        <v>0</v>
      </c>
      <c r="H27" s="183">
        <v>7916490</v>
      </c>
      <c r="I27" s="217" t="s">
        <v>257</v>
      </c>
      <c r="J27" s="167" t="s">
        <v>406</v>
      </c>
      <c r="K27" s="167" t="str">
        <f t="shared" si="2"/>
        <v/>
      </c>
      <c r="L27" s="196"/>
      <c r="M27" s="125"/>
      <c r="N27" s="125"/>
      <c r="O27" s="263" t="s">
        <v>882</v>
      </c>
      <c r="P27" s="264" t="s">
        <v>958</v>
      </c>
      <c r="Q27" s="264" t="s">
        <v>213</v>
      </c>
      <c r="R27" s="264" t="s">
        <v>211</v>
      </c>
      <c r="S27" s="265" t="s">
        <v>532</v>
      </c>
      <c r="T27" s="268">
        <v>-541806</v>
      </c>
      <c r="U27" s="264" t="s">
        <v>209</v>
      </c>
      <c r="V27" s="264" t="s">
        <v>223</v>
      </c>
      <c r="W27" s="266" t="s">
        <v>262</v>
      </c>
      <c r="Y27" s="234"/>
    </row>
    <row r="28" spans="1:25" s="145" customFormat="1" ht="18" customHeight="1" x14ac:dyDescent="0.35">
      <c r="A28" s="27"/>
      <c r="B28" s="182" t="s">
        <v>869</v>
      </c>
      <c r="C28" s="183" t="s">
        <v>183</v>
      </c>
      <c r="D28" s="183" t="s">
        <v>188</v>
      </c>
      <c r="E28" s="183" t="s">
        <v>219</v>
      </c>
      <c r="F28" s="183">
        <v>0</v>
      </c>
      <c r="G28" s="183">
        <v>42792</v>
      </c>
      <c r="H28" s="183">
        <v>6639844</v>
      </c>
      <c r="I28" s="217" t="s">
        <v>260</v>
      </c>
      <c r="J28" s="167"/>
      <c r="K28" s="167" t="str">
        <f t="shared" si="2"/>
        <v/>
      </c>
      <c r="L28" s="196"/>
      <c r="M28" s="125"/>
      <c r="N28" s="125"/>
      <c r="O28" s="263" t="s">
        <v>882</v>
      </c>
      <c r="P28" s="264" t="s">
        <v>959</v>
      </c>
      <c r="Q28" s="264" t="s">
        <v>357</v>
      </c>
      <c r="R28" s="264" t="s">
        <v>211</v>
      </c>
      <c r="S28" s="265" t="s">
        <v>530</v>
      </c>
      <c r="T28" s="268">
        <v>-518049</v>
      </c>
      <c r="U28" s="264" t="s">
        <v>209</v>
      </c>
      <c r="V28" s="264" t="s">
        <v>358</v>
      </c>
      <c r="W28" s="266" t="s">
        <v>950</v>
      </c>
      <c r="Y28" s="234"/>
    </row>
    <row r="29" spans="1:25" s="145" customFormat="1" ht="18" customHeight="1" x14ac:dyDescent="0.3">
      <c r="A29" s="27"/>
      <c r="B29" s="182" t="s">
        <v>869</v>
      </c>
      <c r="C29" s="183" t="s">
        <v>183</v>
      </c>
      <c r="D29" s="183" t="s">
        <v>365</v>
      </c>
      <c r="E29" s="183" t="s">
        <v>219</v>
      </c>
      <c r="F29" s="183">
        <v>33175</v>
      </c>
      <c r="G29" s="183">
        <v>0</v>
      </c>
      <c r="H29" s="183">
        <v>6597052</v>
      </c>
      <c r="I29" s="217" t="s">
        <v>254</v>
      </c>
      <c r="J29" s="167" t="s">
        <v>1040</v>
      </c>
      <c r="K29" s="167" t="str">
        <f t="shared" si="2"/>
        <v/>
      </c>
      <c r="L29" s="196"/>
      <c r="M29" s="125"/>
      <c r="N29" s="125"/>
      <c r="O29" s="263" t="s">
        <v>882</v>
      </c>
      <c r="P29" s="264" t="s">
        <v>960</v>
      </c>
      <c r="Q29" s="264" t="s">
        <v>216</v>
      </c>
      <c r="R29" s="264" t="s">
        <v>210</v>
      </c>
      <c r="S29" s="265" t="s">
        <v>961</v>
      </c>
      <c r="T29" s="268">
        <v>-1100562</v>
      </c>
      <c r="U29" s="264" t="s">
        <v>209</v>
      </c>
      <c r="V29" s="264" t="s">
        <v>962</v>
      </c>
      <c r="W29" s="266" t="s">
        <v>950</v>
      </c>
      <c r="Y29" s="234"/>
    </row>
    <row r="30" spans="1:25" s="145" customFormat="1" ht="18" customHeight="1" x14ac:dyDescent="0.3">
      <c r="A30" s="27"/>
      <c r="B30" s="182" t="s">
        <v>869</v>
      </c>
      <c r="C30" s="183" t="s">
        <v>183</v>
      </c>
      <c r="D30" s="183" t="s">
        <v>365</v>
      </c>
      <c r="E30" s="183" t="s">
        <v>219</v>
      </c>
      <c r="F30" s="183">
        <v>86918</v>
      </c>
      <c r="G30" s="183">
        <v>0</v>
      </c>
      <c r="H30" s="183">
        <v>6630227</v>
      </c>
      <c r="I30" s="217" t="s">
        <v>254</v>
      </c>
      <c r="J30" s="167" t="s">
        <v>1041</v>
      </c>
      <c r="K30" s="167" t="str">
        <f t="shared" si="2"/>
        <v/>
      </c>
      <c r="L30" s="196"/>
      <c r="M30" s="125"/>
      <c r="N30" s="125"/>
      <c r="O30" s="263" t="s">
        <v>882</v>
      </c>
      <c r="P30" s="264" t="s">
        <v>963</v>
      </c>
      <c r="Q30" s="264" t="s">
        <v>347</v>
      </c>
      <c r="R30" s="264" t="s">
        <v>964</v>
      </c>
      <c r="S30" s="265" t="s">
        <v>965</v>
      </c>
      <c r="T30" s="268">
        <v>-499895</v>
      </c>
      <c r="U30" s="264" t="s">
        <v>209</v>
      </c>
      <c r="V30" s="264" t="s">
        <v>966</v>
      </c>
      <c r="W30" s="266" t="s">
        <v>950</v>
      </c>
      <c r="Y30" s="234"/>
    </row>
    <row r="31" spans="1:25" s="145" customFormat="1" ht="18" customHeight="1" x14ac:dyDescent="0.3">
      <c r="A31" s="27"/>
      <c r="B31" s="182" t="s">
        <v>869</v>
      </c>
      <c r="C31" s="183" t="s">
        <v>183</v>
      </c>
      <c r="D31" s="183" t="s">
        <v>365</v>
      </c>
      <c r="E31" s="183" t="s">
        <v>219</v>
      </c>
      <c r="F31" s="183">
        <v>644258</v>
      </c>
      <c r="G31" s="183">
        <v>0</v>
      </c>
      <c r="H31" s="183">
        <v>6717145</v>
      </c>
      <c r="I31" s="217" t="s">
        <v>156</v>
      </c>
      <c r="J31" s="167" t="s">
        <v>1042</v>
      </c>
      <c r="K31" s="167" t="str">
        <f t="shared" si="2"/>
        <v/>
      </c>
      <c r="L31" s="196"/>
      <c r="M31" s="125"/>
      <c r="N31" s="125"/>
      <c r="O31" s="263" t="s">
        <v>882</v>
      </c>
      <c r="P31" s="264" t="s">
        <v>967</v>
      </c>
      <c r="Q31" s="264" t="s">
        <v>224</v>
      </c>
      <c r="R31" s="264" t="s">
        <v>211</v>
      </c>
      <c r="S31" s="265" t="s">
        <v>537</v>
      </c>
      <c r="T31" s="268">
        <v>-435572</v>
      </c>
      <c r="U31" s="264" t="s">
        <v>209</v>
      </c>
      <c r="V31" s="264" t="s">
        <v>225</v>
      </c>
      <c r="W31" s="266" t="s">
        <v>950</v>
      </c>
      <c r="Y31" s="234"/>
    </row>
    <row r="32" spans="1:25" s="145" customFormat="1" ht="18" customHeight="1" x14ac:dyDescent="0.3">
      <c r="A32" s="27"/>
      <c r="B32" s="182" t="s">
        <v>869</v>
      </c>
      <c r="C32" s="183" t="s">
        <v>183</v>
      </c>
      <c r="D32" s="183" t="s">
        <v>365</v>
      </c>
      <c r="E32" s="183" t="s">
        <v>219</v>
      </c>
      <c r="F32" s="183">
        <v>72321</v>
      </c>
      <c r="G32" s="183">
        <v>0</v>
      </c>
      <c r="H32" s="183">
        <v>7361403</v>
      </c>
      <c r="I32" s="217" t="s">
        <v>254</v>
      </c>
      <c r="J32" s="167" t="s">
        <v>1043</v>
      </c>
      <c r="K32" s="167" t="str">
        <f t="shared" si="2"/>
        <v/>
      </c>
      <c r="L32" s="196"/>
      <c r="M32" s="125"/>
      <c r="N32" s="125"/>
      <c r="O32" s="263" t="s">
        <v>882</v>
      </c>
      <c r="P32" s="264" t="s">
        <v>968</v>
      </c>
      <c r="Q32" s="264" t="s">
        <v>215</v>
      </c>
      <c r="R32" s="264" t="s">
        <v>211</v>
      </c>
      <c r="S32" s="265" t="s">
        <v>533</v>
      </c>
      <c r="T32" s="268">
        <v>-515592</v>
      </c>
      <c r="U32" s="264" t="s">
        <v>209</v>
      </c>
      <c r="V32" s="264" t="s">
        <v>222</v>
      </c>
      <c r="W32" s="266" t="s">
        <v>950</v>
      </c>
      <c r="Y32" s="234"/>
    </row>
    <row r="33" spans="1:25" s="145" customFormat="1" ht="18" customHeight="1" x14ac:dyDescent="0.35">
      <c r="A33" s="27"/>
      <c r="B33" s="182" t="s">
        <v>869</v>
      </c>
      <c r="C33" s="183" t="s">
        <v>183</v>
      </c>
      <c r="D33" s="183" t="s">
        <v>184</v>
      </c>
      <c r="E33" s="183" t="s">
        <v>219</v>
      </c>
      <c r="F33" s="183">
        <v>200000</v>
      </c>
      <c r="G33" s="183">
        <v>0</v>
      </c>
      <c r="H33" s="183">
        <v>7433724</v>
      </c>
      <c r="I33" s="217" t="s">
        <v>50</v>
      </c>
      <c r="J33" s="167" t="str">
        <f t="shared" ref="J33:J35" si="3">IFERROR(VLOOKUP(-F33,$T$3:$W$41,4,FALSE),"")</f>
        <v>Adelanto Luis Arias</v>
      </c>
      <c r="K33" s="167" t="str">
        <f t="shared" si="2"/>
        <v xml:space="preserve">Luis Arias Arias                             </v>
      </c>
      <c r="L33" s="196"/>
      <c r="M33" s="125"/>
      <c r="N33" s="125"/>
      <c r="O33" s="263" t="s">
        <v>882</v>
      </c>
      <c r="P33" s="264" t="s">
        <v>969</v>
      </c>
      <c r="Q33" s="264" t="s">
        <v>325</v>
      </c>
      <c r="R33" s="264" t="s">
        <v>211</v>
      </c>
      <c r="S33" s="265" t="s">
        <v>513</v>
      </c>
      <c r="T33" s="268">
        <v>-257844</v>
      </c>
      <c r="U33" s="264" t="s">
        <v>209</v>
      </c>
      <c r="V33" s="264" t="s">
        <v>326</v>
      </c>
      <c r="W33" s="266" t="s">
        <v>950</v>
      </c>
      <c r="Y33" s="234"/>
    </row>
    <row r="34" spans="1:25" s="145" customFormat="1" ht="18" customHeight="1" x14ac:dyDescent="0.3">
      <c r="A34" s="27"/>
      <c r="B34" s="182" t="s">
        <v>869</v>
      </c>
      <c r="C34" s="183" t="s">
        <v>183</v>
      </c>
      <c r="D34" s="183" t="s">
        <v>184</v>
      </c>
      <c r="E34" s="183" t="s">
        <v>219</v>
      </c>
      <c r="F34" s="183">
        <v>42792</v>
      </c>
      <c r="G34" s="183">
        <v>0</v>
      </c>
      <c r="H34" s="183">
        <v>7633724</v>
      </c>
      <c r="I34" s="217" t="s">
        <v>258</v>
      </c>
      <c r="J34" s="167" t="str">
        <f t="shared" si="3"/>
        <v>Reserva Sergio Zamora 8I6OXK</v>
      </c>
      <c r="K34" s="167" t="str">
        <f t="shared" si="2"/>
        <v xml:space="preserve">Khipu CL G                                   </v>
      </c>
      <c r="L34" s="196" t="s">
        <v>1039</v>
      </c>
      <c r="M34" s="125"/>
      <c r="N34" s="125"/>
      <c r="O34" s="263" t="s">
        <v>882</v>
      </c>
      <c r="P34" s="264" t="s">
        <v>970</v>
      </c>
      <c r="Q34" s="264" t="s">
        <v>355</v>
      </c>
      <c r="R34" s="264" t="s">
        <v>208</v>
      </c>
      <c r="S34" s="265" t="s">
        <v>531</v>
      </c>
      <c r="T34" s="268">
        <v>-499172</v>
      </c>
      <c r="U34" s="264" t="s">
        <v>209</v>
      </c>
      <c r="V34" s="264" t="s">
        <v>356</v>
      </c>
      <c r="W34" s="266" t="s">
        <v>950</v>
      </c>
      <c r="Y34" s="234"/>
    </row>
    <row r="35" spans="1:25" s="145" customFormat="1" ht="18" customHeight="1" x14ac:dyDescent="0.3">
      <c r="A35" s="27"/>
      <c r="B35" s="182" t="s">
        <v>870</v>
      </c>
      <c r="C35" s="183" t="s">
        <v>191</v>
      </c>
      <c r="D35" s="183" t="s">
        <v>220</v>
      </c>
      <c r="E35" s="183" t="s">
        <v>219</v>
      </c>
      <c r="F35" s="183">
        <v>50000</v>
      </c>
      <c r="G35" s="183">
        <v>0</v>
      </c>
      <c r="H35" s="183">
        <v>6571814</v>
      </c>
      <c r="I35" s="217" t="s">
        <v>257</v>
      </c>
      <c r="J35" s="167" t="str">
        <f t="shared" si="3"/>
        <v>Finiquieto Soc Hotelera Zamora</v>
      </c>
      <c r="K35" s="167" t="str">
        <f t="shared" si="2"/>
        <v xml:space="preserve">Javier Mellado                               </v>
      </c>
      <c r="L35" s="196"/>
      <c r="M35" s="125"/>
      <c r="N35" s="125"/>
      <c r="O35" s="263" t="s">
        <v>882</v>
      </c>
      <c r="P35" s="264" t="s">
        <v>971</v>
      </c>
      <c r="Q35" s="264" t="s">
        <v>538</v>
      </c>
      <c r="R35" s="264" t="s">
        <v>211</v>
      </c>
      <c r="S35" s="265" t="s">
        <v>539</v>
      </c>
      <c r="T35" s="268">
        <v>-496333</v>
      </c>
      <c r="U35" s="264" t="s">
        <v>209</v>
      </c>
      <c r="V35" s="264" t="s">
        <v>540</v>
      </c>
      <c r="W35" s="266" t="s">
        <v>950</v>
      </c>
      <c r="Y35" s="234"/>
    </row>
    <row r="36" spans="1:25" s="145" customFormat="1" ht="18" customHeight="1" x14ac:dyDescent="0.3">
      <c r="A36" s="27"/>
      <c r="B36" s="182" t="s">
        <v>870</v>
      </c>
      <c r="C36" s="183" t="s">
        <v>191</v>
      </c>
      <c r="D36" s="183" t="s">
        <v>192</v>
      </c>
      <c r="E36" s="183" t="s">
        <v>219</v>
      </c>
      <c r="F36" s="183">
        <v>18030</v>
      </c>
      <c r="G36" s="183">
        <v>0</v>
      </c>
      <c r="H36" s="183">
        <v>6621814</v>
      </c>
      <c r="I36" s="217" t="s">
        <v>257</v>
      </c>
      <c r="J36" s="167" t="str">
        <f t="shared" ref="J36:J69" si="4">IFERROR(VLOOKUP(-F36,$T$3:$W$41,4,FALSE),"")</f>
        <v/>
      </c>
      <c r="K36" s="167" t="str">
        <f t="shared" ref="K36:K69" si="5">IFERROR(VLOOKUP(-F36,$T$3:$W$35,3,FALSE),"")</f>
        <v/>
      </c>
      <c r="L36" s="196"/>
      <c r="M36" s="125"/>
      <c r="N36" s="125"/>
      <c r="O36" s="263" t="s">
        <v>882</v>
      </c>
      <c r="P36" s="264" t="s">
        <v>972</v>
      </c>
      <c r="Q36" s="264" t="s">
        <v>246</v>
      </c>
      <c r="R36" s="264" t="s">
        <v>212</v>
      </c>
      <c r="S36" s="265" t="s">
        <v>511</v>
      </c>
      <c r="T36" s="268">
        <v>-500000</v>
      </c>
      <c r="U36" s="264" t="s">
        <v>209</v>
      </c>
      <c r="V36" s="264" t="s">
        <v>247</v>
      </c>
      <c r="W36" s="266" t="s">
        <v>262</v>
      </c>
      <c r="Y36" s="234"/>
    </row>
    <row r="37" spans="1:25" s="145" customFormat="1" ht="18" customHeight="1" x14ac:dyDescent="0.35">
      <c r="A37" s="27"/>
      <c r="B37" s="182" t="s">
        <v>871</v>
      </c>
      <c r="C37" s="183" t="s">
        <v>348</v>
      </c>
      <c r="D37" s="183" t="s">
        <v>555</v>
      </c>
      <c r="E37" s="183" t="s">
        <v>219</v>
      </c>
      <c r="F37" s="183">
        <v>0</v>
      </c>
      <c r="G37" s="183">
        <v>28000</v>
      </c>
      <c r="H37" s="183">
        <v>6599814</v>
      </c>
      <c r="I37" s="217" t="s">
        <v>260</v>
      </c>
      <c r="J37" s="167" t="str">
        <f t="shared" si="4"/>
        <v/>
      </c>
      <c r="K37" s="167" t="str">
        <f t="shared" si="5"/>
        <v/>
      </c>
      <c r="L37" s="196"/>
      <c r="M37" s="125"/>
      <c r="N37" s="125"/>
      <c r="O37" s="263" t="s">
        <v>882</v>
      </c>
      <c r="P37" s="264" t="s">
        <v>973</v>
      </c>
      <c r="Q37" s="264" t="s">
        <v>974</v>
      </c>
      <c r="R37" s="264" t="s">
        <v>210</v>
      </c>
      <c r="S37" s="265" t="s">
        <v>975</v>
      </c>
      <c r="T37" s="268">
        <v>-96390</v>
      </c>
      <c r="U37" s="264" t="s">
        <v>209</v>
      </c>
      <c r="V37" s="264" t="s">
        <v>976</v>
      </c>
      <c r="W37" s="266" t="s">
        <v>977</v>
      </c>
      <c r="Y37" s="234"/>
    </row>
    <row r="38" spans="1:25" s="145" customFormat="1" ht="18" customHeight="1" x14ac:dyDescent="0.3">
      <c r="A38" s="27"/>
      <c r="B38" s="182" t="s">
        <v>872</v>
      </c>
      <c r="C38" s="183" t="s">
        <v>183</v>
      </c>
      <c r="D38" s="183" t="s">
        <v>187</v>
      </c>
      <c r="E38" s="183" t="s">
        <v>219</v>
      </c>
      <c r="F38" s="183">
        <v>1329449</v>
      </c>
      <c r="G38" s="183">
        <v>0</v>
      </c>
      <c r="H38" s="183">
        <v>690556</v>
      </c>
      <c r="I38" s="217" t="s">
        <v>259</v>
      </c>
      <c r="J38" s="167" t="str">
        <f t="shared" si="4"/>
        <v>Fact 2956</v>
      </c>
      <c r="K38" s="167" t="str">
        <f t="shared" si="5"/>
        <v xml:space="preserve">CESPA Ltda                                   </v>
      </c>
      <c r="L38" s="196"/>
      <c r="M38" s="125"/>
      <c r="N38" s="125"/>
      <c r="O38" s="267" t="s">
        <v>882</v>
      </c>
      <c r="P38" s="264" t="s">
        <v>978</v>
      </c>
      <c r="Q38" s="264" t="s">
        <v>979</v>
      </c>
      <c r="R38" s="264" t="s">
        <v>211</v>
      </c>
      <c r="S38" s="265" t="s">
        <v>980</v>
      </c>
      <c r="T38" s="268">
        <v>-40000</v>
      </c>
      <c r="U38" s="264" t="s">
        <v>209</v>
      </c>
      <c r="V38" s="264" t="s">
        <v>981</v>
      </c>
      <c r="W38" s="266" t="s">
        <v>982</v>
      </c>
      <c r="Y38" s="234"/>
    </row>
    <row r="39" spans="1:25" s="145" customFormat="1" ht="18" customHeight="1" x14ac:dyDescent="0.3">
      <c r="A39" s="27"/>
      <c r="B39" s="280" t="s">
        <v>872</v>
      </c>
      <c r="C39" s="281" t="s">
        <v>183</v>
      </c>
      <c r="D39" s="281" t="s">
        <v>194</v>
      </c>
      <c r="E39" s="281" t="s">
        <v>219</v>
      </c>
      <c r="F39" s="281">
        <v>704680</v>
      </c>
      <c r="G39" s="281">
        <v>0</v>
      </c>
      <c r="H39" s="281">
        <v>2020005</v>
      </c>
      <c r="I39" s="325"/>
      <c r="J39" s="167" t="str">
        <f t="shared" si="4"/>
        <v/>
      </c>
      <c r="K39" s="167" t="str">
        <f t="shared" si="5"/>
        <v/>
      </c>
      <c r="L39" s="196"/>
      <c r="M39" s="125"/>
      <c r="N39" s="125"/>
      <c r="O39" s="267" t="s">
        <v>884</v>
      </c>
      <c r="P39" s="264" t="s">
        <v>983</v>
      </c>
      <c r="Q39" s="264" t="s">
        <v>325</v>
      </c>
      <c r="R39" s="264" t="s">
        <v>211</v>
      </c>
      <c r="S39" s="265" t="s">
        <v>513</v>
      </c>
      <c r="T39" s="268">
        <v>-68977</v>
      </c>
      <c r="U39" s="264" t="s">
        <v>209</v>
      </c>
      <c r="V39" s="264" t="s">
        <v>326</v>
      </c>
      <c r="W39" s="266" t="s">
        <v>984</v>
      </c>
      <c r="Y39" s="234"/>
    </row>
    <row r="40" spans="1:25" s="145" customFormat="1" ht="18" customHeight="1" x14ac:dyDescent="0.3">
      <c r="A40" s="27"/>
      <c r="B40" s="182" t="s">
        <v>872</v>
      </c>
      <c r="C40" s="183" t="s">
        <v>185</v>
      </c>
      <c r="D40" s="183" t="s">
        <v>193</v>
      </c>
      <c r="E40" s="183" t="s">
        <v>873</v>
      </c>
      <c r="F40" s="183">
        <v>3679568</v>
      </c>
      <c r="G40" s="183">
        <v>0</v>
      </c>
      <c r="H40" s="183">
        <v>2724685</v>
      </c>
      <c r="I40" s="217" t="s">
        <v>51</v>
      </c>
      <c r="J40" s="167" t="str">
        <f t="shared" si="4"/>
        <v/>
      </c>
      <c r="K40" s="167" t="str">
        <f t="shared" si="5"/>
        <v/>
      </c>
      <c r="L40" s="196"/>
      <c r="M40" s="125"/>
      <c r="N40" s="125"/>
      <c r="O40" s="267" t="s">
        <v>885</v>
      </c>
      <c r="P40" s="264" t="s">
        <v>985</v>
      </c>
      <c r="Q40" s="264" t="s">
        <v>353</v>
      </c>
      <c r="R40" s="264" t="s">
        <v>212</v>
      </c>
      <c r="S40" s="265" t="s">
        <v>521</v>
      </c>
      <c r="T40" s="268">
        <v>-1048223</v>
      </c>
      <c r="U40" s="264" t="s">
        <v>209</v>
      </c>
      <c r="V40" s="264" t="s">
        <v>354</v>
      </c>
      <c r="W40" s="266" t="s">
        <v>986</v>
      </c>
      <c r="Y40" s="234"/>
    </row>
    <row r="41" spans="1:25" s="145" customFormat="1" ht="18" customHeight="1" x14ac:dyDescent="0.3">
      <c r="A41" s="27"/>
      <c r="B41" s="182" t="s">
        <v>872</v>
      </c>
      <c r="C41" s="183" t="s">
        <v>185</v>
      </c>
      <c r="D41" s="183" t="s">
        <v>193</v>
      </c>
      <c r="E41" s="183" t="s">
        <v>874</v>
      </c>
      <c r="F41" s="183">
        <v>195561</v>
      </c>
      <c r="G41" s="183">
        <v>0</v>
      </c>
      <c r="H41" s="183">
        <v>6404253</v>
      </c>
      <c r="I41" s="217" t="s">
        <v>254</v>
      </c>
      <c r="J41" s="167" t="s">
        <v>1044</v>
      </c>
      <c r="K41" s="167" t="str">
        <f t="shared" si="5"/>
        <v/>
      </c>
      <c r="L41" s="196"/>
      <c r="M41" s="125"/>
      <c r="N41" s="125"/>
      <c r="O41" s="267" t="s">
        <v>885</v>
      </c>
      <c r="P41" s="264" t="s">
        <v>987</v>
      </c>
      <c r="Q41" s="264" t="s">
        <v>548</v>
      </c>
      <c r="R41" s="264" t="s">
        <v>210</v>
      </c>
      <c r="S41" s="265" t="s">
        <v>549</v>
      </c>
      <c r="T41" s="268">
        <v>-16358</v>
      </c>
      <c r="U41" s="264" t="s">
        <v>209</v>
      </c>
      <c r="V41" s="264" t="s">
        <v>550</v>
      </c>
      <c r="W41" s="266" t="s">
        <v>988</v>
      </c>
      <c r="Y41" s="234"/>
    </row>
    <row r="42" spans="1:25" s="145" customFormat="1" ht="18" customHeight="1" x14ac:dyDescent="0.35">
      <c r="A42" s="27"/>
      <c r="B42" s="182" t="s">
        <v>875</v>
      </c>
      <c r="C42" s="183" t="s">
        <v>185</v>
      </c>
      <c r="D42" s="183" t="s">
        <v>328</v>
      </c>
      <c r="E42" s="183" t="s">
        <v>876</v>
      </c>
      <c r="F42" s="183">
        <v>188174</v>
      </c>
      <c r="G42" s="183">
        <v>0</v>
      </c>
      <c r="H42" s="183">
        <v>4706039</v>
      </c>
      <c r="I42" s="217" t="s">
        <v>259</v>
      </c>
      <c r="J42" s="167" t="s">
        <v>407</v>
      </c>
      <c r="K42" s="167" t="str">
        <f t="shared" si="5"/>
        <v/>
      </c>
      <c r="L42" s="196"/>
      <c r="M42" s="125"/>
      <c r="N42" s="125"/>
      <c r="O42" s="267"/>
      <c r="P42" s="264"/>
      <c r="Q42" s="264"/>
      <c r="R42" s="264"/>
      <c r="S42" s="265"/>
      <c r="T42" s="268"/>
      <c r="U42" s="264"/>
      <c r="V42" s="264"/>
      <c r="W42" s="266"/>
      <c r="Y42" s="234"/>
    </row>
    <row r="43" spans="1:25" s="145" customFormat="1" ht="18" customHeight="1" x14ac:dyDescent="0.35">
      <c r="A43" s="27"/>
      <c r="B43" s="182" t="s">
        <v>875</v>
      </c>
      <c r="C43" s="183" t="s">
        <v>185</v>
      </c>
      <c r="D43" s="183" t="s">
        <v>328</v>
      </c>
      <c r="E43" s="183" t="s">
        <v>877</v>
      </c>
      <c r="F43" s="183">
        <v>58879</v>
      </c>
      <c r="G43" s="183">
        <v>0</v>
      </c>
      <c r="H43" s="183">
        <v>4894213</v>
      </c>
      <c r="I43" s="217" t="s">
        <v>259</v>
      </c>
      <c r="J43" s="167" t="s">
        <v>407</v>
      </c>
      <c r="K43" s="167" t="str">
        <f t="shared" si="5"/>
        <v/>
      </c>
      <c r="L43" s="196"/>
      <c r="M43" s="125"/>
      <c r="N43" s="125"/>
      <c r="O43" s="267"/>
      <c r="P43" s="264"/>
      <c r="Q43" s="264"/>
      <c r="R43" s="264"/>
      <c r="S43" s="265"/>
      <c r="T43" s="268"/>
      <c r="U43" s="264"/>
      <c r="V43" s="264"/>
      <c r="W43" s="266"/>
      <c r="Y43" s="234"/>
    </row>
    <row r="44" spans="1:25" s="145" customFormat="1" ht="18" customHeight="1" x14ac:dyDescent="0.3">
      <c r="A44" s="27"/>
      <c r="B44" s="182" t="s">
        <v>875</v>
      </c>
      <c r="C44" s="183" t="s">
        <v>183</v>
      </c>
      <c r="D44" s="183" t="s">
        <v>184</v>
      </c>
      <c r="E44" s="183" t="s">
        <v>219</v>
      </c>
      <c r="F44" s="183">
        <v>142464</v>
      </c>
      <c r="G44" s="183">
        <v>0</v>
      </c>
      <c r="H44" s="183">
        <v>4953092</v>
      </c>
      <c r="I44" s="217" t="s">
        <v>257</v>
      </c>
      <c r="J44" s="167" t="str">
        <f t="shared" si="4"/>
        <v>fact 137002</v>
      </c>
      <c r="K44" s="167" t="str">
        <f t="shared" si="5"/>
        <v xml:space="preserve">Truly Nolen Chile SA                         </v>
      </c>
      <c r="L44" s="196"/>
      <c r="M44" s="125"/>
      <c r="N44" s="125"/>
      <c r="O44" s="267"/>
      <c r="P44" s="264"/>
      <c r="Q44" s="264"/>
      <c r="R44" s="264"/>
      <c r="S44" s="265"/>
      <c r="T44" s="268"/>
      <c r="U44" s="264"/>
      <c r="V44" s="264"/>
      <c r="W44" s="266"/>
      <c r="Y44" s="234"/>
    </row>
    <row r="45" spans="1:25" s="145" customFormat="1" ht="18" customHeight="1" x14ac:dyDescent="0.3">
      <c r="A45" s="27"/>
      <c r="B45" s="182" t="s">
        <v>875</v>
      </c>
      <c r="C45" s="183" t="s">
        <v>183</v>
      </c>
      <c r="D45" s="183" t="s">
        <v>187</v>
      </c>
      <c r="E45" s="183" t="s">
        <v>219</v>
      </c>
      <c r="F45" s="183">
        <v>595000</v>
      </c>
      <c r="G45" s="183">
        <v>0</v>
      </c>
      <c r="H45" s="183">
        <v>5095556</v>
      </c>
      <c r="I45" s="217" t="s">
        <v>257</v>
      </c>
      <c r="J45" s="167" t="str">
        <f t="shared" si="4"/>
        <v>cot 5652417 estanque 5000lt</v>
      </c>
      <c r="K45" s="167" t="str">
        <f t="shared" si="5"/>
        <v xml:space="preserve">Easy Retail SA                               </v>
      </c>
      <c r="L45" s="196"/>
      <c r="M45" s="125"/>
      <c r="N45" s="125"/>
      <c r="O45" s="267"/>
      <c r="P45" s="264"/>
      <c r="Q45" s="264"/>
      <c r="R45" s="264"/>
      <c r="S45" s="265"/>
      <c r="T45" s="268"/>
      <c r="U45" s="264"/>
      <c r="V45" s="264"/>
      <c r="W45" s="266"/>
      <c r="Y45" s="234"/>
    </row>
    <row r="46" spans="1:25" s="145" customFormat="1" ht="18" customHeight="1" x14ac:dyDescent="0.3">
      <c r="A46" s="27"/>
      <c r="B46" s="182" t="s">
        <v>875</v>
      </c>
      <c r="C46" s="183" t="s">
        <v>183</v>
      </c>
      <c r="D46" s="183" t="s">
        <v>188</v>
      </c>
      <c r="E46" s="183" t="s">
        <v>219</v>
      </c>
      <c r="F46" s="183">
        <v>0</v>
      </c>
      <c r="G46" s="183">
        <v>5000000</v>
      </c>
      <c r="H46" s="183">
        <v>5690556</v>
      </c>
      <c r="I46" s="217" t="s">
        <v>198</v>
      </c>
      <c r="J46" s="167" t="str">
        <f t="shared" si="4"/>
        <v/>
      </c>
      <c r="K46" s="167" t="str">
        <f t="shared" si="5"/>
        <v/>
      </c>
      <c r="L46" s="196"/>
      <c r="M46" s="125"/>
      <c r="N46" s="125"/>
      <c r="O46" s="267"/>
      <c r="P46" s="264"/>
      <c r="Q46" s="264"/>
      <c r="R46" s="264"/>
      <c r="S46" s="265"/>
      <c r="T46" s="268"/>
      <c r="U46" s="264"/>
      <c r="V46" s="264"/>
      <c r="W46" s="266"/>
    </row>
    <row r="47" spans="1:25" s="145" customFormat="1" ht="18" customHeight="1" x14ac:dyDescent="0.3">
      <c r="A47" s="27"/>
      <c r="B47" s="182" t="s">
        <v>878</v>
      </c>
      <c r="C47" s="183" t="s">
        <v>879</v>
      </c>
      <c r="D47" s="183" t="s">
        <v>880</v>
      </c>
      <c r="E47" s="183" t="s">
        <v>219</v>
      </c>
      <c r="F47" s="183">
        <v>0</v>
      </c>
      <c r="G47" s="183">
        <v>69000</v>
      </c>
      <c r="H47" s="183">
        <v>4775039</v>
      </c>
      <c r="I47" s="217" t="s">
        <v>260</v>
      </c>
      <c r="J47" s="167" t="str">
        <f t="shared" si="4"/>
        <v/>
      </c>
      <c r="K47" s="167" t="str">
        <f t="shared" si="5"/>
        <v/>
      </c>
      <c r="L47" s="196"/>
      <c r="M47" s="125"/>
      <c r="N47" s="125"/>
      <c r="O47" s="267"/>
      <c r="P47" s="264"/>
      <c r="Q47" s="264"/>
      <c r="R47" s="264"/>
      <c r="S47" s="265"/>
      <c r="T47" s="268"/>
      <c r="U47" s="264"/>
      <c r="V47" s="264"/>
      <c r="W47" s="266"/>
    </row>
    <row r="48" spans="1:25" s="145" customFormat="1" ht="18" customHeight="1" x14ac:dyDescent="0.3">
      <c r="A48" s="27"/>
      <c r="B48" s="182" t="s">
        <v>881</v>
      </c>
      <c r="C48" s="183" t="s">
        <v>183</v>
      </c>
      <c r="D48" s="183" t="s">
        <v>188</v>
      </c>
      <c r="E48" s="183" t="s">
        <v>219</v>
      </c>
      <c r="F48" s="183">
        <v>0</v>
      </c>
      <c r="G48" s="183">
        <v>4362137</v>
      </c>
      <c r="H48" s="183">
        <v>8406795</v>
      </c>
      <c r="I48" s="217" t="s">
        <v>198</v>
      </c>
      <c r="J48" s="167" t="str">
        <f t="shared" si="4"/>
        <v/>
      </c>
      <c r="K48" s="167" t="s">
        <v>1045</v>
      </c>
      <c r="L48" s="196"/>
      <c r="M48" s="125"/>
      <c r="N48" s="125"/>
      <c r="O48" s="267"/>
      <c r="P48" s="264"/>
      <c r="Q48" s="264"/>
      <c r="R48" s="264"/>
      <c r="S48" s="265"/>
      <c r="T48" s="268"/>
      <c r="U48" s="264"/>
      <c r="V48" s="264"/>
      <c r="W48" s="266"/>
    </row>
    <row r="49" spans="1:23" s="168" customFormat="1" ht="18" customHeight="1" x14ac:dyDescent="0.3">
      <c r="A49" s="27"/>
      <c r="B49" s="182" t="s">
        <v>881</v>
      </c>
      <c r="C49" s="183" t="s">
        <v>183</v>
      </c>
      <c r="D49" s="183" t="s">
        <v>184</v>
      </c>
      <c r="E49" s="183" t="s">
        <v>219</v>
      </c>
      <c r="F49" s="183">
        <v>124236</v>
      </c>
      <c r="G49" s="183">
        <v>0</v>
      </c>
      <c r="H49" s="183">
        <v>4044658</v>
      </c>
      <c r="I49" s="217" t="s">
        <v>9</v>
      </c>
      <c r="J49" s="167" t="str">
        <f t="shared" si="4"/>
        <v>fact 1234603</v>
      </c>
      <c r="K49" s="167" t="str">
        <f t="shared" si="5"/>
        <v xml:space="preserve">ECOLAB                                       </v>
      </c>
      <c r="L49" s="196"/>
      <c r="M49" s="125"/>
      <c r="N49" s="125"/>
      <c r="O49" s="267"/>
      <c r="P49" s="264"/>
      <c r="Q49" s="264"/>
      <c r="R49" s="264"/>
      <c r="S49" s="265"/>
      <c r="T49" s="268"/>
      <c r="U49" s="264"/>
      <c r="V49" s="264"/>
      <c r="W49" s="266"/>
    </row>
    <row r="50" spans="1:23" s="168" customFormat="1" ht="18" customHeight="1" x14ac:dyDescent="0.3">
      <c r="A50" s="27"/>
      <c r="B50" s="182" t="s">
        <v>881</v>
      </c>
      <c r="C50" s="183" t="s">
        <v>183</v>
      </c>
      <c r="D50" s="183" t="s">
        <v>184</v>
      </c>
      <c r="E50" s="183" t="s">
        <v>219</v>
      </c>
      <c r="F50" s="183">
        <v>167339</v>
      </c>
      <c r="G50" s="183">
        <v>0</v>
      </c>
      <c r="H50" s="183">
        <v>4168894</v>
      </c>
      <c r="I50" s="217" t="s">
        <v>9</v>
      </c>
      <c r="J50" s="167" t="str">
        <f t="shared" si="4"/>
        <v>Fact 8360049</v>
      </c>
      <c r="K50" s="167" t="str">
        <f t="shared" si="5"/>
        <v xml:space="preserve">GASCO GLP S.A                                </v>
      </c>
      <c r="L50" s="196"/>
      <c r="M50" s="125"/>
      <c r="N50" s="125"/>
      <c r="O50" s="267"/>
      <c r="P50" s="264"/>
      <c r="Q50" s="264"/>
      <c r="R50" s="264"/>
      <c r="S50" s="265"/>
      <c r="T50" s="268"/>
      <c r="U50" s="264"/>
      <c r="V50" s="264"/>
      <c r="W50" s="266"/>
    </row>
    <row r="51" spans="1:23" s="168" customFormat="1" ht="18" customHeight="1" x14ac:dyDescent="0.3">
      <c r="A51" s="27"/>
      <c r="B51" s="182" t="s">
        <v>881</v>
      </c>
      <c r="C51" s="183" t="s">
        <v>183</v>
      </c>
      <c r="D51" s="183" t="s">
        <v>184</v>
      </c>
      <c r="E51" s="183" t="s">
        <v>219</v>
      </c>
      <c r="F51" s="183">
        <v>354300</v>
      </c>
      <c r="G51" s="183">
        <v>0</v>
      </c>
      <c r="H51" s="183">
        <v>4336233</v>
      </c>
      <c r="I51" s="217" t="s">
        <v>9</v>
      </c>
      <c r="J51" s="167" t="str">
        <f t="shared" si="4"/>
        <v>fact 5102, 5105, 5264</v>
      </c>
      <c r="K51" s="167" t="str">
        <f t="shared" si="5"/>
        <v xml:space="preserve">Nieva Soft EIRL                              </v>
      </c>
      <c r="L51" s="196"/>
      <c r="M51" s="125"/>
      <c r="N51" s="125"/>
      <c r="O51" s="267"/>
      <c r="P51" s="264"/>
      <c r="Q51" s="264"/>
      <c r="R51" s="264"/>
      <c r="S51" s="265"/>
      <c r="T51" s="268"/>
      <c r="U51" s="264"/>
      <c r="V51" s="264"/>
      <c r="W51" s="266"/>
    </row>
    <row r="52" spans="1:23" s="168" customFormat="1" ht="18" customHeight="1" x14ac:dyDescent="0.3">
      <c r="A52" s="27"/>
      <c r="B52" s="182" t="s">
        <v>881</v>
      </c>
      <c r="C52" s="183" t="s">
        <v>183</v>
      </c>
      <c r="D52" s="183" t="s">
        <v>184</v>
      </c>
      <c r="E52" s="183" t="s">
        <v>219</v>
      </c>
      <c r="F52" s="183">
        <v>73893</v>
      </c>
      <c r="G52" s="183">
        <v>0</v>
      </c>
      <c r="H52" s="183">
        <v>4690533</v>
      </c>
      <c r="I52" s="217" t="s">
        <v>9</v>
      </c>
      <c r="J52" s="167" t="str">
        <f t="shared" si="4"/>
        <v>fact 385312,385900, 384632</v>
      </c>
      <c r="K52" s="167" t="str">
        <f t="shared" si="5"/>
        <v xml:space="preserve">Leonprodal SA                                </v>
      </c>
      <c r="L52" s="196"/>
      <c r="M52" s="125"/>
      <c r="N52" s="125"/>
      <c r="O52" s="267"/>
      <c r="P52" s="264"/>
      <c r="Q52" s="264"/>
      <c r="R52" s="264"/>
      <c r="S52" s="265"/>
      <c r="T52" s="268"/>
      <c r="U52" s="264"/>
      <c r="V52" s="264"/>
      <c r="W52" s="266"/>
    </row>
    <row r="53" spans="1:23" s="168" customFormat="1" ht="18" customHeight="1" x14ac:dyDescent="0.3">
      <c r="A53" s="27"/>
      <c r="B53" s="182" t="s">
        <v>881</v>
      </c>
      <c r="C53" s="183" t="s">
        <v>191</v>
      </c>
      <c r="D53" s="183" t="s">
        <v>192</v>
      </c>
      <c r="E53" s="183" t="s">
        <v>219</v>
      </c>
      <c r="F53" s="183">
        <v>10613</v>
      </c>
      <c r="G53" s="183">
        <v>0</v>
      </c>
      <c r="H53" s="183">
        <v>4764426</v>
      </c>
      <c r="I53" s="217" t="s">
        <v>9</v>
      </c>
      <c r="J53" s="167" t="str">
        <f t="shared" si="4"/>
        <v/>
      </c>
      <c r="K53" s="167" t="str">
        <f t="shared" si="5"/>
        <v/>
      </c>
      <c r="L53" s="196"/>
      <c r="M53" s="285"/>
      <c r="N53" s="125"/>
      <c r="O53" s="234"/>
      <c r="P53" s="234"/>
      <c r="Q53" s="234"/>
      <c r="R53" s="234"/>
      <c r="S53" s="234"/>
      <c r="T53" s="234"/>
      <c r="U53" s="234"/>
      <c r="V53" s="234"/>
      <c r="W53" s="234"/>
    </row>
    <row r="54" spans="1:23" s="168" customFormat="1" ht="18" customHeight="1" x14ac:dyDescent="0.3">
      <c r="A54" s="27"/>
      <c r="B54" s="182" t="s">
        <v>882</v>
      </c>
      <c r="C54" s="183" t="s">
        <v>183</v>
      </c>
      <c r="D54" s="183" t="s">
        <v>184</v>
      </c>
      <c r="E54" s="183" t="s">
        <v>219</v>
      </c>
      <c r="F54" s="183">
        <v>107594</v>
      </c>
      <c r="G54" s="183">
        <v>0</v>
      </c>
      <c r="H54" s="183">
        <v>8299201</v>
      </c>
      <c r="I54" s="217" t="s">
        <v>9</v>
      </c>
      <c r="J54" s="167" t="str">
        <f t="shared" si="4"/>
        <v>fact 5361</v>
      </c>
      <c r="K54" s="167" t="str">
        <f t="shared" si="5"/>
        <v xml:space="preserve">Nieva Soft EIRL                              </v>
      </c>
      <c r="L54" s="196"/>
      <c r="M54" s="125"/>
      <c r="N54" s="125"/>
      <c r="O54" s="234"/>
      <c r="P54" s="234"/>
      <c r="Q54" s="234"/>
      <c r="R54" s="234"/>
      <c r="S54" s="234"/>
      <c r="T54" s="234"/>
      <c r="U54" s="234"/>
      <c r="V54" s="234"/>
      <c r="W54" s="234"/>
    </row>
    <row r="55" spans="1:23" s="168" customFormat="1" ht="18" customHeight="1" x14ac:dyDescent="0.3">
      <c r="A55" s="27"/>
      <c r="B55" s="182" t="s">
        <v>883</v>
      </c>
      <c r="C55" s="183" t="s">
        <v>183</v>
      </c>
      <c r="D55" s="183" t="s">
        <v>184</v>
      </c>
      <c r="E55" s="183" t="s">
        <v>219</v>
      </c>
      <c r="F55" s="183">
        <v>37505</v>
      </c>
      <c r="G55" s="183">
        <v>0</v>
      </c>
      <c r="H55" s="183">
        <v>1844351</v>
      </c>
      <c r="I55" s="217" t="s">
        <v>257</v>
      </c>
      <c r="J55" s="167" t="str">
        <f t="shared" si="4"/>
        <v/>
      </c>
      <c r="K55" s="167" t="str">
        <f>IFERROR(VLOOKUP(-F55,$T$3:$W$50,3,FALSE),"")</f>
        <v/>
      </c>
      <c r="L55" s="196"/>
      <c r="M55" s="125"/>
      <c r="N55" s="125"/>
      <c r="O55" s="234"/>
      <c r="P55" s="234"/>
      <c r="Q55" s="234"/>
      <c r="R55" s="234"/>
      <c r="S55" s="234"/>
      <c r="T55" s="234"/>
      <c r="U55" s="234"/>
      <c r="V55" s="234"/>
      <c r="W55" s="234"/>
    </row>
    <row r="56" spans="1:23" s="168" customFormat="1" ht="18" customHeight="1" x14ac:dyDescent="0.3">
      <c r="A56" s="27"/>
      <c r="B56" s="292" t="s">
        <v>883</v>
      </c>
      <c r="C56" s="287" t="s">
        <v>183</v>
      </c>
      <c r="D56" s="287" t="s">
        <v>188</v>
      </c>
      <c r="E56" s="287" t="s">
        <v>219</v>
      </c>
      <c r="F56" s="287">
        <v>0</v>
      </c>
      <c r="G56" s="287">
        <v>688908</v>
      </c>
      <c r="H56" s="287">
        <v>1881856</v>
      </c>
      <c r="I56" s="293" t="s">
        <v>260</v>
      </c>
      <c r="J56" s="167" t="str">
        <f t="shared" si="4"/>
        <v/>
      </c>
      <c r="K56" s="167" t="str">
        <f t="shared" si="5"/>
        <v/>
      </c>
      <c r="L56" s="284"/>
      <c r="M56" s="285"/>
      <c r="N56" s="125"/>
      <c r="O56" s="234"/>
      <c r="P56" s="234"/>
      <c r="Q56" s="234"/>
      <c r="R56" s="234"/>
      <c r="S56" s="234"/>
      <c r="T56" s="234"/>
      <c r="U56" s="234"/>
      <c r="V56" s="234"/>
      <c r="W56" s="234"/>
    </row>
    <row r="57" spans="1:23" s="234" customFormat="1" ht="18" customHeight="1" x14ac:dyDescent="0.3">
      <c r="A57" s="27"/>
      <c r="B57" s="182" t="s">
        <v>883</v>
      </c>
      <c r="C57" s="183" t="s">
        <v>183</v>
      </c>
      <c r="D57" s="183" t="s">
        <v>184</v>
      </c>
      <c r="E57" s="183" t="s">
        <v>219</v>
      </c>
      <c r="F57" s="183">
        <v>105000</v>
      </c>
      <c r="G57" s="183">
        <v>0</v>
      </c>
      <c r="H57" s="183">
        <v>1192948</v>
      </c>
      <c r="I57" s="217" t="s">
        <v>50</v>
      </c>
      <c r="J57" s="167" t="str">
        <f t="shared" si="4"/>
        <v>Sueldo Agosto 17</v>
      </c>
      <c r="K57" s="167" t="str">
        <f t="shared" si="5"/>
        <v xml:space="preserve">Diego Maldonado                              </v>
      </c>
      <c r="L57" s="284"/>
      <c r="M57" s="285"/>
      <c r="N57" s="125"/>
    </row>
    <row r="58" spans="1:23" s="234" customFormat="1" ht="18" customHeight="1" x14ac:dyDescent="0.3">
      <c r="A58" s="27"/>
      <c r="B58" s="182" t="s">
        <v>883</v>
      </c>
      <c r="C58" s="183" t="s">
        <v>183</v>
      </c>
      <c r="D58" s="183" t="s">
        <v>184</v>
      </c>
      <c r="E58" s="183" t="s">
        <v>219</v>
      </c>
      <c r="F58" s="183">
        <v>90000</v>
      </c>
      <c r="G58" s="183">
        <v>0</v>
      </c>
      <c r="H58" s="183">
        <v>1297948</v>
      </c>
      <c r="I58" s="217" t="s">
        <v>50</v>
      </c>
      <c r="J58" s="167" t="str">
        <f t="shared" si="4"/>
        <v>Sueldo Agosto 17</v>
      </c>
      <c r="K58" s="167" t="str">
        <f t="shared" si="5"/>
        <v xml:space="preserve">Lucia Choque                                 </v>
      </c>
      <c r="L58" s="196"/>
      <c r="M58" s="125"/>
      <c r="N58" s="125"/>
    </row>
    <row r="59" spans="1:23" s="234" customFormat="1" ht="18" customHeight="1" x14ac:dyDescent="0.3">
      <c r="A59" s="27"/>
      <c r="B59" s="182" t="s">
        <v>883</v>
      </c>
      <c r="C59" s="183" t="s">
        <v>183</v>
      </c>
      <c r="D59" s="183" t="s">
        <v>184</v>
      </c>
      <c r="E59" s="183" t="s">
        <v>219</v>
      </c>
      <c r="F59" s="183">
        <v>105000</v>
      </c>
      <c r="G59" s="183">
        <v>0</v>
      </c>
      <c r="H59" s="183">
        <v>1387948</v>
      </c>
      <c r="I59" s="217" t="s">
        <v>50</v>
      </c>
      <c r="J59" s="167" t="str">
        <f t="shared" si="4"/>
        <v>Sueldo Agosto 17</v>
      </c>
      <c r="K59" s="167" t="str">
        <f t="shared" si="5"/>
        <v xml:space="preserve">Diego Maldonado                              </v>
      </c>
      <c r="L59" s="196"/>
      <c r="M59" s="125"/>
      <c r="N59" s="125"/>
    </row>
    <row r="60" spans="1:23" s="234" customFormat="1" ht="18" customHeight="1" x14ac:dyDescent="0.3">
      <c r="A60" s="27"/>
      <c r="B60" s="292" t="s">
        <v>883</v>
      </c>
      <c r="C60" s="287" t="s">
        <v>183</v>
      </c>
      <c r="D60" s="287" t="s">
        <v>184</v>
      </c>
      <c r="E60" s="287" t="s">
        <v>219</v>
      </c>
      <c r="F60" s="287">
        <v>75000</v>
      </c>
      <c r="G60" s="287">
        <v>0</v>
      </c>
      <c r="H60" s="287">
        <v>1492948</v>
      </c>
      <c r="I60" s="217" t="s">
        <v>50</v>
      </c>
      <c r="J60" s="167" t="str">
        <f t="shared" si="4"/>
        <v>Sueldo Agosto 17</v>
      </c>
      <c r="K60" s="167" t="str">
        <f t="shared" si="5"/>
        <v xml:space="preserve">Jose Victor Beltran                          </v>
      </c>
      <c r="L60" s="196"/>
      <c r="M60" s="125"/>
      <c r="N60" s="125"/>
    </row>
    <row r="61" spans="1:23" s="234" customFormat="1" ht="18" customHeight="1" x14ac:dyDescent="0.3">
      <c r="A61" s="27"/>
      <c r="B61" s="182" t="s">
        <v>883</v>
      </c>
      <c r="C61" s="183" t="s">
        <v>183</v>
      </c>
      <c r="D61" s="183" t="s">
        <v>184</v>
      </c>
      <c r="E61" s="183" t="s">
        <v>219</v>
      </c>
      <c r="F61" s="183">
        <v>435572</v>
      </c>
      <c r="G61" s="183">
        <v>0</v>
      </c>
      <c r="H61" s="183">
        <v>1567948</v>
      </c>
      <c r="I61" s="217" t="s">
        <v>50</v>
      </c>
      <c r="J61" s="167" t="str">
        <f t="shared" si="4"/>
        <v>Sueldo Agosto 17</v>
      </c>
      <c r="K61" s="167" t="str">
        <f t="shared" si="5"/>
        <v xml:space="preserve">Silvia Perez Ibarra                          </v>
      </c>
      <c r="L61" s="196"/>
      <c r="M61" s="285"/>
      <c r="N61" s="125"/>
    </row>
    <row r="62" spans="1:23" s="234" customFormat="1" ht="18" customHeight="1" x14ac:dyDescent="0.3">
      <c r="A62" s="27"/>
      <c r="B62" s="182" t="s">
        <v>883</v>
      </c>
      <c r="C62" s="183" t="s">
        <v>183</v>
      </c>
      <c r="D62" s="183" t="s">
        <v>184</v>
      </c>
      <c r="E62" s="183" t="s">
        <v>219</v>
      </c>
      <c r="F62" s="183">
        <v>499172</v>
      </c>
      <c r="G62" s="183">
        <v>0</v>
      </c>
      <c r="H62" s="183">
        <v>2003520</v>
      </c>
      <c r="I62" s="217" t="s">
        <v>50</v>
      </c>
      <c r="J62" s="167" t="str">
        <f t="shared" si="4"/>
        <v>Sueldo Agosto 17</v>
      </c>
      <c r="K62" s="167" t="str">
        <f t="shared" si="5"/>
        <v xml:space="preserve">Abrahan Delgado Vega                         </v>
      </c>
      <c r="L62" s="196"/>
      <c r="M62" s="125"/>
      <c r="N62" s="125"/>
    </row>
    <row r="63" spans="1:23" s="234" customFormat="1" ht="18" customHeight="1" x14ac:dyDescent="0.3">
      <c r="A63" s="27"/>
      <c r="B63" s="182" t="s">
        <v>883</v>
      </c>
      <c r="C63" s="183" t="s">
        <v>183</v>
      </c>
      <c r="D63" s="183" t="s">
        <v>184</v>
      </c>
      <c r="E63" s="183" t="s">
        <v>219</v>
      </c>
      <c r="F63" s="183">
        <v>499895</v>
      </c>
      <c r="G63" s="183">
        <v>0</v>
      </c>
      <c r="H63" s="183">
        <v>2502692</v>
      </c>
      <c r="I63" s="217" t="s">
        <v>50</v>
      </c>
      <c r="J63" s="167" t="str">
        <f t="shared" si="4"/>
        <v>Sueldo Agosto 17</v>
      </c>
      <c r="K63" s="167" t="str">
        <f t="shared" si="5"/>
        <v xml:space="preserve">Carlos Moscoso bertinelli                    </v>
      </c>
      <c r="L63" s="196"/>
      <c r="M63" s="125"/>
      <c r="N63" s="125"/>
    </row>
    <row r="64" spans="1:23" s="234" customFormat="1" ht="18" customHeight="1" x14ac:dyDescent="0.3">
      <c r="A64" s="27"/>
      <c r="B64" s="182" t="s">
        <v>883</v>
      </c>
      <c r="C64" s="183" t="s">
        <v>183</v>
      </c>
      <c r="D64" s="183" t="s">
        <v>184</v>
      </c>
      <c r="E64" s="183" t="s">
        <v>219</v>
      </c>
      <c r="F64" s="183">
        <v>1100562</v>
      </c>
      <c r="G64" s="183">
        <v>0</v>
      </c>
      <c r="H64" s="183">
        <v>3002587</v>
      </c>
      <c r="I64" s="217" t="s">
        <v>50</v>
      </c>
      <c r="J64" s="167" t="str">
        <f t="shared" si="4"/>
        <v>Sueldo Agosto 17</v>
      </c>
      <c r="K64" s="167" t="str">
        <f t="shared" si="5"/>
        <v xml:space="preserve">Mara Jose Paez Zumaran                       </v>
      </c>
      <c r="L64" s="196"/>
      <c r="M64" s="125"/>
      <c r="N64" s="125"/>
    </row>
    <row r="65" spans="1:23" s="234" customFormat="1" ht="18" customHeight="1" x14ac:dyDescent="0.3">
      <c r="A65" s="27"/>
      <c r="B65" s="182" t="s">
        <v>883</v>
      </c>
      <c r="C65" s="183" t="s">
        <v>183</v>
      </c>
      <c r="D65" s="183" t="s">
        <v>184</v>
      </c>
      <c r="E65" s="183" t="s">
        <v>219</v>
      </c>
      <c r="F65" s="183">
        <v>1230038</v>
      </c>
      <c r="G65" s="183">
        <v>0</v>
      </c>
      <c r="H65" s="183">
        <v>4103149</v>
      </c>
      <c r="I65" s="217" t="s">
        <v>50</v>
      </c>
      <c r="J65" s="167" t="str">
        <f t="shared" si="4"/>
        <v>Sueldo Agosto 17</v>
      </c>
      <c r="K65" s="167" t="str">
        <f t="shared" si="5"/>
        <v xml:space="preserve">Angelica Ramirez Muñoz                       </v>
      </c>
      <c r="L65" s="196"/>
      <c r="M65" s="125"/>
      <c r="N65" s="125"/>
    </row>
    <row r="66" spans="1:23" s="234" customFormat="1" ht="18" customHeight="1" x14ac:dyDescent="0.3">
      <c r="A66" s="27"/>
      <c r="B66" s="182" t="s">
        <v>883</v>
      </c>
      <c r="C66" s="183" t="s">
        <v>183</v>
      </c>
      <c r="D66" s="183" t="s">
        <v>184</v>
      </c>
      <c r="E66" s="183" t="s">
        <v>219</v>
      </c>
      <c r="F66" s="183">
        <v>541806</v>
      </c>
      <c r="G66" s="183">
        <v>0</v>
      </c>
      <c r="H66" s="183">
        <v>5333187</v>
      </c>
      <c r="I66" s="217" t="s">
        <v>50</v>
      </c>
      <c r="J66" s="167" t="str">
        <f t="shared" si="4"/>
        <v xml:space="preserve"> </v>
      </c>
      <c r="K66" s="167" t="str">
        <f t="shared" si="5"/>
        <v xml:space="preserve">Cristina Casanovas                           </v>
      </c>
      <c r="L66" s="196"/>
      <c r="M66" s="125"/>
      <c r="N66" s="125"/>
    </row>
    <row r="67" spans="1:23" s="234" customFormat="1" ht="18" customHeight="1" x14ac:dyDescent="0.3">
      <c r="A67" s="27"/>
      <c r="B67" s="182" t="s">
        <v>883</v>
      </c>
      <c r="C67" s="183" t="s">
        <v>183</v>
      </c>
      <c r="D67" s="183" t="s">
        <v>184</v>
      </c>
      <c r="E67" s="183" t="s">
        <v>219</v>
      </c>
      <c r="F67" s="183">
        <v>515592</v>
      </c>
      <c r="G67" s="183">
        <v>0</v>
      </c>
      <c r="H67" s="183">
        <v>5874993</v>
      </c>
      <c r="I67" s="217" t="s">
        <v>50</v>
      </c>
      <c r="J67" s="167" t="str">
        <f t="shared" si="4"/>
        <v>Sueldo Agosto 17</v>
      </c>
      <c r="K67" s="167" t="str">
        <f t="shared" si="5"/>
        <v xml:space="preserve">Nilda Ccama Ayma                             </v>
      </c>
      <c r="L67" s="196"/>
      <c r="M67" s="125"/>
      <c r="N67" s="125"/>
    </row>
    <row r="68" spans="1:23" s="234" customFormat="1" ht="18" customHeight="1" x14ac:dyDescent="0.3">
      <c r="A68" s="27"/>
      <c r="B68" s="182" t="s">
        <v>883</v>
      </c>
      <c r="C68" s="183" t="s">
        <v>183</v>
      </c>
      <c r="D68" s="183" t="s">
        <v>184</v>
      </c>
      <c r="E68" s="183" t="s">
        <v>219</v>
      </c>
      <c r="F68" s="183">
        <v>496333</v>
      </c>
      <c r="G68" s="183">
        <v>0</v>
      </c>
      <c r="H68" s="183">
        <v>6390585</v>
      </c>
      <c r="I68" s="217" t="s">
        <v>50</v>
      </c>
      <c r="J68" s="167" t="str">
        <f t="shared" si="4"/>
        <v>Sueldo Agosto 17</v>
      </c>
      <c r="K68" s="167" t="str">
        <f t="shared" si="5"/>
        <v xml:space="preserve">Sebastian Villalobos                         </v>
      </c>
      <c r="L68" s="196"/>
      <c r="M68" s="125"/>
      <c r="N68" s="125"/>
    </row>
    <row r="69" spans="1:23" s="234" customFormat="1" ht="18" customHeight="1" x14ac:dyDescent="0.3">
      <c r="A69" s="27"/>
      <c r="B69" s="182" t="s">
        <v>883</v>
      </c>
      <c r="C69" s="183" t="s">
        <v>183</v>
      </c>
      <c r="D69" s="183" t="s">
        <v>184</v>
      </c>
      <c r="E69" s="183" t="s">
        <v>219</v>
      </c>
      <c r="F69" s="183">
        <v>518049</v>
      </c>
      <c r="G69" s="183">
        <v>0</v>
      </c>
      <c r="H69" s="183">
        <v>6886918</v>
      </c>
      <c r="I69" s="217" t="s">
        <v>50</v>
      </c>
      <c r="J69" s="167" t="str">
        <f t="shared" si="4"/>
        <v>Sueldo Agosto 17</v>
      </c>
      <c r="K69" s="167" t="str">
        <f t="shared" si="5"/>
        <v xml:space="preserve">Juany Estelo Cruz                            </v>
      </c>
      <c r="L69" s="196"/>
      <c r="M69" s="125"/>
      <c r="N69" s="125"/>
    </row>
    <row r="70" spans="1:23" s="234" customFormat="1" ht="18" customHeight="1" x14ac:dyDescent="0.3">
      <c r="A70" s="27"/>
      <c r="B70" s="182" t="s">
        <v>883</v>
      </c>
      <c r="C70" s="183" t="s">
        <v>183</v>
      </c>
      <c r="D70" s="183" t="s">
        <v>184</v>
      </c>
      <c r="E70" s="183" t="s">
        <v>219</v>
      </c>
      <c r="F70" s="183">
        <v>257844</v>
      </c>
      <c r="G70" s="183">
        <v>0</v>
      </c>
      <c r="H70" s="183">
        <v>7404967</v>
      </c>
      <c r="I70" s="217" t="s">
        <v>50</v>
      </c>
      <c r="J70" s="167" t="str">
        <f>IFERROR(VLOOKUP(-F70,$T$3:$W$50,4,FALSE),"")</f>
        <v>Sueldo Agosto 17</v>
      </c>
      <c r="K70" s="167" t="str">
        <f>IFERROR(VLOOKUP(-F70,$T$3:$W$50,3,FALSE),"")</f>
        <v xml:space="preserve">Luis Arias Arias                             </v>
      </c>
      <c r="L70" s="196"/>
      <c r="M70" s="125"/>
      <c r="N70" s="125"/>
    </row>
    <row r="71" spans="1:23" s="234" customFormat="1" ht="18" customHeight="1" x14ac:dyDescent="0.3">
      <c r="A71" s="27"/>
      <c r="B71" s="182" t="s">
        <v>883</v>
      </c>
      <c r="C71" s="183" t="s">
        <v>183</v>
      </c>
      <c r="D71" s="183" t="s">
        <v>187</v>
      </c>
      <c r="E71" s="183" t="s">
        <v>219</v>
      </c>
      <c r="F71" s="183">
        <v>500000</v>
      </c>
      <c r="G71" s="183">
        <v>0</v>
      </c>
      <c r="H71" s="183">
        <v>7662811</v>
      </c>
      <c r="I71" s="217" t="s">
        <v>256</v>
      </c>
      <c r="J71" s="167" t="str">
        <f t="shared" ref="J71:J80" si="6">IFERROR(VLOOKUP(-F71,$T$3:$W$50,4,FALSE),"")</f>
        <v xml:space="preserve"> </v>
      </c>
      <c r="K71" s="167" t="str">
        <f t="shared" ref="K71:K80" si="7">IFERROR(VLOOKUP(-F71,$T$3:$W$50,3,FALSE),"")</f>
        <v>SOCIEDAD HOTELERA ZAMORA RAMIREZ HERMANOS LIM</v>
      </c>
      <c r="L71" s="196"/>
      <c r="M71" s="125"/>
      <c r="N71" s="125"/>
    </row>
    <row r="72" spans="1:23" s="234" customFormat="1" ht="18" customHeight="1" x14ac:dyDescent="0.3">
      <c r="A72" s="27"/>
      <c r="B72" s="182" t="s">
        <v>883</v>
      </c>
      <c r="C72" s="183" t="s">
        <v>183</v>
      </c>
      <c r="D72" s="183" t="s">
        <v>184</v>
      </c>
      <c r="E72" s="183" t="s">
        <v>219</v>
      </c>
      <c r="F72" s="183">
        <v>40000</v>
      </c>
      <c r="G72" s="183">
        <v>0</v>
      </c>
      <c r="H72" s="183">
        <v>8162811</v>
      </c>
      <c r="I72" s="217" t="s">
        <v>257</v>
      </c>
      <c r="J72" s="167" t="str">
        <f t="shared" si="6"/>
        <v>Diseño Volante Pascual</v>
      </c>
      <c r="K72" s="167" t="str">
        <f t="shared" si="7"/>
        <v xml:space="preserve">JOSE MIGUEL MOYA GUTIERREZ                   </v>
      </c>
      <c r="L72" s="196"/>
      <c r="M72" s="125"/>
      <c r="N72" s="125"/>
    </row>
    <row r="73" spans="1:23" s="234" customFormat="1" ht="18" customHeight="1" x14ac:dyDescent="0.3">
      <c r="A73" s="27"/>
      <c r="B73" s="182" t="s">
        <v>883</v>
      </c>
      <c r="C73" s="183" t="s">
        <v>183</v>
      </c>
      <c r="D73" s="183" t="s">
        <v>184</v>
      </c>
      <c r="E73" s="183" t="s">
        <v>219</v>
      </c>
      <c r="F73" s="183">
        <v>96390</v>
      </c>
      <c r="G73" s="183">
        <v>0</v>
      </c>
      <c r="H73" s="183">
        <v>8202811</v>
      </c>
      <c r="I73" s="217" t="s">
        <v>257</v>
      </c>
      <c r="J73" s="167" t="str">
        <f t="shared" si="6"/>
        <v>Volantes Pascual Andino</v>
      </c>
      <c r="K73" s="167" t="str">
        <f t="shared" si="7"/>
        <v xml:space="preserve">IMPRESOS HELVETIA LTDA                       </v>
      </c>
      <c r="L73" s="196"/>
      <c r="M73" s="125"/>
      <c r="N73" s="125"/>
    </row>
    <row r="74" spans="1:23" s="234" customFormat="1" ht="18" customHeight="1" x14ac:dyDescent="0.3">
      <c r="A74" s="27"/>
      <c r="B74" s="182" t="s">
        <v>884</v>
      </c>
      <c r="C74" s="183" t="s">
        <v>348</v>
      </c>
      <c r="D74" s="183" t="s">
        <v>555</v>
      </c>
      <c r="E74" s="183" t="s">
        <v>219</v>
      </c>
      <c r="F74" s="183">
        <v>0</v>
      </c>
      <c r="G74" s="183">
        <v>12000</v>
      </c>
      <c r="H74" s="183">
        <v>1856351</v>
      </c>
      <c r="I74" s="217" t="s">
        <v>260</v>
      </c>
      <c r="J74" s="167" t="str">
        <f t="shared" si="6"/>
        <v/>
      </c>
      <c r="K74" s="167" t="str">
        <f t="shared" si="7"/>
        <v/>
      </c>
      <c r="L74" s="196"/>
      <c r="M74" s="125"/>
      <c r="N74" s="125"/>
    </row>
    <row r="75" spans="1:23" s="168" customFormat="1" ht="18" customHeight="1" x14ac:dyDescent="0.3">
      <c r="A75" s="27"/>
      <c r="B75" s="182" t="s">
        <v>885</v>
      </c>
      <c r="C75" s="183" t="s">
        <v>183</v>
      </c>
      <c r="D75" s="183" t="s">
        <v>184</v>
      </c>
      <c r="E75" s="183" t="s">
        <v>219</v>
      </c>
      <c r="F75" s="183">
        <v>16358</v>
      </c>
      <c r="G75" s="183">
        <v>0</v>
      </c>
      <c r="H75" s="183">
        <v>5572793</v>
      </c>
      <c r="I75" s="217" t="s">
        <v>9</v>
      </c>
      <c r="J75" s="167" t="str">
        <f t="shared" si="6"/>
        <v>Fact 387150</v>
      </c>
      <c r="K75" s="167" t="str">
        <f t="shared" si="7"/>
        <v xml:space="preserve">Leonprodal SA                                </v>
      </c>
      <c r="L75" s="196"/>
      <c r="M75" s="125"/>
      <c r="N75" s="125"/>
      <c r="O75" s="234"/>
      <c r="P75" s="234"/>
      <c r="Q75" s="234"/>
      <c r="R75" s="234"/>
      <c r="S75" s="234"/>
      <c r="T75" s="234"/>
      <c r="U75" s="234"/>
      <c r="V75" s="234"/>
      <c r="W75" s="234"/>
    </row>
    <row r="76" spans="1:23" s="168" customFormat="1" ht="18" customHeight="1" x14ac:dyDescent="0.3">
      <c r="A76" s="27"/>
      <c r="B76" s="182" t="s">
        <v>885</v>
      </c>
      <c r="C76" s="183" t="s">
        <v>183</v>
      </c>
      <c r="D76" s="183" t="s">
        <v>187</v>
      </c>
      <c r="E76" s="183" t="s">
        <v>219</v>
      </c>
      <c r="F76" s="183">
        <v>1048223</v>
      </c>
      <c r="G76" s="183">
        <v>0</v>
      </c>
      <c r="H76" s="183">
        <v>5589151</v>
      </c>
      <c r="I76" s="217" t="s">
        <v>259</v>
      </c>
      <c r="J76" s="167" t="str">
        <f t="shared" si="6"/>
        <v>Fact 11390</v>
      </c>
      <c r="K76" s="167" t="str">
        <f t="shared" si="7"/>
        <v xml:space="preserve">Comite de Agua San Pedro de Atacama          </v>
      </c>
      <c r="L76" s="196"/>
      <c r="M76" s="125"/>
      <c r="N76" s="125"/>
      <c r="O76" s="234"/>
      <c r="P76" s="234"/>
      <c r="Q76" s="234"/>
      <c r="R76" s="234"/>
      <c r="S76" s="234"/>
      <c r="T76" s="234"/>
      <c r="U76" s="234"/>
      <c r="V76" s="234"/>
      <c r="W76" s="234"/>
    </row>
    <row r="77" spans="1:23" s="168" customFormat="1" ht="18" customHeight="1" x14ac:dyDescent="0.3">
      <c r="A77" s="27"/>
      <c r="B77" s="182" t="s">
        <v>885</v>
      </c>
      <c r="C77" s="183" t="s">
        <v>183</v>
      </c>
      <c r="D77" s="183" t="s">
        <v>188</v>
      </c>
      <c r="E77" s="183" t="s">
        <v>219</v>
      </c>
      <c r="F77" s="183">
        <v>0</v>
      </c>
      <c r="G77" s="183">
        <v>5000000</v>
      </c>
      <c r="H77" s="183">
        <v>6637374</v>
      </c>
      <c r="I77" s="217" t="s">
        <v>198</v>
      </c>
      <c r="J77" s="167" t="str">
        <f t="shared" si="6"/>
        <v/>
      </c>
      <c r="K77" s="167" t="str">
        <f t="shared" si="7"/>
        <v/>
      </c>
      <c r="L77" s="196"/>
      <c r="M77" s="125"/>
      <c r="N77" s="125"/>
      <c r="O77" s="234"/>
      <c r="P77" s="234"/>
      <c r="Q77" s="234"/>
      <c r="R77" s="234"/>
      <c r="S77" s="234"/>
      <c r="T77" s="234"/>
      <c r="U77" s="234"/>
      <c r="V77" s="234"/>
      <c r="W77" s="234"/>
    </row>
    <row r="78" spans="1:23" s="168" customFormat="1" ht="18" customHeight="1" x14ac:dyDescent="0.3">
      <c r="A78" s="27"/>
      <c r="B78" s="182" t="s">
        <v>885</v>
      </c>
      <c r="C78" s="183" t="s">
        <v>191</v>
      </c>
      <c r="D78" s="183" t="s">
        <v>220</v>
      </c>
      <c r="E78" s="183" t="s">
        <v>219</v>
      </c>
      <c r="F78" s="183">
        <v>150000</v>
      </c>
      <c r="G78" s="183">
        <v>0</v>
      </c>
      <c r="H78" s="183">
        <v>1637374</v>
      </c>
      <c r="I78" s="217" t="s">
        <v>257</v>
      </c>
      <c r="J78" s="167" t="str">
        <f t="shared" si="6"/>
        <v/>
      </c>
      <c r="K78" s="167" t="str">
        <f t="shared" si="7"/>
        <v/>
      </c>
      <c r="L78" s="196"/>
      <c r="M78" s="125"/>
      <c r="N78" s="125"/>
      <c r="O78" s="234"/>
      <c r="P78" s="234"/>
      <c r="Q78" s="234"/>
      <c r="R78" s="234"/>
      <c r="S78" s="234"/>
      <c r="T78" s="234"/>
      <c r="U78" s="234"/>
      <c r="V78" s="234"/>
      <c r="W78" s="234"/>
    </row>
    <row r="79" spans="1:23" s="168" customFormat="1" ht="18" customHeight="1" x14ac:dyDescent="0.3">
      <c r="A79" s="27"/>
      <c r="B79" s="182" t="s">
        <v>885</v>
      </c>
      <c r="C79" s="183" t="s">
        <v>183</v>
      </c>
      <c r="D79" s="183" t="s">
        <v>184</v>
      </c>
      <c r="E79" s="183" t="s">
        <v>219</v>
      </c>
      <c r="F79" s="183">
        <v>68977</v>
      </c>
      <c r="G79" s="183">
        <v>0</v>
      </c>
      <c r="H79" s="183">
        <v>1787374</v>
      </c>
      <c r="I79" s="217" t="s">
        <v>50</v>
      </c>
      <c r="J79" s="167" t="str">
        <f t="shared" si="6"/>
        <v>Sueldo Agosto 17-pendiente Lui</v>
      </c>
      <c r="K79" s="167" t="str">
        <f t="shared" si="7"/>
        <v xml:space="preserve">Luis Arias Arias                             </v>
      </c>
      <c r="L79" s="196"/>
      <c r="M79" s="125"/>
      <c r="N79" s="125"/>
      <c r="O79" s="234"/>
      <c r="P79" s="234"/>
      <c r="Q79" s="234"/>
      <c r="R79" s="234"/>
      <c r="S79" s="234"/>
      <c r="T79" s="234"/>
      <c r="U79" s="234"/>
      <c r="V79" s="234"/>
      <c r="W79" s="234"/>
    </row>
    <row r="80" spans="1:23" s="168" customFormat="1" ht="18" customHeight="1" x14ac:dyDescent="0.3">
      <c r="A80" s="27"/>
      <c r="B80" s="182"/>
      <c r="C80" s="183"/>
      <c r="D80" s="183"/>
      <c r="E80" s="183"/>
      <c r="F80" s="183"/>
      <c r="G80" s="183"/>
      <c r="H80" s="183"/>
      <c r="I80" s="217"/>
      <c r="J80" s="167" t="str">
        <f t="shared" si="6"/>
        <v/>
      </c>
      <c r="K80" s="167" t="str">
        <f t="shared" si="7"/>
        <v/>
      </c>
      <c r="L80" s="196"/>
      <c r="M80" s="125"/>
      <c r="N80" s="125"/>
      <c r="O80" s="234"/>
      <c r="P80" s="234"/>
      <c r="Q80" s="234"/>
      <c r="R80" s="234"/>
      <c r="S80" s="234"/>
      <c r="T80" s="234"/>
      <c r="U80" s="234"/>
      <c r="V80" s="234"/>
      <c r="W80" s="234"/>
    </row>
    <row r="81" spans="1:23" s="168" customFormat="1" ht="18" customHeight="1" x14ac:dyDescent="0.3">
      <c r="A81" s="27"/>
      <c r="B81" s="182"/>
      <c r="C81" s="183"/>
      <c r="D81" s="183"/>
      <c r="E81" s="183"/>
      <c r="F81" s="183"/>
      <c r="G81" s="183"/>
      <c r="H81" s="183"/>
      <c r="I81" s="217"/>
      <c r="J81" s="221"/>
      <c r="K81" s="167"/>
      <c r="L81" s="196"/>
      <c r="M81" s="125"/>
      <c r="N81" s="125"/>
      <c r="O81" s="234"/>
      <c r="P81" s="234"/>
      <c r="Q81" s="234"/>
      <c r="R81" s="234"/>
      <c r="S81" s="234"/>
      <c r="T81" s="234"/>
      <c r="U81" s="234"/>
      <c r="V81" s="234"/>
      <c r="W81" s="234"/>
    </row>
    <row r="82" spans="1:23" s="168" customFormat="1" ht="18" customHeight="1" x14ac:dyDescent="0.3">
      <c r="A82" s="27"/>
      <c r="B82" s="182"/>
      <c r="C82" s="183"/>
      <c r="D82" s="183"/>
      <c r="E82" s="183"/>
      <c r="F82" s="183"/>
      <c r="G82" s="183"/>
      <c r="H82" s="183"/>
      <c r="I82" s="217"/>
      <c r="J82" s="221"/>
      <c r="K82" s="167"/>
      <c r="L82" s="196"/>
      <c r="N82" s="125"/>
      <c r="O82" s="234"/>
      <c r="P82" s="234"/>
      <c r="Q82" s="234"/>
      <c r="R82" s="234"/>
      <c r="S82" s="234"/>
      <c r="T82" s="234"/>
      <c r="U82" s="234"/>
      <c r="V82" s="234"/>
      <c r="W82" s="234"/>
    </row>
    <row r="83" spans="1:23" s="168" customFormat="1" ht="18" customHeight="1" x14ac:dyDescent="0.3">
      <c r="A83" s="27"/>
      <c r="B83" s="182"/>
      <c r="C83" s="183"/>
      <c r="D83" s="183"/>
      <c r="E83" s="183"/>
      <c r="F83" s="183"/>
      <c r="G83" s="183"/>
      <c r="H83" s="183"/>
      <c r="I83" s="217"/>
      <c r="J83" s="221"/>
      <c r="K83" s="167"/>
      <c r="L83" s="196"/>
      <c r="N83" s="125"/>
      <c r="O83" s="234"/>
      <c r="P83" s="234"/>
      <c r="Q83" s="234"/>
      <c r="R83" s="234"/>
      <c r="S83" s="234"/>
      <c r="T83" s="234"/>
      <c r="U83" s="234"/>
      <c r="V83" s="234"/>
      <c r="W83" s="234"/>
    </row>
    <row r="84" spans="1:23" s="168" customFormat="1" ht="18" customHeight="1" x14ac:dyDescent="0.3">
      <c r="A84" s="27"/>
      <c r="B84" s="182"/>
      <c r="C84" s="183"/>
      <c r="D84" s="183"/>
      <c r="E84" s="183"/>
      <c r="F84" s="183"/>
      <c r="G84" s="183"/>
      <c r="H84" s="183"/>
      <c r="I84" s="217"/>
      <c r="J84" s="221"/>
      <c r="K84" s="167"/>
      <c r="L84" s="196"/>
      <c r="N84" s="125"/>
      <c r="O84" s="234"/>
      <c r="P84" s="234"/>
      <c r="Q84" s="234"/>
      <c r="R84" s="234"/>
      <c r="S84" s="234"/>
      <c r="T84" s="234"/>
      <c r="U84" s="234"/>
      <c r="V84" s="234"/>
      <c r="W84" s="234"/>
    </row>
    <row r="85" spans="1:23" s="168" customFormat="1" ht="18" customHeight="1" x14ac:dyDescent="0.3">
      <c r="A85" s="27"/>
      <c r="B85" s="182"/>
      <c r="C85" s="183"/>
      <c r="D85" s="183"/>
      <c r="E85" s="183"/>
      <c r="F85" s="183"/>
      <c r="G85" s="183"/>
      <c r="H85" s="183"/>
      <c r="I85" s="217"/>
      <c r="J85" s="221"/>
      <c r="K85" s="167"/>
      <c r="L85" s="196"/>
      <c r="N85" s="125"/>
      <c r="O85" s="234"/>
      <c r="P85" s="234"/>
      <c r="Q85" s="234"/>
      <c r="R85" s="234"/>
      <c r="S85" s="234"/>
      <c r="T85" s="234"/>
      <c r="U85" s="234"/>
      <c r="V85" s="234"/>
      <c r="W85" s="234"/>
    </row>
    <row r="86" spans="1:23" s="168" customFormat="1" ht="18" customHeight="1" x14ac:dyDescent="0.3">
      <c r="A86" s="27"/>
      <c r="B86" s="182"/>
      <c r="C86" s="183"/>
      <c r="D86" s="183"/>
      <c r="E86" s="183"/>
      <c r="F86" s="183"/>
      <c r="G86" s="183"/>
      <c r="H86" s="183"/>
      <c r="I86" s="217"/>
      <c r="J86" s="221"/>
      <c r="K86" s="167"/>
      <c r="L86" s="196"/>
      <c r="N86" s="125"/>
      <c r="O86" s="234"/>
      <c r="P86" s="234"/>
      <c r="Q86" s="234"/>
      <c r="R86" s="234"/>
      <c r="S86" s="234"/>
      <c r="T86" s="234"/>
      <c r="U86" s="234"/>
      <c r="V86" s="234"/>
      <c r="W86" s="234"/>
    </row>
    <row r="87" spans="1:23" s="168" customFormat="1" ht="18" customHeight="1" x14ac:dyDescent="0.3">
      <c r="A87" s="27"/>
      <c r="B87" s="182"/>
      <c r="C87" s="183"/>
      <c r="D87" s="183"/>
      <c r="E87" s="183"/>
      <c r="F87" s="183"/>
      <c r="G87" s="183"/>
      <c r="H87" s="183"/>
      <c r="I87" s="217"/>
      <c r="J87" s="221"/>
      <c r="K87" s="167"/>
      <c r="L87" s="196"/>
      <c r="N87" s="125"/>
      <c r="O87" s="234"/>
      <c r="P87" s="234"/>
      <c r="Q87" s="234"/>
      <c r="R87" s="234"/>
      <c r="S87" s="234"/>
      <c r="T87" s="234"/>
      <c r="U87" s="234"/>
      <c r="V87" s="234"/>
      <c r="W87" s="234"/>
    </row>
    <row r="88" spans="1:23" s="168" customFormat="1" ht="18" customHeight="1" x14ac:dyDescent="0.3">
      <c r="A88" s="27"/>
      <c r="B88" s="182"/>
      <c r="C88" s="183"/>
      <c r="D88" s="183"/>
      <c r="E88" s="183"/>
      <c r="F88" s="183"/>
      <c r="G88" s="183"/>
      <c r="H88" s="183"/>
      <c r="I88" s="217"/>
      <c r="J88" s="221"/>
      <c r="K88" s="167"/>
      <c r="L88" s="196"/>
      <c r="N88" s="125"/>
      <c r="O88" s="234"/>
      <c r="P88" s="234"/>
      <c r="Q88" s="234"/>
      <c r="R88" s="234"/>
      <c r="S88" s="234"/>
      <c r="T88" s="234"/>
      <c r="U88" s="234"/>
      <c r="V88" s="234"/>
      <c r="W88" s="234"/>
    </row>
    <row r="89" spans="1:23" s="168" customFormat="1" ht="18" customHeight="1" x14ac:dyDescent="0.3">
      <c r="B89" s="182"/>
      <c r="C89" s="183"/>
      <c r="D89" s="183"/>
      <c r="E89" s="183"/>
      <c r="F89" s="183"/>
      <c r="G89" s="183"/>
      <c r="H89" s="183"/>
      <c r="I89" s="217"/>
      <c r="J89" s="221"/>
      <c r="K89" s="167"/>
      <c r="L89" s="196"/>
      <c r="N89" s="125"/>
      <c r="O89" s="234"/>
      <c r="P89" s="234"/>
      <c r="Q89" s="234"/>
      <c r="R89" s="234"/>
      <c r="S89" s="234"/>
      <c r="T89" s="234"/>
      <c r="U89" s="234"/>
      <c r="V89" s="234"/>
      <c r="W89" s="234"/>
    </row>
    <row r="90" spans="1:23" s="168" customFormat="1" ht="18" customHeight="1" x14ac:dyDescent="0.3">
      <c r="B90" s="182"/>
      <c r="C90" s="183"/>
      <c r="D90" s="183"/>
      <c r="E90" s="183"/>
      <c r="F90" s="183"/>
      <c r="G90" s="183"/>
      <c r="H90" s="183"/>
      <c r="I90" s="217"/>
      <c r="J90" s="221"/>
      <c r="K90" s="167"/>
      <c r="L90" s="196"/>
      <c r="N90" s="125"/>
      <c r="O90" s="234"/>
      <c r="P90" s="234"/>
      <c r="Q90" s="234"/>
      <c r="R90" s="234"/>
      <c r="S90" s="234"/>
      <c r="T90" s="234"/>
      <c r="U90" s="234"/>
      <c r="V90" s="234"/>
      <c r="W90" s="234"/>
    </row>
    <row r="91" spans="1:23" s="168" customFormat="1" ht="18" customHeight="1" x14ac:dyDescent="0.3">
      <c r="B91" s="182"/>
      <c r="C91" s="183"/>
      <c r="D91" s="183"/>
      <c r="E91" s="183"/>
      <c r="F91" s="183"/>
      <c r="G91" s="183"/>
      <c r="H91" s="183"/>
      <c r="I91" s="217"/>
      <c r="J91" s="220"/>
      <c r="K91" s="167"/>
      <c r="L91" s="196"/>
      <c r="N91" s="125"/>
      <c r="O91" s="234"/>
      <c r="P91" s="234"/>
      <c r="Q91" s="234"/>
      <c r="R91" s="234"/>
      <c r="S91" s="234"/>
      <c r="T91" s="234"/>
      <c r="U91" s="234"/>
      <c r="V91" s="234"/>
      <c r="W91" s="234"/>
    </row>
    <row r="92" spans="1:23" s="168" customFormat="1" ht="18" customHeight="1" x14ac:dyDescent="0.3">
      <c r="B92" s="182"/>
      <c r="C92" s="183"/>
      <c r="D92" s="183"/>
      <c r="E92" s="183"/>
      <c r="F92" s="183"/>
      <c r="G92" s="183"/>
      <c r="H92" s="183"/>
      <c r="I92" s="217"/>
      <c r="J92" s="220"/>
      <c r="K92" s="167"/>
      <c r="L92" s="196"/>
      <c r="N92" s="125"/>
      <c r="O92" s="234"/>
      <c r="P92" s="234"/>
      <c r="Q92" s="234"/>
      <c r="R92" s="234"/>
      <c r="S92" s="234"/>
      <c r="T92" s="234"/>
      <c r="U92" s="234"/>
      <c r="V92" s="234"/>
      <c r="W92" s="234"/>
    </row>
    <row r="93" spans="1:23" s="168" customFormat="1" ht="18" customHeight="1" x14ac:dyDescent="0.3">
      <c r="B93" s="182"/>
      <c r="C93" s="183"/>
      <c r="D93" s="183"/>
      <c r="E93" s="183"/>
      <c r="F93" s="183"/>
      <c r="G93" s="183"/>
      <c r="H93" s="183"/>
      <c r="I93" s="217"/>
      <c r="J93" s="220"/>
      <c r="K93" s="167"/>
      <c r="L93" s="196"/>
      <c r="N93" s="125"/>
      <c r="O93" s="234"/>
      <c r="P93" s="234"/>
      <c r="Q93" s="234"/>
      <c r="R93" s="234"/>
      <c r="S93" s="234"/>
      <c r="T93" s="234"/>
      <c r="U93" s="234"/>
      <c r="V93" s="234"/>
      <c r="W93" s="234"/>
    </row>
    <row r="94" spans="1:23" s="168" customFormat="1" ht="18" customHeight="1" x14ac:dyDescent="0.3">
      <c r="B94" s="182"/>
      <c r="C94" s="183"/>
      <c r="D94" s="183"/>
      <c r="E94" s="183"/>
      <c r="F94" s="183"/>
      <c r="G94" s="183"/>
      <c r="H94" s="183"/>
      <c r="I94" s="217"/>
      <c r="J94" s="220"/>
      <c r="K94" s="167"/>
      <c r="L94" s="196"/>
      <c r="N94" s="125"/>
      <c r="O94" s="234"/>
      <c r="P94" s="234"/>
      <c r="Q94" s="234"/>
      <c r="R94" s="234"/>
      <c r="S94" s="234"/>
      <c r="T94" s="234"/>
      <c r="U94" s="234"/>
      <c r="V94" s="234"/>
      <c r="W94" s="234"/>
    </row>
    <row r="95" spans="1:23" s="168" customFormat="1" ht="18" customHeight="1" x14ac:dyDescent="0.3">
      <c r="B95" s="182"/>
      <c r="C95" s="183"/>
      <c r="D95" s="183"/>
      <c r="E95" s="183"/>
      <c r="F95" s="183"/>
      <c r="G95" s="183"/>
      <c r="H95" s="183"/>
      <c r="I95" s="217"/>
      <c r="J95" s="220"/>
      <c r="K95" s="167"/>
      <c r="L95" s="196"/>
      <c r="N95" s="125"/>
      <c r="O95" s="234"/>
      <c r="P95" s="234"/>
      <c r="Q95" s="234"/>
      <c r="R95" s="234"/>
      <c r="S95" s="234"/>
      <c r="T95" s="234"/>
      <c r="U95" s="234"/>
      <c r="V95" s="234"/>
      <c r="W95" s="234"/>
    </row>
    <row r="96" spans="1:23" s="168" customFormat="1" ht="18" customHeight="1" x14ac:dyDescent="0.3">
      <c r="B96" s="182"/>
      <c r="C96" s="183"/>
      <c r="D96" s="183"/>
      <c r="E96" s="183"/>
      <c r="F96" s="183"/>
      <c r="G96" s="183"/>
      <c r="H96" s="183"/>
      <c r="I96" s="217"/>
      <c r="J96" s="220"/>
      <c r="K96" s="167"/>
      <c r="L96" s="196"/>
      <c r="N96" s="125"/>
      <c r="O96" s="234"/>
      <c r="P96" s="234"/>
      <c r="Q96" s="234"/>
      <c r="R96" s="234"/>
      <c r="S96" s="234"/>
      <c r="T96" s="234"/>
      <c r="U96" s="234"/>
      <c r="V96" s="234"/>
      <c r="W96" s="234"/>
    </row>
    <row r="97" spans="1:23" s="168" customFormat="1" ht="18" customHeight="1" x14ac:dyDescent="0.3">
      <c r="B97" s="182"/>
      <c r="C97" s="183"/>
      <c r="D97" s="183"/>
      <c r="E97" s="183"/>
      <c r="F97" s="183"/>
      <c r="G97" s="183"/>
      <c r="H97" s="183"/>
      <c r="I97" s="217"/>
      <c r="J97" s="220"/>
      <c r="K97" s="167"/>
      <c r="L97" s="196"/>
      <c r="N97" s="125"/>
      <c r="O97" s="234"/>
      <c r="P97" s="234"/>
      <c r="Q97" s="234"/>
      <c r="R97" s="234"/>
      <c r="S97" s="234"/>
      <c r="T97" s="234"/>
      <c r="U97" s="234"/>
      <c r="V97" s="234"/>
      <c r="W97" s="234"/>
    </row>
    <row r="98" spans="1:23" s="168" customFormat="1" ht="18" customHeight="1" x14ac:dyDescent="0.3">
      <c r="B98" s="182"/>
      <c r="C98" s="183"/>
      <c r="D98" s="183"/>
      <c r="E98" s="183"/>
      <c r="F98" s="183"/>
      <c r="G98" s="183"/>
      <c r="H98" s="183"/>
      <c r="I98" s="217"/>
      <c r="J98" s="220"/>
      <c r="K98" s="167"/>
      <c r="L98" s="131"/>
      <c r="N98" s="125"/>
      <c r="O98" s="234"/>
      <c r="P98" s="234"/>
      <c r="Q98" s="234"/>
      <c r="R98" s="234"/>
      <c r="S98" s="234"/>
      <c r="T98" s="234"/>
      <c r="U98" s="234"/>
      <c r="V98" s="234"/>
      <c r="W98" s="234"/>
    </row>
    <row r="99" spans="1:23" s="168" customFormat="1" ht="18" customHeight="1" x14ac:dyDescent="0.3">
      <c r="B99" s="182"/>
      <c r="C99" s="183"/>
      <c r="D99" s="183"/>
      <c r="E99" s="183"/>
      <c r="F99" s="183"/>
      <c r="G99" s="183"/>
      <c r="H99" s="183"/>
      <c r="I99" s="217"/>
      <c r="J99" s="220"/>
      <c r="K99" s="167"/>
      <c r="L99" s="131"/>
      <c r="N99" s="125"/>
      <c r="O99" s="234"/>
      <c r="P99" s="234"/>
      <c r="Q99" s="234"/>
      <c r="R99" s="234"/>
      <c r="S99" s="234"/>
      <c r="T99" s="234"/>
      <c r="U99" s="234"/>
      <c r="V99" s="234"/>
      <c r="W99" s="234"/>
    </row>
    <row r="100" spans="1:23" s="168" customFormat="1" ht="18" customHeight="1" x14ac:dyDescent="0.3">
      <c r="B100" s="182"/>
      <c r="C100" s="183"/>
      <c r="D100" s="183"/>
      <c r="E100" s="183"/>
      <c r="F100" s="183"/>
      <c r="G100" s="183"/>
      <c r="H100" s="183"/>
      <c r="I100" s="217"/>
      <c r="J100" s="220"/>
      <c r="K100" s="167"/>
      <c r="L100" s="131"/>
      <c r="N100" s="125"/>
      <c r="O100" s="234"/>
      <c r="P100" s="234"/>
      <c r="Q100" s="234"/>
      <c r="R100" s="234"/>
      <c r="S100" s="234"/>
      <c r="T100" s="234"/>
      <c r="U100" s="234"/>
      <c r="V100" s="234"/>
      <c r="W100" s="234"/>
    </row>
    <row r="101" spans="1:23" s="168" customFormat="1" ht="18" customHeight="1" x14ac:dyDescent="0.3">
      <c r="B101" s="182"/>
      <c r="C101" s="183"/>
      <c r="D101" s="183"/>
      <c r="E101" s="183"/>
      <c r="F101" s="183"/>
      <c r="G101" s="183"/>
      <c r="H101" s="183"/>
      <c r="I101" s="217"/>
      <c r="J101" s="220"/>
      <c r="K101" s="167"/>
      <c r="L101" s="131"/>
      <c r="N101" s="125"/>
      <c r="O101" s="234"/>
      <c r="P101" s="234"/>
      <c r="Q101" s="234"/>
      <c r="R101" s="234"/>
      <c r="S101" s="234"/>
      <c r="T101" s="234"/>
      <c r="U101" s="234"/>
      <c r="V101" s="234"/>
      <c r="W101" s="234"/>
    </row>
    <row r="102" spans="1:23" s="168" customFormat="1" ht="18" customHeight="1" x14ac:dyDescent="0.3">
      <c r="B102" s="182"/>
      <c r="C102" s="183"/>
      <c r="D102" s="183"/>
      <c r="E102" s="183"/>
      <c r="F102" s="183"/>
      <c r="G102" s="183"/>
      <c r="H102" s="183"/>
      <c r="I102" s="217"/>
      <c r="J102" s="220"/>
      <c r="K102" s="167"/>
      <c r="L102" s="131"/>
      <c r="N102" s="125"/>
      <c r="O102" s="234"/>
      <c r="P102" s="234"/>
      <c r="Q102" s="234"/>
      <c r="R102" s="234"/>
      <c r="S102" s="234"/>
      <c r="T102" s="234"/>
      <c r="U102" s="234"/>
      <c r="V102" s="234"/>
      <c r="W102" s="234"/>
    </row>
    <row r="103" spans="1:23" s="168" customFormat="1" ht="18" customHeight="1" x14ac:dyDescent="0.3">
      <c r="B103" s="182"/>
      <c r="C103" s="183"/>
      <c r="D103" s="183"/>
      <c r="E103" s="183"/>
      <c r="F103" s="183"/>
      <c r="G103" s="183"/>
      <c r="H103" s="183"/>
      <c r="I103" s="217"/>
      <c r="J103" s="220"/>
      <c r="K103" s="167"/>
      <c r="L103" s="131"/>
      <c r="N103" s="125"/>
      <c r="O103" s="234"/>
      <c r="P103" s="234"/>
      <c r="Q103" s="234"/>
      <c r="R103" s="234"/>
      <c r="S103" s="234"/>
      <c r="T103" s="234"/>
      <c r="U103" s="234"/>
      <c r="V103" s="234"/>
      <c r="W103" s="234"/>
    </row>
    <row r="104" spans="1:23" s="168" customFormat="1" ht="18" customHeight="1" x14ac:dyDescent="0.3">
      <c r="B104" s="182"/>
      <c r="C104" s="183"/>
      <c r="D104" s="183"/>
      <c r="E104" s="183"/>
      <c r="F104" s="183"/>
      <c r="G104" s="183"/>
      <c r="H104" s="183"/>
      <c r="I104" s="217"/>
      <c r="J104" s="220"/>
      <c r="K104" s="167"/>
      <c r="L104" s="131"/>
      <c r="N104" s="125"/>
      <c r="O104" s="234"/>
      <c r="P104" s="234"/>
      <c r="Q104" s="234"/>
      <c r="R104" s="234"/>
      <c r="S104" s="234"/>
      <c r="T104" s="234"/>
      <c r="U104" s="234"/>
      <c r="V104" s="234"/>
      <c r="W104" s="234"/>
    </row>
    <row r="105" spans="1:23" s="145" customFormat="1" ht="18" customHeight="1" x14ac:dyDescent="0.3">
      <c r="A105" s="168"/>
      <c r="B105" s="182"/>
      <c r="C105" s="183"/>
      <c r="D105" s="183"/>
      <c r="E105" s="183"/>
      <c r="F105" s="183"/>
      <c r="G105" s="183"/>
      <c r="H105" s="183"/>
      <c r="I105" s="217"/>
      <c r="J105" s="220"/>
      <c r="K105" s="167"/>
      <c r="L105" s="131"/>
      <c r="N105" s="125"/>
      <c r="O105" s="234"/>
      <c r="P105" s="234"/>
      <c r="Q105" s="234"/>
      <c r="R105" s="234"/>
      <c r="S105" s="234"/>
      <c r="T105" s="234"/>
      <c r="U105" s="234"/>
      <c r="V105" s="234"/>
      <c r="W105" s="234"/>
    </row>
    <row r="106" spans="1:23" s="59" customFormat="1" ht="18" customHeight="1" x14ac:dyDescent="0.25">
      <c r="B106" s="61" t="s">
        <v>5</v>
      </c>
      <c r="C106" s="61" t="s">
        <v>45</v>
      </c>
      <c r="D106" s="177" t="s">
        <v>200</v>
      </c>
      <c r="E106" s="61" t="s">
        <v>47</v>
      </c>
      <c r="F106" s="61" t="s">
        <v>48</v>
      </c>
      <c r="G106" s="61" t="s">
        <v>49</v>
      </c>
      <c r="H106" s="61" t="s">
        <v>78</v>
      </c>
      <c r="I106" s="62"/>
      <c r="J106" s="222"/>
      <c r="K106" s="62"/>
      <c r="L106" s="132"/>
      <c r="M106" s="45"/>
      <c r="N106" s="45"/>
      <c r="O106" s="234"/>
      <c r="P106" s="234"/>
      <c r="Q106" s="234"/>
      <c r="R106" s="234"/>
      <c r="S106" s="234"/>
      <c r="T106" s="234"/>
      <c r="U106" s="234"/>
      <c r="V106" s="234"/>
      <c r="W106" s="234"/>
    </row>
    <row r="107" spans="1:23" s="59" customFormat="1" ht="18" customHeight="1" x14ac:dyDescent="0.3">
      <c r="B107" s="128" t="s">
        <v>850</v>
      </c>
      <c r="C107" s="129" t="s">
        <v>131</v>
      </c>
      <c r="D107" s="129" t="s">
        <v>508</v>
      </c>
      <c r="E107" s="129" t="s">
        <v>851</v>
      </c>
      <c r="F107" s="282"/>
      <c r="G107" s="324">
        <v>1950</v>
      </c>
      <c r="H107" s="129"/>
      <c r="I107" s="217" t="s">
        <v>261</v>
      </c>
      <c r="J107" s="223"/>
      <c r="K107" s="51"/>
      <c r="L107" s="132">
        <f>+F107*620</f>
        <v>0</v>
      </c>
      <c r="M107" s="45"/>
      <c r="N107" s="145"/>
      <c r="O107" s="234"/>
      <c r="P107" s="234"/>
      <c r="Q107" s="234"/>
      <c r="R107" s="234"/>
      <c r="S107" s="234"/>
      <c r="T107" s="234"/>
      <c r="U107" s="234"/>
      <c r="V107" s="234"/>
      <c r="W107" s="234"/>
    </row>
    <row r="108" spans="1:23" s="168" customFormat="1" ht="18" customHeight="1" x14ac:dyDescent="0.3">
      <c r="B108" s="182" t="s">
        <v>852</v>
      </c>
      <c r="C108" s="183" t="s">
        <v>349</v>
      </c>
      <c r="D108" s="183" t="s">
        <v>509</v>
      </c>
      <c r="E108" s="183" t="s">
        <v>853</v>
      </c>
      <c r="F108" s="282">
        <v>-6940</v>
      </c>
      <c r="G108" s="282"/>
      <c r="H108" s="183"/>
      <c r="I108" s="217"/>
      <c r="J108" s="223"/>
      <c r="K108" s="167"/>
      <c r="L108" s="132">
        <f t="shared" ref="L108:L113" si="8">+F108*620</f>
        <v>-4302800</v>
      </c>
      <c r="M108" s="45"/>
      <c r="O108" s="234"/>
      <c r="P108" s="234"/>
      <c r="Q108" s="234"/>
      <c r="R108" s="234"/>
      <c r="S108" s="234"/>
      <c r="T108" s="234"/>
      <c r="U108" s="234"/>
      <c r="V108" s="234"/>
      <c r="W108" s="234"/>
    </row>
    <row r="109" spans="1:23" s="168" customFormat="1" ht="18" customHeight="1" x14ac:dyDescent="0.3">
      <c r="B109" s="182" t="s">
        <v>852</v>
      </c>
      <c r="C109" s="183" t="s">
        <v>131</v>
      </c>
      <c r="D109" s="183" t="s">
        <v>508</v>
      </c>
      <c r="E109" s="183" t="s">
        <v>854</v>
      </c>
      <c r="F109" s="282"/>
      <c r="G109" s="324">
        <v>2560</v>
      </c>
      <c r="H109" s="183"/>
      <c r="I109" s="217" t="s">
        <v>261</v>
      </c>
      <c r="J109" s="223"/>
      <c r="K109" s="167"/>
      <c r="L109" s="132">
        <f t="shared" si="8"/>
        <v>0</v>
      </c>
      <c r="M109" s="45"/>
      <c r="O109" s="234"/>
      <c r="P109" s="234"/>
      <c r="Q109" s="234"/>
      <c r="R109" s="234"/>
      <c r="S109" s="234"/>
      <c r="T109" s="234"/>
      <c r="U109" s="234"/>
      <c r="V109" s="234"/>
      <c r="W109" s="234"/>
    </row>
    <row r="110" spans="1:23" s="168" customFormat="1" ht="18" customHeight="1" x14ac:dyDescent="0.3">
      <c r="B110" s="182" t="s">
        <v>855</v>
      </c>
      <c r="C110" s="183" t="s">
        <v>131</v>
      </c>
      <c r="D110" s="183" t="s">
        <v>508</v>
      </c>
      <c r="E110" s="183" t="s">
        <v>856</v>
      </c>
      <c r="F110" s="282"/>
      <c r="G110" s="324">
        <v>4380</v>
      </c>
      <c r="H110" s="183"/>
      <c r="I110" s="217" t="s">
        <v>261</v>
      </c>
      <c r="J110" s="223"/>
      <c r="K110" s="167"/>
      <c r="L110" s="132">
        <f t="shared" si="8"/>
        <v>0</v>
      </c>
      <c r="M110" s="45"/>
      <c r="O110" s="234"/>
      <c r="P110" s="234"/>
      <c r="Q110" s="234"/>
      <c r="R110" s="234"/>
      <c r="S110" s="234"/>
      <c r="T110" s="234"/>
      <c r="U110" s="234"/>
      <c r="V110" s="234"/>
      <c r="W110" s="234"/>
    </row>
    <row r="111" spans="1:23" s="145" customFormat="1" ht="18" customHeight="1" x14ac:dyDescent="0.3">
      <c r="A111" s="168"/>
      <c r="B111" s="182" t="s">
        <v>857</v>
      </c>
      <c r="C111" s="183" t="s">
        <v>349</v>
      </c>
      <c r="D111" s="183" t="s">
        <v>509</v>
      </c>
      <c r="E111" s="183" t="s">
        <v>858</v>
      </c>
      <c r="F111" s="282">
        <v>-9264</v>
      </c>
      <c r="G111" s="324"/>
      <c r="H111" s="183"/>
      <c r="I111" s="217"/>
      <c r="J111" s="223"/>
      <c r="K111" s="167"/>
      <c r="L111" s="132">
        <f t="shared" si="8"/>
        <v>-5743680</v>
      </c>
      <c r="M111" s="45"/>
      <c r="O111" s="234"/>
      <c r="P111" s="234"/>
      <c r="Q111" s="234"/>
      <c r="R111" s="234"/>
      <c r="S111" s="234"/>
      <c r="T111" s="234"/>
      <c r="U111" s="234"/>
      <c r="V111" s="234"/>
      <c r="W111" s="234"/>
    </row>
    <row r="112" spans="1:23" s="145" customFormat="1" ht="18" customHeight="1" x14ac:dyDescent="0.3">
      <c r="A112" s="168"/>
      <c r="B112" s="182" t="s">
        <v>859</v>
      </c>
      <c r="C112" s="183" t="s">
        <v>131</v>
      </c>
      <c r="D112" s="183" t="s">
        <v>508</v>
      </c>
      <c r="E112" s="183" t="s">
        <v>860</v>
      </c>
      <c r="F112" s="282"/>
      <c r="G112" s="282">
        <v>2983</v>
      </c>
      <c r="H112" s="183"/>
      <c r="I112" s="217" t="s">
        <v>261</v>
      </c>
      <c r="J112" s="223"/>
      <c r="K112" s="167"/>
      <c r="L112" s="132">
        <f t="shared" si="8"/>
        <v>0</v>
      </c>
      <c r="M112" s="45"/>
      <c r="N112" s="181"/>
      <c r="O112" s="234"/>
      <c r="P112" s="234"/>
      <c r="Q112" s="234"/>
      <c r="R112" s="234"/>
      <c r="S112" s="234"/>
      <c r="T112" s="234"/>
      <c r="U112" s="234"/>
      <c r="V112" s="234"/>
      <c r="W112" s="234"/>
    </row>
    <row r="113" spans="1:35" s="234" customFormat="1" ht="18" customHeight="1" x14ac:dyDescent="0.3">
      <c r="B113" s="182"/>
      <c r="C113" s="183"/>
      <c r="D113" s="183"/>
      <c r="E113" s="183"/>
      <c r="F113" s="183"/>
      <c r="G113" s="287"/>
      <c r="H113" s="183"/>
      <c r="I113" s="217"/>
      <c r="J113" s="223"/>
      <c r="K113" s="167"/>
      <c r="L113" s="132">
        <f t="shared" si="8"/>
        <v>0</v>
      </c>
      <c r="M113" s="45"/>
      <c r="N113" s="181"/>
    </row>
    <row r="114" spans="1:35" s="145" customFormat="1" ht="18" customHeight="1" x14ac:dyDescent="0.3">
      <c r="A114" s="168"/>
      <c r="B114" s="182"/>
      <c r="C114" s="183"/>
      <c r="D114" s="183"/>
      <c r="E114" s="183"/>
      <c r="F114" s="183"/>
      <c r="G114" s="183"/>
      <c r="H114" s="183"/>
      <c r="I114" s="217"/>
      <c r="J114" s="223"/>
      <c r="K114" s="167"/>
      <c r="L114" s="132"/>
      <c r="M114" s="45"/>
      <c r="N114" s="181"/>
      <c r="O114" s="234"/>
      <c r="P114" s="234"/>
      <c r="Q114" s="234"/>
      <c r="R114" s="234"/>
      <c r="S114" s="234"/>
      <c r="T114" s="234"/>
      <c r="U114" s="234"/>
      <c r="V114" s="234"/>
      <c r="W114" s="234"/>
    </row>
    <row r="115" spans="1:35" s="145" customFormat="1" ht="18" customHeight="1" x14ac:dyDescent="0.3">
      <c r="A115" s="168"/>
      <c r="B115" s="182"/>
      <c r="C115" s="183"/>
      <c r="D115" s="183"/>
      <c r="E115" s="183"/>
      <c r="F115" s="183"/>
      <c r="G115" s="183"/>
      <c r="H115" s="183"/>
      <c r="I115" s="217"/>
      <c r="J115" s="223"/>
      <c r="K115" s="167"/>
      <c r="L115" s="132"/>
      <c r="M115" s="45"/>
      <c r="N115" s="181"/>
      <c r="O115" s="234" t="s">
        <v>5</v>
      </c>
      <c r="P115" s="234" t="s">
        <v>45</v>
      </c>
      <c r="Q115" s="234" t="s">
        <v>200</v>
      </c>
      <c r="R115" s="234" t="s">
        <v>47</v>
      </c>
      <c r="S115" s="234" t="s">
        <v>81</v>
      </c>
      <c r="T115" s="234"/>
      <c r="U115" s="234"/>
      <c r="V115" s="234"/>
      <c r="W115" s="234"/>
    </row>
    <row r="116" spans="1:35" s="145" customFormat="1" ht="18" customHeight="1" x14ac:dyDescent="0.25">
      <c r="B116" s="177" t="s">
        <v>178</v>
      </c>
      <c r="C116" s="177" t="s">
        <v>5</v>
      </c>
      <c r="D116" s="177" t="s">
        <v>199</v>
      </c>
      <c r="E116" s="177"/>
      <c r="F116" s="177"/>
      <c r="G116" s="177"/>
      <c r="H116" s="177"/>
      <c r="I116" s="62"/>
      <c r="J116" s="222"/>
      <c r="K116" s="62"/>
      <c r="L116" s="15"/>
      <c r="M116" s="168"/>
      <c r="N116" s="126"/>
      <c r="O116" s="234"/>
      <c r="P116" s="234"/>
      <c r="Q116" s="234"/>
      <c r="R116" s="234"/>
      <c r="S116" s="234"/>
      <c r="T116" s="234"/>
      <c r="U116" s="234"/>
      <c r="V116" s="234"/>
      <c r="W116" s="234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</row>
    <row r="117" spans="1:35" s="145" customFormat="1" ht="18" customHeight="1" x14ac:dyDescent="0.3">
      <c r="B117" s="182" t="s">
        <v>989</v>
      </c>
      <c r="C117" s="233" t="s">
        <v>553</v>
      </c>
      <c r="D117" s="183" t="s">
        <v>329</v>
      </c>
      <c r="E117" s="183"/>
      <c r="F117" s="282">
        <v>343624</v>
      </c>
      <c r="G117" s="183"/>
      <c r="H117" s="183"/>
      <c r="I117" s="217" t="s">
        <v>258</v>
      </c>
      <c r="J117" s="221"/>
      <c r="K117" s="167"/>
      <c r="L117" s="15"/>
      <c r="M117" s="168" t="s">
        <v>408</v>
      </c>
      <c r="N117" s="126"/>
      <c r="O117" s="234"/>
      <c r="P117" s="234"/>
      <c r="Q117" s="234"/>
      <c r="R117" s="234"/>
      <c r="S117" s="234"/>
      <c r="T117" s="234"/>
      <c r="U117" s="234"/>
      <c r="V117" s="234"/>
      <c r="W117" s="234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</row>
    <row r="118" spans="1:35" s="145" customFormat="1" ht="18" customHeight="1" x14ac:dyDescent="0.3">
      <c r="B118" s="182" t="s">
        <v>991</v>
      </c>
      <c r="C118" s="233" t="s">
        <v>514</v>
      </c>
      <c r="D118" s="183" t="s">
        <v>992</v>
      </c>
      <c r="E118" s="183"/>
      <c r="F118" s="282">
        <v>26894</v>
      </c>
      <c r="G118" s="183"/>
      <c r="H118" s="183"/>
      <c r="I118" s="217" t="s">
        <v>257</v>
      </c>
      <c r="J118" s="221"/>
      <c r="K118" s="167"/>
      <c r="L118" s="15"/>
      <c r="M118" s="168"/>
      <c r="N118" s="126"/>
      <c r="O118" s="126"/>
      <c r="P118" s="126"/>
      <c r="Q118" s="126"/>
      <c r="R118" s="126"/>
      <c r="S118" s="126"/>
      <c r="T118" s="195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</row>
    <row r="119" spans="1:35" s="168" customFormat="1" ht="18" customHeight="1" x14ac:dyDescent="0.3">
      <c r="B119" s="182" t="s">
        <v>993</v>
      </c>
      <c r="C119" s="233" t="s">
        <v>514</v>
      </c>
      <c r="D119" s="183" t="s">
        <v>994</v>
      </c>
      <c r="E119" s="183"/>
      <c r="F119" s="282">
        <v>128119</v>
      </c>
      <c r="G119" s="183"/>
      <c r="H119" s="183"/>
      <c r="I119" s="217" t="s">
        <v>9</v>
      </c>
      <c r="J119" s="221"/>
      <c r="K119" s="167"/>
      <c r="L119" s="15"/>
      <c r="N119" s="126"/>
      <c r="O119" s="126"/>
      <c r="P119" s="126"/>
      <c r="Q119" s="126"/>
      <c r="R119" s="126"/>
      <c r="S119" s="126"/>
      <c r="T119" s="195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</row>
    <row r="120" spans="1:35" s="168" customFormat="1" ht="18" customHeight="1" x14ac:dyDescent="0.3">
      <c r="B120" s="182" t="s">
        <v>995</v>
      </c>
      <c r="C120" s="233" t="s">
        <v>554</v>
      </c>
      <c r="D120" s="183" t="s">
        <v>359</v>
      </c>
      <c r="E120" s="183"/>
      <c r="F120" s="282">
        <v>39700</v>
      </c>
      <c r="G120" s="183"/>
      <c r="H120" s="183"/>
      <c r="I120" s="217" t="s">
        <v>258</v>
      </c>
      <c r="J120" s="221"/>
      <c r="K120" s="167"/>
      <c r="L120" s="15"/>
      <c r="N120" s="126"/>
      <c r="O120" s="126"/>
      <c r="P120" s="126"/>
      <c r="Q120" s="126"/>
      <c r="R120" s="126"/>
      <c r="S120" s="126"/>
      <c r="T120" s="195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</row>
    <row r="121" spans="1:35" s="168" customFormat="1" ht="18" customHeight="1" x14ac:dyDescent="0.3">
      <c r="B121" s="182" t="s">
        <v>996</v>
      </c>
      <c r="C121" s="233" t="s">
        <v>556</v>
      </c>
      <c r="D121" s="183" t="s">
        <v>997</v>
      </c>
      <c r="E121" s="183"/>
      <c r="F121" s="282">
        <v>33900</v>
      </c>
      <c r="G121" s="183"/>
      <c r="H121" s="183"/>
      <c r="I121" s="217" t="s">
        <v>257</v>
      </c>
      <c r="J121" s="221"/>
      <c r="K121" s="167"/>
      <c r="L121" s="15"/>
      <c r="N121" s="126"/>
      <c r="O121" s="126"/>
      <c r="P121" s="126"/>
      <c r="Q121" s="126"/>
      <c r="R121" s="126"/>
      <c r="S121" s="126"/>
      <c r="T121" s="195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  <c r="AI121" s="126"/>
    </row>
    <row r="122" spans="1:35" s="168" customFormat="1" ht="18" customHeight="1" x14ac:dyDescent="0.3">
      <c r="B122" s="182" t="s">
        <v>998</v>
      </c>
      <c r="C122" s="233" t="s">
        <v>525</v>
      </c>
      <c r="D122" s="183" t="s">
        <v>999</v>
      </c>
      <c r="E122" s="183"/>
      <c r="F122" s="282">
        <v>42344</v>
      </c>
      <c r="G122" s="183"/>
      <c r="H122" s="183"/>
      <c r="I122" s="217" t="s">
        <v>257</v>
      </c>
      <c r="J122" s="221"/>
      <c r="K122" s="167"/>
      <c r="L122" s="15"/>
      <c r="N122" s="126"/>
      <c r="O122" s="126"/>
      <c r="P122" s="126"/>
      <c r="Q122" s="126"/>
      <c r="R122" s="126"/>
      <c r="S122" s="126"/>
      <c r="T122" s="195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  <c r="AF122" s="126"/>
      <c r="AG122" s="126"/>
      <c r="AH122" s="126"/>
      <c r="AI122" s="126"/>
    </row>
    <row r="123" spans="1:35" s="168" customFormat="1" ht="18" customHeight="1" x14ac:dyDescent="0.3">
      <c r="B123" s="182" t="s">
        <v>1000</v>
      </c>
      <c r="C123" s="233" t="s">
        <v>1001</v>
      </c>
      <c r="D123" s="183" t="s">
        <v>359</v>
      </c>
      <c r="E123" s="183"/>
      <c r="F123" s="282">
        <v>32400</v>
      </c>
      <c r="G123" s="183"/>
      <c r="H123" s="183"/>
      <c r="I123" s="217" t="s">
        <v>258</v>
      </c>
      <c r="J123" s="221"/>
      <c r="K123" s="167"/>
      <c r="L123" s="15"/>
      <c r="N123" s="126"/>
      <c r="O123" s="126"/>
      <c r="P123" s="126"/>
      <c r="Q123" s="126"/>
      <c r="R123" s="126"/>
      <c r="S123" s="126"/>
      <c r="T123" s="195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  <c r="AF123" s="126"/>
      <c r="AG123" s="126"/>
      <c r="AH123" s="126"/>
      <c r="AI123" s="126"/>
    </row>
    <row r="124" spans="1:35" s="168" customFormat="1" ht="18" customHeight="1" x14ac:dyDescent="0.3">
      <c r="B124" s="182" t="s">
        <v>1002</v>
      </c>
      <c r="C124" s="233" t="s">
        <v>1003</v>
      </c>
      <c r="D124" s="183" t="s">
        <v>329</v>
      </c>
      <c r="E124" s="183"/>
      <c r="F124" s="282">
        <v>57812</v>
      </c>
      <c r="G124" s="183"/>
      <c r="H124" s="183"/>
      <c r="I124" s="217" t="s">
        <v>258</v>
      </c>
      <c r="J124" s="221"/>
      <c r="K124" s="167"/>
      <c r="L124" s="15"/>
      <c r="N124" s="126"/>
      <c r="O124" s="126"/>
      <c r="P124" s="126"/>
      <c r="Q124" s="126"/>
      <c r="R124" s="126"/>
      <c r="S124" s="126"/>
      <c r="T124" s="195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</row>
    <row r="125" spans="1:35" s="168" customFormat="1" ht="18" customHeight="1" x14ac:dyDescent="0.3">
      <c r="B125" s="182" t="s">
        <v>1004</v>
      </c>
      <c r="C125" s="233" t="s">
        <v>553</v>
      </c>
      <c r="D125" s="183" t="s">
        <v>244</v>
      </c>
      <c r="E125" s="183"/>
      <c r="F125" s="282">
        <v>2349</v>
      </c>
      <c r="G125" s="183"/>
      <c r="H125" s="183"/>
      <c r="I125" s="217" t="s">
        <v>255</v>
      </c>
      <c r="J125" s="221"/>
      <c r="K125" s="167"/>
      <c r="L125" s="15"/>
      <c r="M125" s="125" t="s">
        <v>409</v>
      </c>
      <c r="N125" s="126"/>
      <c r="O125" s="126"/>
      <c r="P125" s="126"/>
      <c r="Q125" s="126"/>
      <c r="R125" s="126"/>
      <c r="S125" s="126"/>
      <c r="T125" s="195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  <c r="AI125" s="126"/>
    </row>
    <row r="126" spans="1:35" s="168" customFormat="1" ht="18" customHeight="1" x14ac:dyDescent="0.3">
      <c r="B126" s="182" t="s">
        <v>1005</v>
      </c>
      <c r="C126" s="233" t="s">
        <v>554</v>
      </c>
      <c r="D126" s="183" t="s">
        <v>244</v>
      </c>
      <c r="E126" s="183"/>
      <c r="F126" s="282">
        <v>1848</v>
      </c>
      <c r="G126" s="183"/>
      <c r="H126" s="183"/>
      <c r="I126" s="217" t="s">
        <v>255</v>
      </c>
      <c r="J126" s="221"/>
      <c r="K126" s="167"/>
      <c r="L126" s="15"/>
      <c r="N126" s="126"/>
      <c r="O126" s="126"/>
      <c r="P126" s="126"/>
      <c r="Q126" s="126"/>
      <c r="R126" s="126"/>
      <c r="S126" s="126"/>
      <c r="T126" s="195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</row>
    <row r="127" spans="1:35" s="168" customFormat="1" ht="18" customHeight="1" x14ac:dyDescent="0.3">
      <c r="B127" s="182" t="s">
        <v>1006</v>
      </c>
      <c r="C127" s="233" t="s">
        <v>515</v>
      </c>
      <c r="D127" s="183" t="s">
        <v>1007</v>
      </c>
      <c r="E127" s="183"/>
      <c r="F127" s="282">
        <v>-1351</v>
      </c>
      <c r="G127" s="183"/>
      <c r="H127" s="183"/>
      <c r="I127" s="217" t="s">
        <v>255</v>
      </c>
      <c r="J127" s="221"/>
      <c r="K127" s="167"/>
      <c r="L127" s="15"/>
      <c r="N127" s="126"/>
      <c r="O127" s="126"/>
      <c r="P127" s="126"/>
      <c r="Q127" s="126"/>
      <c r="R127" s="126"/>
      <c r="S127" s="126"/>
      <c r="T127" s="195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</row>
    <row r="128" spans="1:35" s="168" customFormat="1" ht="18" customHeight="1" x14ac:dyDescent="0.3">
      <c r="B128" s="182" t="s">
        <v>1006</v>
      </c>
      <c r="C128" s="233" t="s">
        <v>516</v>
      </c>
      <c r="D128" s="183" t="s">
        <v>1008</v>
      </c>
      <c r="E128" s="183"/>
      <c r="F128" s="282">
        <v>-807</v>
      </c>
      <c r="G128" s="183"/>
      <c r="H128" s="183"/>
      <c r="I128" s="217" t="s">
        <v>255</v>
      </c>
      <c r="J128" s="221"/>
      <c r="K128" s="167"/>
      <c r="L128" s="15"/>
      <c r="N128" s="126"/>
      <c r="O128" s="126"/>
      <c r="P128" s="126"/>
      <c r="Q128" s="126"/>
      <c r="R128" s="126"/>
      <c r="S128" s="126"/>
      <c r="T128" s="195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  <c r="AI128" s="126"/>
    </row>
    <row r="129" spans="2:35" s="168" customFormat="1" ht="18" customHeight="1" x14ac:dyDescent="0.3">
      <c r="B129" s="182" t="s">
        <v>1006</v>
      </c>
      <c r="C129" s="233" t="s">
        <v>516</v>
      </c>
      <c r="D129" s="183" t="s">
        <v>1007</v>
      </c>
      <c r="E129" s="183"/>
      <c r="F129" s="282">
        <v>-3436</v>
      </c>
      <c r="G129" s="183"/>
      <c r="H129" s="183"/>
      <c r="I129" s="217" t="s">
        <v>255</v>
      </c>
      <c r="J129" s="221"/>
      <c r="K129" s="167"/>
      <c r="L129" s="15"/>
      <c r="N129" s="126"/>
      <c r="O129" s="126"/>
      <c r="P129" s="126"/>
      <c r="Q129" s="126"/>
      <c r="R129" s="126"/>
      <c r="S129" s="126"/>
      <c r="T129" s="195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  <c r="AF129" s="126"/>
      <c r="AG129" s="126"/>
      <c r="AH129" s="126"/>
      <c r="AI129" s="126"/>
    </row>
    <row r="130" spans="2:35" s="168" customFormat="1" ht="18" customHeight="1" x14ac:dyDescent="0.3">
      <c r="B130" s="182" t="s">
        <v>1006</v>
      </c>
      <c r="C130" s="233" t="s">
        <v>516</v>
      </c>
      <c r="D130" s="183" t="s">
        <v>400</v>
      </c>
      <c r="E130" s="183"/>
      <c r="F130" s="282">
        <v>-300</v>
      </c>
      <c r="G130" s="183"/>
      <c r="H130" s="183"/>
      <c r="I130" s="217" t="s">
        <v>255</v>
      </c>
      <c r="J130" s="221"/>
      <c r="K130" s="167"/>
      <c r="L130" s="15"/>
      <c r="N130" s="126"/>
      <c r="O130" s="126"/>
      <c r="P130" s="126"/>
      <c r="Q130" s="126"/>
      <c r="R130" s="126"/>
      <c r="S130" s="126"/>
      <c r="T130" s="195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</row>
    <row r="131" spans="2:35" s="168" customFormat="1" ht="18" customHeight="1" x14ac:dyDescent="0.3">
      <c r="B131" s="182" t="s">
        <v>1009</v>
      </c>
      <c r="C131" s="233" t="s">
        <v>557</v>
      </c>
      <c r="D131" s="183" t="s">
        <v>1010</v>
      </c>
      <c r="E131" s="183"/>
      <c r="F131" s="282">
        <v>967</v>
      </c>
      <c r="G131" s="183"/>
      <c r="H131" s="183"/>
      <c r="I131" s="217" t="s">
        <v>255</v>
      </c>
      <c r="J131" s="221"/>
      <c r="K131" s="167"/>
      <c r="L131" s="15"/>
      <c r="N131" s="126"/>
      <c r="O131" s="126"/>
      <c r="P131" s="126"/>
      <c r="Q131" s="126"/>
      <c r="R131" s="126"/>
      <c r="S131" s="126"/>
      <c r="T131" s="195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</row>
    <row r="132" spans="2:35" s="168" customFormat="1" ht="18" customHeight="1" x14ac:dyDescent="0.3">
      <c r="B132" s="182" t="s">
        <v>1011</v>
      </c>
      <c r="C132" s="233" t="s">
        <v>1003</v>
      </c>
      <c r="D132" s="183" t="s">
        <v>244</v>
      </c>
      <c r="E132" s="183"/>
      <c r="F132" s="282">
        <v>153</v>
      </c>
      <c r="G132" s="183"/>
      <c r="H132" s="183"/>
      <c r="I132" s="217" t="s">
        <v>255</v>
      </c>
      <c r="J132" s="221"/>
      <c r="K132" s="167"/>
      <c r="L132" s="15"/>
      <c r="N132" s="126"/>
      <c r="O132" s="126"/>
      <c r="P132" s="126"/>
      <c r="Q132" s="126"/>
      <c r="R132" s="126"/>
      <c r="S132" s="126"/>
      <c r="T132" s="195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  <c r="AI132" s="126"/>
    </row>
    <row r="133" spans="2:35" s="168" customFormat="1" ht="18" customHeight="1" x14ac:dyDescent="0.3">
      <c r="B133" s="182" t="s">
        <v>1012</v>
      </c>
      <c r="C133" s="233" t="s">
        <v>551</v>
      </c>
      <c r="D133" s="183" t="s">
        <v>1008</v>
      </c>
      <c r="E133" s="183"/>
      <c r="F133" s="183">
        <v>-2287</v>
      </c>
      <c r="G133" s="183"/>
      <c r="H133" s="183"/>
      <c r="I133" s="217" t="s">
        <v>255</v>
      </c>
      <c r="J133" s="221"/>
      <c r="K133" s="167"/>
      <c r="L133" s="15"/>
      <c r="N133" s="126"/>
      <c r="O133" s="126"/>
      <c r="P133" s="126"/>
      <c r="Q133" s="126"/>
      <c r="R133" s="126"/>
      <c r="S133" s="126"/>
      <c r="T133" s="195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</row>
    <row r="134" spans="2:35" s="168" customFormat="1" ht="18" customHeight="1" x14ac:dyDescent="0.3">
      <c r="B134" s="182" t="s">
        <v>1013</v>
      </c>
      <c r="C134" s="233" t="s">
        <v>551</v>
      </c>
      <c r="D134" s="183" t="s">
        <v>244</v>
      </c>
      <c r="E134" s="183"/>
      <c r="F134" s="183">
        <v>1483</v>
      </c>
      <c r="G134" s="183"/>
      <c r="H134" s="183"/>
      <c r="I134" s="217" t="s">
        <v>255</v>
      </c>
      <c r="J134" s="221"/>
      <c r="K134" s="167"/>
      <c r="L134" s="15"/>
      <c r="N134" s="126"/>
      <c r="O134" s="126"/>
      <c r="P134" s="126"/>
      <c r="Q134" s="126"/>
      <c r="R134" s="126"/>
      <c r="S134" s="126"/>
      <c r="T134" s="195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/>
      <c r="AI134" s="126"/>
    </row>
    <row r="135" spans="2:35" s="168" customFormat="1" ht="18" customHeight="1" x14ac:dyDescent="0.3">
      <c r="B135" s="182" t="s">
        <v>1012</v>
      </c>
      <c r="C135" s="233" t="s">
        <v>551</v>
      </c>
      <c r="D135" s="183" t="s">
        <v>1007</v>
      </c>
      <c r="E135" s="183"/>
      <c r="F135" s="183">
        <v>-578</v>
      </c>
      <c r="G135" s="183"/>
      <c r="H135" s="183"/>
      <c r="I135" s="217" t="s">
        <v>255</v>
      </c>
      <c r="J135" s="221"/>
      <c r="K135" s="167"/>
      <c r="L135" s="15"/>
      <c r="N135" s="126"/>
      <c r="O135" s="126"/>
      <c r="P135" s="126"/>
      <c r="Q135" s="126"/>
      <c r="R135" s="126"/>
      <c r="S135" s="126"/>
      <c r="T135" s="195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</row>
    <row r="136" spans="2:35" s="168" customFormat="1" ht="18" customHeight="1" x14ac:dyDescent="0.3">
      <c r="B136" s="182" t="s">
        <v>1014</v>
      </c>
      <c r="C136" s="233" t="s">
        <v>558</v>
      </c>
      <c r="D136" s="183" t="s">
        <v>1007</v>
      </c>
      <c r="E136" s="183"/>
      <c r="F136" s="183">
        <v>-578</v>
      </c>
      <c r="G136" s="183"/>
      <c r="H136" s="183"/>
      <c r="I136" s="217" t="s">
        <v>255</v>
      </c>
      <c r="J136" s="221"/>
      <c r="K136" s="167"/>
      <c r="L136" s="15"/>
      <c r="N136" s="126"/>
      <c r="O136" s="126"/>
      <c r="P136" s="126"/>
      <c r="Q136" s="126"/>
      <c r="R136" s="126"/>
      <c r="S136" s="126"/>
      <c r="T136" s="195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</row>
    <row r="137" spans="2:35" s="168" customFormat="1" ht="18" customHeight="1" x14ac:dyDescent="0.3">
      <c r="B137" s="182" t="s">
        <v>1015</v>
      </c>
      <c r="C137" s="233" t="s">
        <v>862</v>
      </c>
      <c r="D137" s="183" t="s">
        <v>244</v>
      </c>
      <c r="E137" s="183"/>
      <c r="F137" s="183">
        <v>829</v>
      </c>
      <c r="G137" s="183"/>
      <c r="H137" s="183"/>
      <c r="I137" s="217" t="s">
        <v>255</v>
      </c>
      <c r="J137" s="221"/>
      <c r="K137" s="167"/>
      <c r="L137" s="15"/>
      <c r="N137" s="126"/>
      <c r="O137" s="126"/>
      <c r="P137" s="126"/>
      <c r="Q137" s="126"/>
      <c r="R137" s="126"/>
      <c r="S137" s="126"/>
      <c r="T137" s="195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/>
    </row>
    <row r="138" spans="2:35" s="168" customFormat="1" ht="18" customHeight="1" x14ac:dyDescent="0.3">
      <c r="B138" s="197" t="s">
        <v>1015</v>
      </c>
      <c r="C138" s="233" t="s">
        <v>862</v>
      </c>
      <c r="D138" s="198" t="s">
        <v>245</v>
      </c>
      <c r="E138" s="198"/>
      <c r="F138" s="199">
        <v>1595</v>
      </c>
      <c r="G138" s="199"/>
      <c r="H138" s="198"/>
      <c r="I138" s="217" t="s">
        <v>255</v>
      </c>
      <c r="J138" s="221"/>
      <c r="K138" s="167"/>
      <c r="L138" s="15"/>
      <c r="N138" s="126"/>
      <c r="O138" s="126"/>
      <c r="P138" s="126"/>
      <c r="Q138" s="126"/>
      <c r="R138" s="126"/>
      <c r="S138" s="126"/>
      <c r="T138" s="195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</row>
    <row r="139" spans="2:35" s="168" customFormat="1" ht="18" customHeight="1" x14ac:dyDescent="0.3">
      <c r="B139" s="197"/>
      <c r="C139" s="233"/>
      <c r="D139" s="198"/>
      <c r="E139" s="198"/>
      <c r="F139" s="199"/>
      <c r="G139" s="199"/>
      <c r="H139" s="198"/>
      <c r="I139" s="217"/>
      <c r="J139" s="221"/>
      <c r="K139" s="167"/>
      <c r="L139" s="15"/>
      <c r="N139" s="126"/>
      <c r="O139" s="126"/>
      <c r="P139" s="126"/>
      <c r="Q139" s="126"/>
      <c r="R139" s="126"/>
      <c r="S139" s="126"/>
      <c r="T139" s="195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  <c r="AI139" s="126"/>
    </row>
    <row r="140" spans="2:35" s="168" customFormat="1" ht="18" customHeight="1" x14ac:dyDescent="0.3">
      <c r="B140" s="227"/>
      <c r="C140" s="232"/>
      <c r="D140" s="228"/>
      <c r="E140" s="228"/>
      <c r="F140" s="229"/>
      <c r="G140" s="229"/>
      <c r="H140" s="198"/>
      <c r="I140" s="217"/>
      <c r="J140" s="221"/>
      <c r="K140" s="167"/>
      <c r="L140" s="15"/>
      <c r="N140" s="126"/>
      <c r="O140" s="126"/>
      <c r="P140" s="126"/>
      <c r="Q140" s="126"/>
      <c r="R140" s="126"/>
      <c r="S140" s="126"/>
      <c r="T140" s="195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</row>
    <row r="141" spans="2:35" s="168" customFormat="1" ht="18" customHeight="1" x14ac:dyDescent="0.3">
      <c r="B141" s="197"/>
      <c r="C141" s="233"/>
      <c r="D141" s="198"/>
      <c r="E141" s="198"/>
      <c r="F141" s="199"/>
      <c r="G141" s="199"/>
      <c r="H141" s="198"/>
      <c r="I141" s="217"/>
      <c r="J141" s="221"/>
      <c r="K141" s="167"/>
      <c r="L141" s="15"/>
      <c r="N141" s="126"/>
      <c r="O141" s="126"/>
      <c r="P141" s="126"/>
      <c r="Q141" s="126"/>
      <c r="R141" s="126"/>
      <c r="S141" s="126"/>
      <c r="T141" s="195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</row>
    <row r="142" spans="2:35" s="168" customFormat="1" ht="18" customHeight="1" x14ac:dyDescent="0.3">
      <c r="B142" s="197"/>
      <c r="C142" s="197"/>
      <c r="D142" s="198"/>
      <c r="E142" s="198"/>
      <c r="F142" s="199"/>
      <c r="G142" s="199"/>
      <c r="H142" s="198"/>
      <c r="I142" s="217"/>
      <c r="J142" s="221"/>
      <c r="K142" s="167"/>
      <c r="L142" s="15"/>
      <c r="N142" s="126"/>
      <c r="O142" s="126"/>
      <c r="P142" s="126"/>
      <c r="Q142" s="126"/>
      <c r="R142" s="126"/>
      <c r="S142" s="126"/>
      <c r="T142" s="195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</row>
    <row r="143" spans="2:35" s="168" customFormat="1" ht="18" customHeight="1" x14ac:dyDescent="0.3">
      <c r="B143" s="197"/>
      <c r="C143" s="197"/>
      <c r="D143" s="198"/>
      <c r="E143" s="198"/>
      <c r="F143" s="198"/>
      <c r="G143" s="198"/>
      <c r="H143" s="198"/>
      <c r="I143" s="217"/>
      <c r="J143" s="221"/>
      <c r="K143" s="167"/>
      <c r="L143" s="15"/>
      <c r="N143" s="126"/>
      <c r="O143" s="126"/>
      <c r="P143" s="126"/>
      <c r="Q143" s="126"/>
      <c r="R143" s="126"/>
      <c r="S143" s="126"/>
      <c r="T143" s="195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  <c r="AI143" s="126"/>
    </row>
    <row r="144" spans="2:35" ht="18.75" x14ac:dyDescent="0.3">
      <c r="B144" s="182"/>
      <c r="C144" s="183"/>
      <c r="D144" s="183"/>
      <c r="E144" s="183"/>
      <c r="F144" s="183"/>
      <c r="G144" s="183"/>
      <c r="H144" s="183"/>
      <c r="I144" s="217"/>
      <c r="J144" s="223"/>
      <c r="K144" s="167"/>
      <c r="L144" s="44"/>
      <c r="N144" s="134"/>
      <c r="O144" s="134"/>
      <c r="P144" s="19"/>
      <c r="Q144" s="19"/>
      <c r="R144" s="19"/>
      <c r="S144" s="19"/>
      <c r="T144" s="195"/>
      <c r="U144" s="19"/>
    </row>
    <row r="145" spans="2:24" s="145" customFormat="1" ht="15" x14ac:dyDescent="0.25">
      <c r="B145" s="164" t="s">
        <v>178</v>
      </c>
      <c r="C145" s="164" t="s">
        <v>5</v>
      </c>
      <c r="D145" s="164" t="s">
        <v>202</v>
      </c>
      <c r="E145" s="164" t="s">
        <v>201</v>
      </c>
      <c r="F145" s="164" t="s">
        <v>155</v>
      </c>
      <c r="G145" s="164" t="s">
        <v>203</v>
      </c>
      <c r="H145" s="164"/>
      <c r="I145" s="163"/>
      <c r="J145" s="224"/>
      <c r="K145" s="163"/>
      <c r="L145" s="134"/>
      <c r="M145" s="134"/>
      <c r="N145" s="134"/>
      <c r="O145" s="134"/>
      <c r="T145" s="195"/>
      <c r="V145" s="45"/>
      <c r="W145" s="45"/>
    </row>
    <row r="146" spans="2:24" s="234" customFormat="1" ht="18.75" x14ac:dyDescent="0.3">
      <c r="B146" s="183" t="s">
        <v>1021</v>
      </c>
      <c r="C146" s="233">
        <v>42950</v>
      </c>
      <c r="D146" s="183" t="s">
        <v>1022</v>
      </c>
      <c r="E146" s="183">
        <v>131.03</v>
      </c>
      <c r="F146" s="187">
        <f>+E146*EERR!$D$2</f>
        <v>84414.767200000002</v>
      </c>
      <c r="G146" s="187"/>
      <c r="H146" s="187"/>
      <c r="I146" s="217"/>
      <c r="J146" s="220"/>
      <c r="K146" s="167"/>
      <c r="L146" s="15"/>
      <c r="M146" s="234" t="s">
        <v>1016</v>
      </c>
      <c r="N146" s="134">
        <v>42963</v>
      </c>
      <c r="O146" s="134" t="s">
        <v>1017</v>
      </c>
      <c r="P146" s="126"/>
      <c r="Q146" s="126"/>
      <c r="R146" s="181">
        <v>-131</v>
      </c>
      <c r="S146" s="181"/>
      <c r="T146" s="195"/>
      <c r="U146" s="45"/>
      <c r="V146" s="45"/>
      <c r="W146" s="45"/>
      <c r="X146" s="234">
        <v>139.5</v>
      </c>
    </row>
    <row r="147" spans="2:24" s="168" customFormat="1" ht="18.75" x14ac:dyDescent="0.3">
      <c r="B147" s="183" t="s">
        <v>1024</v>
      </c>
      <c r="C147" s="233">
        <v>42954</v>
      </c>
      <c r="D147" s="183" t="s">
        <v>351</v>
      </c>
      <c r="E147" s="183">
        <v>970.43</v>
      </c>
      <c r="F147" s="187">
        <f>+E147*EERR!$D$2</f>
        <v>625189.82319999998</v>
      </c>
      <c r="G147" s="187"/>
      <c r="H147" s="187"/>
      <c r="I147" s="217"/>
      <c r="J147" s="220"/>
      <c r="K147" s="167"/>
      <c r="L147" s="15"/>
      <c r="M147" s="234" t="s">
        <v>1018</v>
      </c>
      <c r="N147" s="134">
        <v>42963</v>
      </c>
      <c r="O147" s="134" t="s">
        <v>1017</v>
      </c>
      <c r="P147" s="126"/>
      <c r="Q147" s="126"/>
      <c r="R147" s="181">
        <v>-109</v>
      </c>
      <c r="S147" s="181"/>
      <c r="T147" s="195"/>
      <c r="U147" s="45"/>
      <c r="V147" s="45"/>
      <c r="W147" s="45"/>
      <c r="X147" s="168">
        <v>109</v>
      </c>
    </row>
    <row r="148" spans="2:24" s="168" customFormat="1" ht="18.75" x14ac:dyDescent="0.3">
      <c r="B148" s="183" t="s">
        <v>1027</v>
      </c>
      <c r="C148" s="233">
        <v>42955</v>
      </c>
      <c r="D148" s="183" t="s">
        <v>350</v>
      </c>
      <c r="E148" s="183">
        <v>109</v>
      </c>
      <c r="F148" s="187">
        <f>+E148*EERR!$D$2</f>
        <v>70222.16</v>
      </c>
      <c r="G148" s="187"/>
      <c r="H148" s="187"/>
      <c r="I148" s="217"/>
      <c r="J148" s="220"/>
      <c r="K148" s="167"/>
      <c r="L148" s="15"/>
      <c r="M148" s="234" t="s">
        <v>1019</v>
      </c>
      <c r="N148" s="134">
        <v>42963</v>
      </c>
      <c r="O148" s="134" t="s">
        <v>1017</v>
      </c>
      <c r="P148" s="126"/>
      <c r="Q148" s="126"/>
      <c r="R148" s="181">
        <v>-971</v>
      </c>
      <c r="S148" s="181"/>
      <c r="T148" s="195"/>
      <c r="U148" s="45"/>
      <c r="V148" s="45"/>
      <c r="W148" s="45"/>
      <c r="X148" s="168">
        <v>9.1999999999999993</v>
      </c>
    </row>
    <row r="149" spans="2:24" s="168" customFormat="1" ht="18.75" x14ac:dyDescent="0.3">
      <c r="B149" s="183" t="s">
        <v>1029</v>
      </c>
      <c r="C149" s="233">
        <v>42963</v>
      </c>
      <c r="D149" s="183" t="s">
        <v>352</v>
      </c>
      <c r="E149" s="183">
        <v>90</v>
      </c>
      <c r="F149" s="187">
        <f>+E149*EERR!$D$2</f>
        <v>57981.599999999999</v>
      </c>
      <c r="G149" s="187"/>
      <c r="H149" s="187"/>
      <c r="I149" s="217"/>
      <c r="J149" s="225"/>
      <c r="K149" s="167"/>
      <c r="L149" s="134"/>
      <c r="M149" s="134" t="s">
        <v>1020</v>
      </c>
      <c r="N149" s="134">
        <v>42963</v>
      </c>
      <c r="O149" s="134" t="s">
        <v>1017</v>
      </c>
      <c r="P149" s="126"/>
      <c r="Q149" s="126"/>
      <c r="R149" s="181">
        <v>-50</v>
      </c>
      <c r="S149" s="181"/>
      <c r="T149" s="195"/>
      <c r="U149" s="45"/>
      <c r="V149" s="45"/>
      <c r="W149" s="45"/>
      <c r="X149" s="168">
        <v>90</v>
      </c>
    </row>
    <row r="150" spans="2:24" s="145" customFormat="1" ht="18.75" x14ac:dyDescent="0.3">
      <c r="B150" s="183" t="s">
        <v>1030</v>
      </c>
      <c r="C150" s="183">
        <v>42965</v>
      </c>
      <c r="D150" s="183" t="s">
        <v>401</v>
      </c>
      <c r="E150" s="183">
        <v>9.2799999999999994</v>
      </c>
      <c r="F150" s="187">
        <f>+E150*EERR!$D$2</f>
        <v>5978.5472</v>
      </c>
      <c r="G150" s="187"/>
      <c r="H150" s="187"/>
      <c r="I150" s="217"/>
      <c r="J150" s="225"/>
      <c r="K150" s="130"/>
      <c r="L150" s="134"/>
      <c r="M150" s="134" t="s">
        <v>1021</v>
      </c>
      <c r="N150" s="126">
        <v>42950</v>
      </c>
      <c r="O150" s="134" t="s">
        <v>1022</v>
      </c>
      <c r="P150" s="126">
        <v>4029357733</v>
      </c>
      <c r="Q150" s="126" t="s">
        <v>1023</v>
      </c>
      <c r="R150" s="127">
        <v>131.03</v>
      </c>
      <c r="S150" s="127"/>
      <c r="T150" s="195"/>
      <c r="U150" s="45"/>
      <c r="V150" s="45"/>
      <c r="W150" s="45"/>
      <c r="X150" s="145">
        <v>50</v>
      </c>
    </row>
    <row r="151" spans="2:24" s="145" customFormat="1" ht="18.75" x14ac:dyDescent="0.3">
      <c r="B151" s="183" t="s">
        <v>1032</v>
      </c>
      <c r="C151" s="183">
        <v>42979</v>
      </c>
      <c r="D151" s="183" t="s">
        <v>350</v>
      </c>
      <c r="E151" s="183">
        <v>109</v>
      </c>
      <c r="F151" s="187">
        <f>+E151*EERR!$D$2</f>
        <v>70222.16</v>
      </c>
      <c r="G151" s="187"/>
      <c r="H151" s="186"/>
      <c r="I151" s="217"/>
      <c r="J151" s="226"/>
      <c r="K151" s="130"/>
      <c r="L151" s="134"/>
      <c r="M151" s="134" t="s">
        <v>1024</v>
      </c>
      <c r="N151" s="126">
        <v>42954</v>
      </c>
      <c r="O151" s="134" t="s">
        <v>351</v>
      </c>
      <c r="P151" s="126" t="s">
        <v>1025</v>
      </c>
      <c r="Q151" s="126" t="s">
        <v>1026</v>
      </c>
      <c r="R151" s="127">
        <v>970.43</v>
      </c>
      <c r="S151" s="127"/>
      <c r="T151" s="195"/>
      <c r="U151" s="45"/>
      <c r="V151" s="45"/>
      <c r="W151" s="45"/>
      <c r="X151" s="145">
        <v>397.7</v>
      </c>
    </row>
    <row r="152" spans="2:24" s="145" customFormat="1" ht="18.75" x14ac:dyDescent="0.3">
      <c r="B152" s="128" t="s">
        <v>1034</v>
      </c>
      <c r="C152" s="182">
        <v>42980</v>
      </c>
      <c r="D152" s="129" t="s">
        <v>402</v>
      </c>
      <c r="E152" s="169">
        <v>50</v>
      </c>
      <c r="F152" s="187">
        <f>+E152*EERR!$D$2</f>
        <v>32212</v>
      </c>
      <c r="G152" s="187"/>
      <c r="H152" s="186"/>
      <c r="I152" s="217"/>
      <c r="J152" s="226"/>
      <c r="K152" s="130"/>
      <c r="L152" s="134"/>
      <c r="M152" s="134" t="s">
        <v>1027</v>
      </c>
      <c r="N152" s="126">
        <v>42955</v>
      </c>
      <c r="O152" s="134" t="s">
        <v>350</v>
      </c>
      <c r="P152" s="126">
        <v>8005116038</v>
      </c>
      <c r="Q152" s="126" t="s">
        <v>1028</v>
      </c>
      <c r="R152" s="127">
        <v>109</v>
      </c>
      <c r="S152" s="127"/>
      <c r="T152" s="195"/>
      <c r="U152" s="45"/>
      <c r="V152" s="45"/>
      <c r="W152" s="45"/>
    </row>
    <row r="153" spans="2:24" s="145" customFormat="1" ht="18.75" x14ac:dyDescent="0.3">
      <c r="B153" s="182"/>
      <c r="C153" s="182"/>
      <c r="D153" s="183"/>
      <c r="E153" s="169"/>
      <c r="F153" s="186"/>
      <c r="G153" s="183"/>
      <c r="H153" s="186"/>
      <c r="I153" s="217"/>
      <c r="J153" s="221"/>
      <c r="K153" s="130"/>
      <c r="M153" s="145" t="s">
        <v>1029</v>
      </c>
      <c r="N153" s="126">
        <v>42963</v>
      </c>
      <c r="O153" s="134" t="s">
        <v>352</v>
      </c>
      <c r="P153" s="126">
        <v>4155006949</v>
      </c>
      <c r="Q153" s="126" t="s">
        <v>1028</v>
      </c>
      <c r="R153" s="127">
        <v>90</v>
      </c>
      <c r="S153" s="127"/>
      <c r="T153" s="195"/>
      <c r="U153" s="45"/>
      <c r="V153" s="45"/>
      <c r="W153" s="45"/>
    </row>
    <row r="154" spans="2:24" s="145" customFormat="1" x14ac:dyDescent="0.2">
      <c r="B154" s="146"/>
      <c r="C154" s="147"/>
      <c r="D154" s="147"/>
      <c r="E154" s="147"/>
      <c r="F154" s="27"/>
      <c r="G154" s="134"/>
      <c r="H154" s="134"/>
      <c r="I154" s="134"/>
      <c r="J154" s="134"/>
      <c r="K154" s="134"/>
      <c r="M154" s="145" t="s">
        <v>1030</v>
      </c>
      <c r="N154" s="126">
        <v>42965</v>
      </c>
      <c r="O154" s="134" t="s">
        <v>401</v>
      </c>
      <c r="P154" s="126" t="s">
        <v>990</v>
      </c>
      <c r="Q154" s="126" t="s">
        <v>1031</v>
      </c>
      <c r="R154" s="127">
        <v>9.2799999999999994</v>
      </c>
      <c r="S154" s="127"/>
      <c r="T154" s="195"/>
      <c r="U154" s="45"/>
      <c r="V154" s="45"/>
      <c r="W154" s="45"/>
    </row>
    <row r="155" spans="2:24" s="145" customFormat="1" x14ac:dyDescent="0.2">
      <c r="B155" s="146"/>
      <c r="C155" s="147"/>
      <c r="D155" s="147"/>
      <c r="E155" s="147"/>
      <c r="F155" s="27"/>
      <c r="G155" s="134"/>
      <c r="H155" s="134"/>
      <c r="I155" s="134"/>
      <c r="J155" s="134"/>
      <c r="K155" s="134"/>
      <c r="M155" s="145" t="s">
        <v>1032</v>
      </c>
      <c r="N155" s="126">
        <v>42979</v>
      </c>
      <c r="O155" s="134" t="s">
        <v>350</v>
      </c>
      <c r="P155" s="126" t="s">
        <v>1033</v>
      </c>
      <c r="Q155" s="126" t="s">
        <v>1028</v>
      </c>
      <c r="R155" s="127">
        <v>109</v>
      </c>
      <c r="S155" s="127"/>
      <c r="T155" s="195"/>
      <c r="U155" s="45"/>
      <c r="V155" s="45"/>
      <c r="W155" s="45"/>
    </row>
    <row r="156" spans="2:24" s="145" customFormat="1" x14ac:dyDescent="0.2">
      <c r="B156" s="146"/>
      <c r="C156" s="147"/>
      <c r="D156" s="147"/>
      <c r="E156" s="147"/>
      <c r="F156" s="195">
        <f>SUBTOTAL(9,F3:F153)</f>
        <v>28537886.057600003</v>
      </c>
      <c r="G156" s="195">
        <f>SUBTOTAL(9,G3:G153)</f>
        <v>30188906</v>
      </c>
      <c r="H156" s="195"/>
      <c r="I156" s="134"/>
      <c r="J156" s="168"/>
      <c r="K156" s="134"/>
      <c r="L156" s="45"/>
      <c r="M156" s="45" t="s">
        <v>1034</v>
      </c>
      <c r="N156" s="45">
        <v>42980</v>
      </c>
      <c r="O156" s="45" t="s">
        <v>402</v>
      </c>
      <c r="P156" s="126" t="s">
        <v>1035</v>
      </c>
      <c r="Q156" s="126" t="s">
        <v>1028</v>
      </c>
      <c r="R156" s="127">
        <v>50</v>
      </c>
      <c r="S156" s="127"/>
      <c r="T156" s="195"/>
      <c r="U156" s="45"/>
      <c r="V156" s="45"/>
      <c r="W156" s="45"/>
    </row>
    <row r="157" spans="2:24" x14ac:dyDescent="0.2">
      <c r="B157" s="29"/>
      <c r="E157" s="28"/>
      <c r="F157" s="29"/>
      <c r="G157" s="46"/>
      <c r="H157" s="63"/>
      <c r="I157" s="63" t="s">
        <v>4</v>
      </c>
      <c r="J157" s="168"/>
      <c r="L157" s="45"/>
      <c r="M157" s="45"/>
      <c r="N157" s="45"/>
      <c r="O157" s="45"/>
      <c r="P157" s="126"/>
      <c r="Q157" s="126"/>
      <c r="R157" s="127"/>
      <c r="S157" s="127"/>
      <c r="T157" s="195"/>
    </row>
    <row r="158" spans="2:24" ht="18.75" x14ac:dyDescent="0.3">
      <c r="B158" s="29"/>
      <c r="E158" s="28"/>
      <c r="F158" s="29"/>
      <c r="G158" s="46"/>
      <c r="H158" s="64">
        <f t="shared" ref="H158:H173" si="9">SUMIF($I$3:$I$153,I158,$F$3:$F$153)-SUMIF($I$3:$I$153,I158,$G$3:$G$153)</f>
        <v>60123</v>
      </c>
      <c r="I158" s="217" t="s">
        <v>255</v>
      </c>
      <c r="J158" s="168"/>
      <c r="L158" s="45"/>
      <c r="M158" s="45"/>
      <c r="N158" s="45"/>
      <c r="O158" s="45"/>
      <c r="T158" s="195"/>
    </row>
    <row r="159" spans="2:24" ht="18.75" x14ac:dyDescent="0.3">
      <c r="B159" s="29"/>
      <c r="E159" s="28"/>
      <c r="F159" s="29"/>
      <c r="G159" s="46"/>
      <c r="H159" s="64">
        <f t="shared" si="9"/>
        <v>3679568</v>
      </c>
      <c r="I159" s="217" t="s">
        <v>51</v>
      </c>
      <c r="J159" s="168"/>
      <c r="L159" s="45"/>
      <c r="M159" s="45"/>
      <c r="N159" s="45"/>
      <c r="O159" s="45"/>
      <c r="P159" s="135"/>
      <c r="Q159" s="126"/>
      <c r="R159" s="127"/>
      <c r="S159" s="127"/>
      <c r="T159" s="195"/>
    </row>
    <row r="160" spans="2:24" ht="18.75" x14ac:dyDescent="0.3">
      <c r="B160" s="29"/>
      <c r="E160" s="28"/>
      <c r="F160" s="29"/>
      <c r="G160" s="46"/>
      <c r="H160" s="64">
        <f t="shared" si="9"/>
        <v>644258</v>
      </c>
      <c r="I160" s="217" t="s">
        <v>156</v>
      </c>
      <c r="J160" s="168"/>
      <c r="L160" s="45"/>
      <c r="M160" s="45"/>
      <c r="N160" s="45"/>
      <c r="O160" s="45"/>
      <c r="P160" s="126"/>
      <c r="Q160" s="126"/>
      <c r="R160" s="127"/>
      <c r="S160" s="127"/>
      <c r="T160" s="195"/>
    </row>
    <row r="161" spans="2:23" ht="18.75" x14ac:dyDescent="0.3">
      <c r="B161" s="29"/>
      <c r="E161" s="28"/>
      <c r="F161" s="29"/>
      <c r="G161" s="46"/>
      <c r="H161" s="64">
        <f t="shared" si="9"/>
        <v>387975</v>
      </c>
      <c r="I161" s="218" t="s">
        <v>254</v>
      </c>
      <c r="J161" s="168"/>
      <c r="L161" s="45"/>
      <c r="M161" s="45"/>
      <c r="N161" s="45"/>
      <c r="O161" s="45"/>
      <c r="P161" s="126"/>
      <c r="Q161" s="126"/>
      <c r="R161" s="127"/>
      <c r="S161" s="127"/>
      <c r="T161" s="195"/>
    </row>
    <row r="162" spans="2:23" ht="18.75" x14ac:dyDescent="0.3">
      <c r="F162" s="29"/>
      <c r="G162" s="46"/>
      <c r="H162" s="64">
        <f t="shared" si="9"/>
        <v>1487964</v>
      </c>
      <c r="I162" s="218" t="s">
        <v>9</v>
      </c>
      <c r="J162" s="168"/>
      <c r="L162" s="45"/>
      <c r="M162" s="45"/>
      <c r="N162" s="45"/>
      <c r="O162" s="45"/>
      <c r="P162" s="126"/>
      <c r="Q162" s="126"/>
      <c r="R162" s="127"/>
      <c r="S162" s="127"/>
      <c r="T162" s="195"/>
    </row>
    <row r="163" spans="2:23" ht="18.75" x14ac:dyDescent="0.3">
      <c r="F163" s="29"/>
      <c r="G163" s="46"/>
      <c r="H163" s="64">
        <f t="shared" si="9"/>
        <v>2500000</v>
      </c>
      <c r="I163" s="219" t="s">
        <v>256</v>
      </c>
      <c r="J163" s="168"/>
      <c r="L163" s="45"/>
      <c r="M163" s="45"/>
      <c r="N163" s="45"/>
      <c r="O163" s="45"/>
      <c r="P163" s="135"/>
      <c r="Q163" s="126"/>
      <c r="R163" s="127"/>
      <c r="S163" s="127"/>
      <c r="T163" s="195"/>
    </row>
    <row r="164" spans="2:23" ht="18.75" x14ac:dyDescent="0.3">
      <c r="F164" s="29"/>
      <c r="G164" s="46"/>
      <c r="H164" s="64">
        <f t="shared" si="9"/>
        <v>615328</v>
      </c>
      <c r="I164" s="217" t="s">
        <v>258</v>
      </c>
      <c r="J164" s="168"/>
      <c r="L164" s="45"/>
      <c r="M164" s="45"/>
      <c r="N164" s="45"/>
      <c r="O164" s="45"/>
      <c r="P164" s="19"/>
      <c r="Q164" s="19"/>
      <c r="R164" s="19"/>
      <c r="S164" s="19"/>
      <c r="T164" s="195"/>
    </row>
    <row r="165" spans="2:23" ht="18.75" x14ac:dyDescent="0.3">
      <c r="F165" s="29"/>
      <c r="G165" s="46"/>
      <c r="H165" s="64">
        <f t="shared" si="9"/>
        <v>2473942</v>
      </c>
      <c r="I165" s="217" t="s">
        <v>257</v>
      </c>
      <c r="J165" s="168"/>
      <c r="L165" s="45"/>
      <c r="M165" s="45"/>
      <c r="N165" s="45"/>
      <c r="O165" s="45"/>
      <c r="P165" s="19"/>
      <c r="Q165" s="19"/>
      <c r="R165" s="19"/>
      <c r="S165" s="19"/>
      <c r="T165" s="195"/>
    </row>
    <row r="166" spans="2:23" ht="18.75" x14ac:dyDescent="0.3">
      <c r="F166" s="29"/>
      <c r="G166" s="46"/>
      <c r="H166" s="64">
        <f t="shared" si="9"/>
        <v>0</v>
      </c>
      <c r="I166" s="219" t="s">
        <v>43</v>
      </c>
      <c r="J166" s="168"/>
      <c r="L166" s="45"/>
      <c r="M166" s="45"/>
      <c r="N166" s="45"/>
      <c r="O166" s="45"/>
      <c r="P166" s="19"/>
      <c r="Q166" s="19"/>
      <c r="R166" s="19"/>
      <c r="S166" s="19"/>
      <c r="T166" s="195"/>
    </row>
    <row r="167" spans="2:23" ht="18.75" x14ac:dyDescent="0.3">
      <c r="F167" s="29"/>
      <c r="G167" s="46"/>
      <c r="H167" s="64">
        <f t="shared" si="9"/>
        <v>1555782</v>
      </c>
      <c r="I167" s="217" t="s">
        <v>12</v>
      </c>
      <c r="J167" s="168"/>
      <c r="L167" s="45"/>
      <c r="M167" s="45"/>
      <c r="N167" s="45"/>
      <c r="O167" s="45"/>
      <c r="P167" s="53"/>
      <c r="Q167" s="19"/>
      <c r="R167" s="19"/>
      <c r="S167" s="19"/>
      <c r="T167" s="195"/>
    </row>
    <row r="168" spans="2:23" ht="18.75" x14ac:dyDescent="0.3">
      <c r="F168" s="29"/>
      <c r="G168" s="46"/>
      <c r="H168" s="64">
        <f t="shared" si="9"/>
        <v>4134684</v>
      </c>
      <c r="I168" s="217" t="s">
        <v>22</v>
      </c>
      <c r="J168" s="168"/>
      <c r="L168" s="45"/>
      <c r="M168" s="45"/>
      <c r="N168" s="45"/>
      <c r="O168" s="45"/>
      <c r="P168" s="19"/>
      <c r="Q168" s="19"/>
      <c r="R168" s="19"/>
      <c r="S168" s="19"/>
      <c r="T168" s="195"/>
    </row>
    <row r="169" spans="2:23" ht="18.75" x14ac:dyDescent="0.3">
      <c r="F169" s="29"/>
      <c r="G169" s="46"/>
      <c r="H169" s="64">
        <f t="shared" si="9"/>
        <v>2624725</v>
      </c>
      <c r="I169" s="218" t="s">
        <v>259</v>
      </c>
      <c r="J169" s="168"/>
      <c r="L169" s="45"/>
      <c r="M169" s="45"/>
      <c r="N169" s="45"/>
      <c r="O169" s="45"/>
      <c r="P169" s="19"/>
      <c r="Q169" s="19"/>
      <c r="R169" s="19"/>
      <c r="S169" s="19"/>
      <c r="T169" s="195"/>
    </row>
    <row r="170" spans="2:23" ht="18.75" x14ac:dyDescent="0.3">
      <c r="F170" s="29"/>
      <c r="G170" s="46"/>
      <c r="H170" s="64">
        <f t="shared" si="9"/>
        <v>6738840</v>
      </c>
      <c r="I170" s="217" t="s">
        <v>50</v>
      </c>
      <c r="J170" s="168"/>
      <c r="L170" s="45"/>
      <c r="M170" s="45"/>
      <c r="N170" s="45"/>
      <c r="O170" s="45"/>
      <c r="P170" s="19"/>
      <c r="Q170" s="19"/>
      <c r="R170" s="19"/>
      <c r="S170" s="19"/>
      <c r="T170" s="195"/>
    </row>
    <row r="171" spans="2:23" ht="18.75" x14ac:dyDescent="0.3">
      <c r="F171" s="29"/>
      <c r="G171" s="46"/>
      <c r="H171" s="64">
        <f t="shared" si="9"/>
        <v>-9000000</v>
      </c>
      <c r="I171" s="218" t="s">
        <v>197</v>
      </c>
      <c r="J171" s="168"/>
      <c r="L171" s="45"/>
      <c r="M171" s="45"/>
      <c r="N171" s="45"/>
      <c r="O171" s="45"/>
      <c r="P171" s="53"/>
      <c r="Q171" s="19"/>
      <c r="R171" s="19"/>
      <c r="S171" s="19"/>
      <c r="T171" s="195"/>
    </row>
    <row r="172" spans="2:23" ht="18.75" x14ac:dyDescent="0.3">
      <c r="F172" s="29"/>
      <c r="G172" s="46"/>
      <c r="H172" s="64">
        <f t="shared" si="9"/>
        <v>-20318333</v>
      </c>
      <c r="I172" s="217" t="s">
        <v>198</v>
      </c>
      <c r="J172" s="234"/>
      <c r="L172" s="45"/>
      <c r="M172" s="45"/>
      <c r="N172" s="45"/>
      <c r="O172" s="45"/>
    </row>
    <row r="173" spans="2:23" ht="18.75" x14ac:dyDescent="0.3">
      <c r="F173" s="29"/>
      <c r="G173" s="46"/>
      <c r="H173" s="64">
        <f t="shared" si="9"/>
        <v>-858700</v>
      </c>
      <c r="I173" s="217" t="s">
        <v>260</v>
      </c>
      <c r="J173" s="168"/>
      <c r="L173" s="45"/>
      <c r="M173" s="45"/>
      <c r="N173" s="45"/>
      <c r="O173" s="45"/>
    </row>
    <row r="174" spans="2:23" ht="18.75" x14ac:dyDescent="0.3">
      <c r="F174" s="29"/>
      <c r="G174" s="46"/>
      <c r="H174" s="64">
        <f>SUMIF($I$3:$I$153,I174,$F$3:$F$153)-SUMIF($I$3:$I$153,I174,$G$3:$G$153)</f>
        <v>-11873</v>
      </c>
      <c r="I174" s="217" t="s">
        <v>261</v>
      </c>
      <c r="J174" s="168"/>
      <c r="L174" s="45"/>
      <c r="M174" s="45"/>
      <c r="N174" s="45"/>
      <c r="O174" s="45"/>
      <c r="P174" s="118"/>
    </row>
    <row r="175" spans="2:23" s="59" customFormat="1" x14ac:dyDescent="0.2">
      <c r="G175" s="47"/>
      <c r="H175" s="65">
        <f>SUM(H158:H173)</f>
        <v>-3273844</v>
      </c>
      <c r="I175" s="63" t="s">
        <v>26</v>
      </c>
      <c r="J175" s="168"/>
      <c r="L175" s="45"/>
      <c r="M175" s="45"/>
      <c r="N175" s="45"/>
      <c r="O175" s="45"/>
      <c r="P175" s="45"/>
      <c r="Q175" s="45"/>
      <c r="R175" s="45"/>
      <c r="S175" s="119"/>
      <c r="T175" s="119"/>
      <c r="U175" s="45"/>
      <c r="V175" s="45"/>
      <c r="W175" s="45"/>
    </row>
    <row r="176" spans="2:23" x14ac:dyDescent="0.2">
      <c r="B176" s="53"/>
      <c r="F176" s="86"/>
      <c r="G176" s="86"/>
      <c r="H176" s="86"/>
      <c r="J176" s="168"/>
      <c r="L176" s="45"/>
      <c r="M176" s="45"/>
      <c r="N176" s="45"/>
      <c r="O176" s="45"/>
    </row>
    <row r="177" spans="1:16" x14ac:dyDescent="0.2">
      <c r="B177" s="53"/>
      <c r="F177" s="86"/>
      <c r="G177" s="86"/>
      <c r="H177" s="86"/>
    </row>
    <row r="178" spans="1:16" x14ac:dyDescent="0.2">
      <c r="B178" s="53"/>
      <c r="F178" s="86"/>
      <c r="G178" s="86"/>
      <c r="H178" s="86"/>
      <c r="P178" s="118"/>
    </row>
    <row r="179" spans="1:16" x14ac:dyDescent="0.2">
      <c r="B179" s="53"/>
      <c r="F179" s="86"/>
      <c r="G179" s="86"/>
      <c r="H179" s="86"/>
    </row>
    <row r="180" spans="1:16" x14ac:dyDescent="0.2">
      <c r="B180" s="53"/>
      <c r="F180" s="86"/>
      <c r="G180" s="86"/>
      <c r="H180" s="86"/>
      <c r="O180" s="136"/>
    </row>
    <row r="181" spans="1:16" x14ac:dyDescent="0.2">
      <c r="B181" s="168"/>
      <c r="C181" s="168"/>
      <c r="D181" s="168"/>
      <c r="E181" s="168"/>
      <c r="F181" s="168"/>
      <c r="G181" s="168"/>
      <c r="H181" s="168"/>
    </row>
    <row r="182" spans="1:16" x14ac:dyDescent="0.2">
      <c r="B182" s="168"/>
      <c r="C182" s="168"/>
      <c r="D182" s="168"/>
      <c r="E182" s="168"/>
      <c r="F182" s="168"/>
      <c r="G182" s="168"/>
      <c r="H182" s="168"/>
      <c r="I182" s="118"/>
      <c r="J182" s="118"/>
      <c r="K182" s="118"/>
      <c r="L182" s="118"/>
      <c r="M182" s="118"/>
      <c r="P182" s="118"/>
    </row>
    <row r="183" spans="1:16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</row>
    <row r="184" spans="1:16" x14ac:dyDescent="0.2">
      <c r="A184" s="168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O184" s="136"/>
    </row>
    <row r="185" spans="1:16" x14ac:dyDescent="0.2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</row>
    <row r="186" spans="1:16" x14ac:dyDescent="0.2">
      <c r="A186" s="16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P186" s="118"/>
    </row>
    <row r="187" spans="1:16" x14ac:dyDescent="0.2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</row>
    <row r="188" spans="1:16" x14ac:dyDescent="0.2">
      <c r="A188" s="168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O188" s="136"/>
    </row>
    <row r="189" spans="1:16" x14ac:dyDescent="0.2">
      <c r="A189" s="168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</row>
    <row r="190" spans="1:16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P190" s="118"/>
    </row>
    <row r="191" spans="1:16" x14ac:dyDescent="0.2">
      <c r="A191" s="16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</row>
    <row r="192" spans="1:16" x14ac:dyDescent="0.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O192" s="136"/>
    </row>
    <row r="193" spans="1:16" x14ac:dyDescent="0.2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</row>
    <row r="194" spans="1:16" x14ac:dyDescent="0.2">
      <c r="I194" s="118"/>
      <c r="J194" s="118"/>
      <c r="K194" s="118"/>
      <c r="L194" s="118"/>
      <c r="M194" s="118"/>
      <c r="P194" s="118"/>
    </row>
    <row r="196" spans="1:16" x14ac:dyDescent="0.2">
      <c r="O196" s="136"/>
    </row>
    <row r="198" spans="1:16" x14ac:dyDescent="0.2">
      <c r="P198" s="118"/>
    </row>
    <row r="200" spans="1:16" x14ac:dyDescent="0.2">
      <c r="O200" s="136"/>
    </row>
    <row r="202" spans="1:16" x14ac:dyDescent="0.2">
      <c r="P202" s="118"/>
    </row>
    <row r="204" spans="1:16" x14ac:dyDescent="0.2">
      <c r="O204" s="136"/>
    </row>
    <row r="207" spans="1:16" x14ac:dyDescent="0.2">
      <c r="O207" s="136"/>
    </row>
  </sheetData>
  <sortState ref="B107:J113">
    <sortCondition ref="B10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I117:I144 I146:I153 I107:I115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zoomScale="70" zoomScaleNormal="70" workbookViewId="0">
      <selection activeCell="A59" sqref="A59:G60"/>
    </sheetView>
  </sheetViews>
  <sheetFormatPr baseColWidth="10" defaultRowHeight="15" x14ac:dyDescent="0.25"/>
  <cols>
    <col min="1" max="1" width="14.28515625" customWidth="1"/>
    <col min="2" max="2" width="72.140625" customWidth="1"/>
    <col min="3" max="3" width="14.140625" bestFit="1" customWidth="1"/>
    <col min="4" max="4" width="18.28515625" style="1" customWidth="1"/>
    <col min="5" max="6" width="18.28515625" customWidth="1"/>
    <col min="7" max="7" width="28.7109375" style="13" customWidth="1"/>
    <col min="8" max="8" width="15.85546875" customWidth="1"/>
    <col min="10" max="10" width="20.7109375" customWidth="1"/>
    <col min="11" max="11" width="15.140625" bestFit="1" customWidth="1"/>
    <col min="12" max="12" width="20.140625" customWidth="1"/>
    <col min="13" max="13" width="36" customWidth="1"/>
    <col min="14" max="14" width="15.7109375" bestFit="1" customWidth="1"/>
    <col min="15" max="15" width="6.7109375" customWidth="1"/>
    <col min="16" max="16" width="16.7109375" bestFit="1" customWidth="1"/>
  </cols>
  <sheetData>
    <row r="1" spans="1:17" x14ac:dyDescent="0.25">
      <c r="A1" s="70" t="s">
        <v>102</v>
      </c>
      <c r="B1" s="71" t="s">
        <v>103</v>
      </c>
      <c r="C1" s="71" t="s">
        <v>104</v>
      </c>
      <c r="D1" s="72" t="s">
        <v>105</v>
      </c>
      <c r="E1" s="71" t="s">
        <v>106</v>
      </c>
      <c r="F1" s="71" t="s">
        <v>127</v>
      </c>
      <c r="G1" s="73" t="s">
        <v>59</v>
      </c>
      <c r="H1" s="74">
        <f>F2</f>
        <v>4513710</v>
      </c>
      <c r="J1" t="s">
        <v>60</v>
      </c>
    </row>
    <row r="2" spans="1:17" ht="18.75" x14ac:dyDescent="0.3">
      <c r="A2" s="67">
        <v>42948</v>
      </c>
      <c r="B2" s="68" t="s">
        <v>281</v>
      </c>
      <c r="C2" s="253">
        <v>0</v>
      </c>
      <c r="D2" s="69">
        <v>0</v>
      </c>
      <c r="E2" s="69">
        <v>131854</v>
      </c>
      <c r="F2" s="254">
        <v>4513710</v>
      </c>
      <c r="G2" s="217" t="s">
        <v>198</v>
      </c>
      <c r="H2" t="s">
        <v>561</v>
      </c>
      <c r="J2" s="2" t="s">
        <v>5</v>
      </c>
      <c r="K2" s="2" t="s">
        <v>160</v>
      </c>
      <c r="L2" s="2" t="s">
        <v>161</v>
      </c>
      <c r="M2" s="2" t="s">
        <v>162</v>
      </c>
      <c r="N2" s="2" t="s">
        <v>163</v>
      </c>
      <c r="O2" s="2" t="s">
        <v>164</v>
      </c>
      <c r="P2" s="2" t="s">
        <v>165</v>
      </c>
    </row>
    <row r="3" spans="1:17" ht="18" x14ac:dyDescent="0.35">
      <c r="A3" s="67">
        <v>42948</v>
      </c>
      <c r="B3" s="68" t="s">
        <v>284</v>
      </c>
      <c r="C3" s="253">
        <v>25064155</v>
      </c>
      <c r="D3" s="69">
        <v>4000000</v>
      </c>
      <c r="E3" s="69">
        <v>0</v>
      </c>
      <c r="F3" s="254">
        <v>513710</v>
      </c>
      <c r="G3" s="217" t="s">
        <v>197</v>
      </c>
      <c r="J3" s="153"/>
      <c r="K3" s="151"/>
      <c r="L3" s="151"/>
      <c r="M3" s="151"/>
      <c r="N3" s="151"/>
      <c r="O3" s="151"/>
      <c r="P3" s="152"/>
    </row>
    <row r="4" spans="1:17" ht="18" x14ac:dyDescent="0.35">
      <c r="A4" s="67">
        <v>42948</v>
      </c>
      <c r="B4" s="68" t="s">
        <v>1046</v>
      </c>
      <c r="C4" s="253">
        <v>25077398</v>
      </c>
      <c r="D4" s="69">
        <v>0</v>
      </c>
      <c r="E4" s="69">
        <v>5846400</v>
      </c>
      <c r="F4" s="254">
        <v>6360110</v>
      </c>
      <c r="G4" s="217" t="s">
        <v>198</v>
      </c>
      <c r="J4" s="153"/>
      <c r="K4" s="151"/>
      <c r="L4" s="151"/>
      <c r="M4" s="151"/>
      <c r="N4" s="151"/>
      <c r="O4" s="151"/>
      <c r="P4" s="152"/>
    </row>
    <row r="5" spans="1:17" ht="18" x14ac:dyDescent="0.35">
      <c r="A5" s="67">
        <v>42949</v>
      </c>
      <c r="B5" s="68" t="s">
        <v>281</v>
      </c>
      <c r="C5" s="253">
        <v>0</v>
      </c>
      <c r="D5" s="69">
        <v>0</v>
      </c>
      <c r="E5" s="69">
        <v>137539</v>
      </c>
      <c r="F5" s="254">
        <v>6497649</v>
      </c>
      <c r="G5" s="217" t="s">
        <v>198</v>
      </c>
      <c r="J5" s="153"/>
      <c r="K5" s="151"/>
      <c r="L5" s="151"/>
      <c r="M5" s="151"/>
      <c r="N5" s="151"/>
      <c r="O5" s="151"/>
      <c r="P5" s="152"/>
    </row>
    <row r="6" spans="1:17" ht="18" x14ac:dyDescent="0.35">
      <c r="A6" s="67">
        <v>42950</v>
      </c>
      <c r="B6" s="68" t="s">
        <v>284</v>
      </c>
      <c r="C6" s="253">
        <v>25330627</v>
      </c>
      <c r="D6" s="69">
        <v>5000000</v>
      </c>
      <c r="E6" s="69">
        <v>0</v>
      </c>
      <c r="F6" s="254">
        <v>1497649</v>
      </c>
      <c r="G6" s="217" t="s">
        <v>197</v>
      </c>
      <c r="J6" s="153"/>
      <c r="K6" s="151"/>
      <c r="L6" s="151"/>
      <c r="M6" s="151"/>
      <c r="N6" s="151"/>
      <c r="O6" s="151"/>
      <c r="P6" s="152"/>
    </row>
    <row r="7" spans="1:17" ht="18" x14ac:dyDescent="0.35">
      <c r="A7" s="67">
        <v>42955</v>
      </c>
      <c r="B7" s="68" t="s">
        <v>281</v>
      </c>
      <c r="C7" s="253">
        <v>0</v>
      </c>
      <c r="D7" s="69">
        <v>0</v>
      </c>
      <c r="E7" s="69">
        <v>388694</v>
      </c>
      <c r="F7" s="254">
        <v>1886343</v>
      </c>
      <c r="G7" s="217" t="s">
        <v>198</v>
      </c>
      <c r="J7" s="153"/>
      <c r="K7" s="151"/>
      <c r="L7" s="151"/>
      <c r="M7" s="151"/>
      <c r="N7" s="151"/>
      <c r="O7" s="151"/>
      <c r="P7" s="152"/>
      <c r="Q7" s="156"/>
    </row>
    <row r="8" spans="1:17" ht="18.75" x14ac:dyDescent="0.3">
      <c r="A8" s="67">
        <v>42955</v>
      </c>
      <c r="B8" s="68" t="s">
        <v>282</v>
      </c>
      <c r="C8" s="253">
        <v>0</v>
      </c>
      <c r="D8" s="69">
        <v>1339</v>
      </c>
      <c r="E8" s="69">
        <v>0</v>
      </c>
      <c r="F8" s="254">
        <v>1885004</v>
      </c>
      <c r="G8" s="217" t="s">
        <v>255</v>
      </c>
      <c r="J8" s="153"/>
      <c r="K8" s="151"/>
      <c r="L8" s="151"/>
      <c r="M8" s="151"/>
      <c r="N8" s="151"/>
      <c r="O8" s="151"/>
      <c r="P8" s="152"/>
    </row>
    <row r="9" spans="1:17" ht="18.75" x14ac:dyDescent="0.3">
      <c r="A9" s="67">
        <v>42955</v>
      </c>
      <c r="B9" s="68" t="s">
        <v>283</v>
      </c>
      <c r="C9" s="253">
        <v>0</v>
      </c>
      <c r="D9" s="69">
        <v>254</v>
      </c>
      <c r="E9" s="69">
        <v>0</v>
      </c>
      <c r="F9" s="254">
        <v>1884750</v>
      </c>
      <c r="G9" s="217" t="s">
        <v>255</v>
      </c>
      <c r="J9" s="153"/>
      <c r="K9" s="151"/>
      <c r="L9" s="151"/>
      <c r="M9" s="151"/>
      <c r="N9" s="151"/>
      <c r="O9" s="151"/>
      <c r="P9" s="152"/>
      <c r="Q9" s="156"/>
    </row>
    <row r="10" spans="1:17" ht="18" x14ac:dyDescent="0.35">
      <c r="A10" s="67">
        <v>42956</v>
      </c>
      <c r="B10" s="68" t="s">
        <v>281</v>
      </c>
      <c r="C10" s="253">
        <v>0</v>
      </c>
      <c r="D10" s="69">
        <v>0</v>
      </c>
      <c r="E10" s="69">
        <v>440866</v>
      </c>
      <c r="F10" s="254">
        <v>2325616</v>
      </c>
      <c r="G10" s="217" t="s">
        <v>198</v>
      </c>
      <c r="J10" s="153"/>
      <c r="K10" s="151"/>
      <c r="L10" s="151"/>
      <c r="M10" s="151"/>
      <c r="N10" s="151"/>
      <c r="O10" s="151"/>
      <c r="P10" s="152"/>
    </row>
    <row r="11" spans="1:17" ht="18" x14ac:dyDescent="0.35">
      <c r="A11" s="67">
        <v>42956</v>
      </c>
      <c r="B11" s="68" t="s">
        <v>1047</v>
      </c>
      <c r="C11" s="253">
        <v>25978363</v>
      </c>
      <c r="D11" s="69">
        <v>0</v>
      </c>
      <c r="E11" s="69">
        <v>5469120</v>
      </c>
      <c r="F11" s="254">
        <v>7794736</v>
      </c>
      <c r="G11" s="217" t="s">
        <v>198</v>
      </c>
      <c r="J11" s="153"/>
      <c r="K11" s="151"/>
      <c r="L11" s="151"/>
      <c r="M11" s="151"/>
      <c r="N11" s="151"/>
      <c r="O11" s="151"/>
      <c r="P11" s="152"/>
    </row>
    <row r="12" spans="1:17" ht="18" x14ac:dyDescent="0.35">
      <c r="A12" s="67">
        <v>42957</v>
      </c>
      <c r="B12" s="68" t="s">
        <v>226</v>
      </c>
      <c r="C12" s="253">
        <v>26016501</v>
      </c>
      <c r="D12" s="69">
        <v>1383236</v>
      </c>
      <c r="E12" s="69">
        <v>0</v>
      </c>
      <c r="F12" s="254">
        <v>6411500</v>
      </c>
      <c r="G12" s="217" t="s">
        <v>50</v>
      </c>
      <c r="H12" s="235"/>
      <c r="J12" s="153"/>
      <c r="K12" s="151"/>
      <c r="L12" s="151"/>
      <c r="M12" s="151"/>
      <c r="N12" s="151"/>
      <c r="O12" s="151"/>
      <c r="P12" s="152"/>
    </row>
    <row r="13" spans="1:17" ht="18" x14ac:dyDescent="0.35">
      <c r="A13" s="67">
        <v>42958</v>
      </c>
      <c r="B13" s="68" t="s">
        <v>281</v>
      </c>
      <c r="C13" s="253">
        <v>0</v>
      </c>
      <c r="D13" s="69">
        <v>0</v>
      </c>
      <c r="E13" s="69">
        <v>149879</v>
      </c>
      <c r="F13" s="254">
        <v>6561379</v>
      </c>
      <c r="G13" s="217" t="s">
        <v>198</v>
      </c>
      <c r="J13" s="153"/>
      <c r="K13" s="151"/>
      <c r="L13" s="151"/>
      <c r="M13" s="151"/>
      <c r="N13" s="151"/>
      <c r="O13" s="151"/>
      <c r="P13" s="152"/>
    </row>
    <row r="14" spans="1:17" ht="18" x14ac:dyDescent="0.35">
      <c r="A14" s="67">
        <v>42961</v>
      </c>
      <c r="B14" s="68" t="s">
        <v>281</v>
      </c>
      <c r="C14" s="253">
        <v>0</v>
      </c>
      <c r="D14" s="69">
        <v>0</v>
      </c>
      <c r="E14" s="69">
        <v>146956</v>
      </c>
      <c r="F14" s="254">
        <v>6708335</v>
      </c>
      <c r="G14" s="217" t="s">
        <v>198</v>
      </c>
      <c r="H14" s="165"/>
      <c r="J14" s="153"/>
      <c r="K14" s="151"/>
      <c r="L14" s="151"/>
      <c r="M14" s="151"/>
      <c r="N14" s="151"/>
      <c r="O14" s="151"/>
      <c r="P14" s="152"/>
    </row>
    <row r="15" spans="1:17" ht="18" x14ac:dyDescent="0.35">
      <c r="A15" s="67">
        <v>42963</v>
      </c>
      <c r="B15" s="68" t="s">
        <v>360</v>
      </c>
      <c r="C15" s="253">
        <v>26422444</v>
      </c>
      <c r="D15" s="69">
        <v>2519098</v>
      </c>
      <c r="E15" s="69">
        <v>0</v>
      </c>
      <c r="F15" s="254">
        <v>4189237</v>
      </c>
      <c r="G15" s="217" t="s">
        <v>43</v>
      </c>
      <c r="H15" s="188"/>
      <c r="J15" s="153"/>
      <c r="K15" s="151"/>
      <c r="L15" s="151"/>
      <c r="M15" s="151"/>
      <c r="N15" s="151"/>
      <c r="O15" s="151"/>
      <c r="P15" s="152"/>
    </row>
    <row r="16" spans="1:17" ht="18" x14ac:dyDescent="0.35">
      <c r="A16" s="67">
        <v>42964</v>
      </c>
      <c r="B16" s="68" t="s">
        <v>281</v>
      </c>
      <c r="C16" s="253">
        <v>0</v>
      </c>
      <c r="D16" s="69">
        <v>0</v>
      </c>
      <c r="E16" s="69">
        <v>1622008</v>
      </c>
      <c r="F16" s="254">
        <v>5811245</v>
      </c>
      <c r="G16" s="217" t="s">
        <v>198</v>
      </c>
      <c r="I16" s="235"/>
      <c r="J16" s="153"/>
      <c r="K16" s="151"/>
      <c r="L16" s="151"/>
      <c r="M16" s="151"/>
      <c r="N16" s="151"/>
      <c r="O16" s="151"/>
      <c r="P16" s="152"/>
    </row>
    <row r="17" spans="1:16" ht="18" x14ac:dyDescent="0.35">
      <c r="A17" s="67">
        <v>42965</v>
      </c>
      <c r="B17" s="68" t="s">
        <v>281</v>
      </c>
      <c r="C17" s="253">
        <v>0</v>
      </c>
      <c r="D17" s="69">
        <v>0</v>
      </c>
      <c r="E17" s="69">
        <v>586013</v>
      </c>
      <c r="F17" s="254">
        <v>6397258</v>
      </c>
      <c r="G17" s="217" t="s">
        <v>198</v>
      </c>
      <c r="H17" s="235"/>
      <c r="J17" s="153"/>
      <c r="K17" s="151"/>
      <c r="L17" s="151"/>
      <c r="M17" s="151"/>
      <c r="N17" s="151"/>
      <c r="O17" s="151"/>
      <c r="P17" s="152"/>
    </row>
    <row r="18" spans="1:16" ht="18" x14ac:dyDescent="0.35">
      <c r="A18" s="67">
        <v>42969</v>
      </c>
      <c r="B18" s="68" t="s">
        <v>284</v>
      </c>
      <c r="C18" s="253">
        <v>26836879</v>
      </c>
      <c r="D18" s="69">
        <v>5000000</v>
      </c>
      <c r="E18" s="69">
        <v>0</v>
      </c>
      <c r="F18" s="254">
        <v>1397258</v>
      </c>
      <c r="G18" s="217" t="s">
        <v>197</v>
      </c>
      <c r="H18" s="188"/>
      <c r="J18" s="153"/>
      <c r="K18" s="151"/>
      <c r="L18" s="151"/>
      <c r="M18" s="151"/>
      <c r="N18" s="151"/>
      <c r="O18" s="151"/>
      <c r="P18" s="152"/>
    </row>
    <row r="19" spans="1:16" ht="18" x14ac:dyDescent="0.35">
      <c r="A19" s="67">
        <v>42971</v>
      </c>
      <c r="B19" s="68" t="s">
        <v>281</v>
      </c>
      <c r="C19" s="253">
        <v>0</v>
      </c>
      <c r="D19" s="69">
        <v>0</v>
      </c>
      <c r="E19" s="69">
        <v>140502</v>
      </c>
      <c r="F19" s="254">
        <v>1537760</v>
      </c>
      <c r="G19" s="217" t="s">
        <v>198</v>
      </c>
      <c r="J19" s="153"/>
      <c r="K19" s="151"/>
      <c r="L19" s="151"/>
      <c r="M19" s="151"/>
      <c r="N19" s="151"/>
      <c r="O19" s="151"/>
      <c r="P19" s="152"/>
    </row>
    <row r="20" spans="1:16" ht="18" x14ac:dyDescent="0.35">
      <c r="A20" s="67">
        <v>42971</v>
      </c>
      <c r="B20" s="68" t="s">
        <v>1048</v>
      </c>
      <c r="C20" s="253">
        <v>27123572</v>
      </c>
      <c r="D20" s="69">
        <v>0</v>
      </c>
      <c r="E20" s="69">
        <v>8883650</v>
      </c>
      <c r="F20" s="254">
        <v>10421410</v>
      </c>
      <c r="G20" s="217" t="s">
        <v>198</v>
      </c>
      <c r="H20" s="188"/>
      <c r="J20" s="153"/>
      <c r="K20" s="151"/>
      <c r="L20" s="151"/>
      <c r="M20" s="151"/>
      <c r="N20" s="151"/>
      <c r="O20" s="151"/>
      <c r="P20" s="152"/>
    </row>
    <row r="21" spans="1:16" ht="18" x14ac:dyDescent="0.35">
      <c r="A21" s="67">
        <v>42972</v>
      </c>
      <c r="B21" s="68" t="s">
        <v>281</v>
      </c>
      <c r="C21" s="253">
        <v>0</v>
      </c>
      <c r="D21" s="69">
        <v>0</v>
      </c>
      <c r="E21" s="69">
        <v>745501</v>
      </c>
      <c r="F21" s="254">
        <v>11166911</v>
      </c>
      <c r="G21" s="217" t="s">
        <v>198</v>
      </c>
      <c r="J21" s="153"/>
      <c r="K21" s="151"/>
      <c r="L21" s="151"/>
      <c r="M21" s="151"/>
      <c r="N21" s="151"/>
      <c r="O21" s="151"/>
      <c r="P21" s="152"/>
    </row>
    <row r="22" spans="1:16" ht="18" x14ac:dyDescent="0.35">
      <c r="A22" s="67">
        <v>42975</v>
      </c>
      <c r="B22" s="68" t="s">
        <v>281</v>
      </c>
      <c r="C22" s="253">
        <v>0</v>
      </c>
      <c r="D22" s="69">
        <v>0</v>
      </c>
      <c r="E22" s="69">
        <v>290745</v>
      </c>
      <c r="F22" s="254">
        <v>11457656</v>
      </c>
      <c r="G22" s="217" t="s">
        <v>198</v>
      </c>
    </row>
    <row r="23" spans="1:16" ht="18" x14ac:dyDescent="0.35">
      <c r="A23" s="67">
        <v>42976</v>
      </c>
      <c r="B23" s="68" t="s">
        <v>281</v>
      </c>
      <c r="C23" s="253">
        <v>0</v>
      </c>
      <c r="D23" s="69">
        <v>0</v>
      </c>
      <c r="E23" s="69">
        <v>290745</v>
      </c>
      <c r="F23" s="254">
        <v>11748401</v>
      </c>
      <c r="G23" s="217" t="s">
        <v>198</v>
      </c>
      <c r="H23" s="188"/>
    </row>
    <row r="24" spans="1:16" ht="18" x14ac:dyDescent="0.35">
      <c r="A24" s="67">
        <v>42977</v>
      </c>
      <c r="B24" s="68" t="s">
        <v>281</v>
      </c>
      <c r="C24" s="253">
        <v>0</v>
      </c>
      <c r="D24" s="69">
        <v>0</v>
      </c>
      <c r="E24" s="69">
        <v>430444</v>
      </c>
      <c r="F24" s="254">
        <v>12178845</v>
      </c>
      <c r="G24" s="217" t="s">
        <v>198</v>
      </c>
      <c r="H24" s="235"/>
    </row>
    <row r="25" spans="1:16" ht="18" x14ac:dyDescent="0.35">
      <c r="A25" s="67">
        <v>42978</v>
      </c>
      <c r="B25" s="68" t="s">
        <v>284</v>
      </c>
      <c r="C25" s="253">
        <v>27735679</v>
      </c>
      <c r="D25" s="69">
        <v>5000000</v>
      </c>
      <c r="E25" s="69">
        <v>0</v>
      </c>
      <c r="F25" s="254">
        <v>7178845</v>
      </c>
      <c r="G25" s="217" t="s">
        <v>197</v>
      </c>
      <c r="H25" s="235"/>
    </row>
    <row r="26" spans="1:16" ht="18.75" x14ac:dyDescent="0.3">
      <c r="A26" s="67"/>
      <c r="B26" s="68"/>
      <c r="C26" s="68"/>
      <c r="D26" s="69"/>
      <c r="E26" s="69"/>
      <c r="F26" s="173"/>
      <c r="G26" s="217"/>
      <c r="H26" s="235"/>
    </row>
    <row r="27" spans="1:16" ht="18.75" x14ac:dyDescent="0.3">
      <c r="A27" s="67"/>
      <c r="B27" s="68"/>
      <c r="C27" s="68"/>
      <c r="D27" s="69"/>
      <c r="E27" s="69"/>
      <c r="F27" s="173"/>
      <c r="G27" s="217"/>
      <c r="H27" s="235"/>
    </row>
    <row r="28" spans="1:16" ht="18.75" x14ac:dyDescent="0.3">
      <c r="A28" s="67"/>
      <c r="B28" s="68"/>
      <c r="C28" s="68"/>
      <c r="D28" s="69"/>
      <c r="E28" s="69"/>
      <c r="F28" s="173"/>
      <c r="G28" s="217"/>
      <c r="H28" s="235"/>
    </row>
    <row r="29" spans="1:16" s="188" customFormat="1" ht="18.75" x14ac:dyDescent="0.3">
      <c r="A29" s="67"/>
      <c r="B29" s="68"/>
      <c r="C29" s="68"/>
      <c r="D29" s="69"/>
      <c r="E29" s="69"/>
      <c r="F29" s="173"/>
      <c r="G29" s="217"/>
      <c r="H29" s="231"/>
    </row>
    <row r="30" spans="1:16" s="188" customFormat="1" ht="18.75" x14ac:dyDescent="0.3">
      <c r="A30" s="67"/>
      <c r="B30" s="68"/>
      <c r="C30" s="68"/>
      <c r="D30" s="69"/>
      <c r="E30" s="69"/>
      <c r="F30" s="173"/>
      <c r="G30" s="217"/>
    </row>
    <row r="31" spans="1:16" s="188" customFormat="1" ht="18.75" x14ac:dyDescent="0.3">
      <c r="A31" s="67"/>
      <c r="B31" s="68"/>
      <c r="C31" s="68"/>
      <c r="D31" s="69"/>
      <c r="E31" s="69"/>
      <c r="F31" s="173"/>
      <c r="G31" s="217"/>
    </row>
    <row r="32" spans="1:16" s="188" customFormat="1" ht="18.75" x14ac:dyDescent="0.3">
      <c r="A32" s="67"/>
      <c r="B32" s="68"/>
      <c r="C32" s="68"/>
      <c r="D32" s="69"/>
      <c r="E32" s="69"/>
      <c r="F32" s="173"/>
      <c r="G32" s="217"/>
    </row>
    <row r="33" spans="1:8" s="188" customFormat="1" ht="18" x14ac:dyDescent="0.35">
      <c r="A33" s="67"/>
      <c r="B33" s="68"/>
      <c r="C33" s="68"/>
      <c r="D33" s="69"/>
      <c r="E33" s="69"/>
      <c r="F33" s="173"/>
      <c r="G33" s="217"/>
    </row>
    <row r="34" spans="1:8" s="188" customFormat="1" ht="18" x14ac:dyDescent="0.35">
      <c r="A34" s="67"/>
      <c r="B34" s="68"/>
      <c r="C34" s="68"/>
      <c r="D34" s="69"/>
      <c r="E34" s="69"/>
      <c r="F34" s="173"/>
      <c r="G34" s="217"/>
    </row>
    <row r="35" spans="1:8" s="188" customFormat="1" ht="18.75" x14ac:dyDescent="0.3">
      <c r="A35" s="67"/>
      <c r="B35" s="68"/>
      <c r="C35" s="68"/>
      <c r="D35" s="69"/>
      <c r="E35" s="69"/>
      <c r="F35" s="173"/>
      <c r="G35" s="217"/>
    </row>
    <row r="36" spans="1:8" s="188" customFormat="1" ht="18.75" x14ac:dyDescent="0.3">
      <c r="A36" s="67"/>
      <c r="B36" s="68"/>
      <c r="C36" s="68"/>
      <c r="D36" s="69"/>
      <c r="E36" s="69"/>
      <c r="F36" s="173"/>
      <c r="G36" s="217"/>
    </row>
    <row r="37" spans="1:8" s="188" customFormat="1" ht="18.75" x14ac:dyDescent="0.3">
      <c r="A37" s="67"/>
      <c r="B37" s="68"/>
      <c r="C37" s="68"/>
      <c r="D37" s="69"/>
      <c r="E37" s="69"/>
      <c r="F37" s="173"/>
      <c r="G37" s="217"/>
    </row>
    <row r="38" spans="1:8" s="188" customFormat="1" x14ac:dyDescent="0.25">
      <c r="A38" s="67"/>
      <c r="B38" s="68"/>
      <c r="C38" s="68"/>
      <c r="D38" s="69"/>
      <c r="E38" s="69"/>
      <c r="F38" s="173"/>
      <c r="G38" s="178"/>
    </row>
    <row r="39" spans="1:8" s="188" customFormat="1" x14ac:dyDescent="0.25">
      <c r="A39" s="67"/>
      <c r="B39" s="68"/>
      <c r="C39" s="68"/>
      <c r="D39" s="69"/>
      <c r="E39" s="69"/>
      <c r="F39" s="173"/>
      <c r="G39" s="178"/>
    </row>
    <row r="40" spans="1:8" s="188" customFormat="1" x14ac:dyDescent="0.25">
      <c r="A40" s="67"/>
      <c r="B40" s="68"/>
      <c r="C40" s="68"/>
      <c r="D40" s="69"/>
      <c r="E40" s="69"/>
      <c r="F40" s="173"/>
      <c r="G40" s="178"/>
    </row>
    <row r="41" spans="1:8" s="188" customFormat="1" x14ac:dyDescent="0.25">
      <c r="A41" s="67"/>
      <c r="B41" s="68"/>
      <c r="C41" s="68"/>
      <c r="D41" s="69"/>
      <c r="E41" s="69"/>
      <c r="F41" s="173"/>
      <c r="G41" s="178"/>
    </row>
    <row r="42" spans="1:8" s="188" customFormat="1" x14ac:dyDescent="0.25">
      <c r="A42" s="67"/>
      <c r="B42" s="68"/>
      <c r="C42" s="68"/>
      <c r="D42" s="69"/>
      <c r="E42" s="69"/>
      <c r="F42" s="173"/>
      <c r="G42" s="178"/>
    </row>
    <row r="43" spans="1:8" x14ac:dyDescent="0.25">
      <c r="A43" s="67"/>
      <c r="B43" s="68"/>
      <c r="C43" s="68"/>
      <c r="D43" s="69"/>
      <c r="E43" s="69"/>
      <c r="F43" s="64"/>
      <c r="G43" s="176"/>
    </row>
    <row r="44" spans="1:8" x14ac:dyDescent="0.25">
      <c r="A44" s="67"/>
      <c r="B44" s="68"/>
      <c r="C44" s="68"/>
      <c r="D44" s="69"/>
      <c r="E44" s="69"/>
      <c r="F44" s="173"/>
      <c r="G44" s="178"/>
      <c r="H44" s="142"/>
    </row>
    <row r="45" spans="1:8" s="142" customFormat="1" x14ac:dyDescent="0.25">
      <c r="A45" s="67"/>
      <c r="B45" s="68"/>
      <c r="C45" s="68"/>
      <c r="D45" s="69"/>
      <c r="E45" s="69"/>
      <c r="F45" s="64"/>
      <c r="G45" s="178"/>
      <c r="H45" s="188"/>
    </row>
    <row r="46" spans="1:8" s="142" customFormat="1" x14ac:dyDescent="0.25">
      <c r="A46" s="67"/>
      <c r="B46" s="68"/>
      <c r="C46" s="68"/>
      <c r="D46" s="69"/>
      <c r="E46" s="69"/>
      <c r="F46" s="173"/>
      <c r="G46" s="178"/>
    </row>
    <row r="47" spans="1:8" s="142" customFormat="1" x14ac:dyDescent="0.25">
      <c r="A47" s="67"/>
      <c r="B47" s="68"/>
      <c r="C47" s="68"/>
      <c r="D47" s="69"/>
      <c r="E47" s="69"/>
      <c r="F47" s="64"/>
      <c r="G47" s="66"/>
    </row>
    <row r="48" spans="1:8" s="142" customFormat="1" x14ac:dyDescent="0.25">
      <c r="A48" s="67"/>
      <c r="B48" s="68"/>
      <c r="C48" s="68"/>
      <c r="D48" s="69"/>
      <c r="E48" s="69"/>
      <c r="F48" s="64"/>
      <c r="G48" s="66"/>
    </row>
    <row r="49" spans="1:7" s="142" customFormat="1" x14ac:dyDescent="0.25">
      <c r="A49" s="67"/>
      <c r="B49" s="68"/>
      <c r="C49" s="68"/>
      <c r="D49" s="69"/>
      <c r="E49" s="69"/>
      <c r="F49" s="64"/>
      <c r="G49" s="50"/>
    </row>
    <row r="50" spans="1:7" s="142" customFormat="1" x14ac:dyDescent="0.25">
      <c r="A50" s="67"/>
      <c r="B50" s="68"/>
      <c r="C50" s="68"/>
      <c r="D50" s="69"/>
      <c r="E50" s="69"/>
      <c r="F50" s="64"/>
      <c r="G50" s="50"/>
    </row>
    <row r="51" spans="1:7" x14ac:dyDescent="0.25">
      <c r="A51" s="67"/>
      <c r="B51" s="68"/>
      <c r="C51" s="68"/>
      <c r="D51" s="69"/>
      <c r="E51" s="69"/>
      <c r="F51" s="64"/>
      <c r="G51" s="66"/>
    </row>
    <row r="52" spans="1:7" ht="15" customHeight="1" x14ac:dyDescent="0.25">
      <c r="A52" s="70" t="s">
        <v>102</v>
      </c>
      <c r="B52" s="71" t="s">
        <v>103</v>
      </c>
      <c r="C52" s="71" t="s">
        <v>104</v>
      </c>
      <c r="D52" s="72" t="s">
        <v>105</v>
      </c>
      <c r="E52" s="71" t="s">
        <v>106</v>
      </c>
      <c r="F52" s="71" t="s">
        <v>127</v>
      </c>
      <c r="G52" s="73" t="s">
        <v>59</v>
      </c>
    </row>
    <row r="53" spans="1:7" ht="15" customHeight="1" x14ac:dyDescent="0.3">
      <c r="A53" s="67">
        <v>42948</v>
      </c>
      <c r="B53" s="68" t="s">
        <v>1049</v>
      </c>
      <c r="C53" s="68">
        <v>25076968</v>
      </c>
      <c r="D53" s="69">
        <v>0</v>
      </c>
      <c r="E53" s="69">
        <v>9084.3700000000008</v>
      </c>
      <c r="F53" s="173">
        <v>9145.4599999999991</v>
      </c>
      <c r="G53" s="217"/>
    </row>
    <row r="54" spans="1:7" ht="15" customHeight="1" x14ac:dyDescent="0.3">
      <c r="A54" s="67">
        <v>42948</v>
      </c>
      <c r="B54" s="68" t="s">
        <v>1050</v>
      </c>
      <c r="C54" s="68">
        <v>25077359</v>
      </c>
      <c r="D54" s="69">
        <v>9000</v>
      </c>
      <c r="E54" s="69">
        <v>0</v>
      </c>
      <c r="F54" s="173">
        <v>145.46</v>
      </c>
      <c r="G54" s="217"/>
    </row>
    <row r="55" spans="1:7" ht="15" customHeight="1" x14ac:dyDescent="0.3">
      <c r="A55" s="67">
        <v>42955</v>
      </c>
      <c r="B55" s="68" t="s">
        <v>1051</v>
      </c>
      <c r="C55" s="68">
        <v>25852304</v>
      </c>
      <c r="D55" s="69">
        <v>0</v>
      </c>
      <c r="E55" s="69">
        <v>8298.34</v>
      </c>
      <c r="F55" s="173">
        <v>8443.7999999999993</v>
      </c>
      <c r="G55" s="217"/>
    </row>
    <row r="56" spans="1:7" ht="15" customHeight="1" x14ac:dyDescent="0.3">
      <c r="A56" s="67">
        <v>42956</v>
      </c>
      <c r="B56" s="68" t="s">
        <v>1052</v>
      </c>
      <c r="C56" s="68">
        <v>25978240</v>
      </c>
      <c r="D56" s="69">
        <v>8440</v>
      </c>
      <c r="E56" s="69">
        <v>0</v>
      </c>
      <c r="F56" s="173">
        <v>3.8</v>
      </c>
      <c r="G56" s="217"/>
    </row>
    <row r="57" spans="1:7" ht="15" customHeight="1" x14ac:dyDescent="0.3">
      <c r="A57" s="67">
        <v>42963</v>
      </c>
      <c r="B57" s="68" t="s">
        <v>1053</v>
      </c>
      <c r="C57" s="68">
        <v>26559065</v>
      </c>
      <c r="D57" s="69">
        <v>0</v>
      </c>
      <c r="E57" s="69">
        <v>9941.98</v>
      </c>
      <c r="F57" s="173">
        <v>9945.7800000000007</v>
      </c>
      <c r="G57" s="217"/>
    </row>
    <row r="58" spans="1:7" ht="15" customHeight="1" x14ac:dyDescent="0.3">
      <c r="A58" s="67">
        <v>42970</v>
      </c>
      <c r="B58" s="68" t="s">
        <v>1054</v>
      </c>
      <c r="C58" s="68">
        <v>27022151</v>
      </c>
      <c r="D58" s="69">
        <v>0</v>
      </c>
      <c r="E58" s="69">
        <v>4052.12</v>
      </c>
      <c r="F58" s="173">
        <v>13997.9</v>
      </c>
      <c r="G58" s="217"/>
    </row>
    <row r="59" spans="1:7" ht="15" customHeight="1" x14ac:dyDescent="0.3">
      <c r="A59" s="67"/>
      <c r="B59" s="68"/>
      <c r="C59" s="68"/>
      <c r="D59" s="69"/>
      <c r="E59" s="69"/>
      <c r="F59" s="173"/>
      <c r="G59" s="217"/>
    </row>
    <row r="60" spans="1:7" ht="15" customHeight="1" x14ac:dyDescent="0.25">
      <c r="A60" s="67"/>
      <c r="B60" s="68"/>
      <c r="C60" s="68"/>
      <c r="D60" s="69"/>
      <c r="E60" s="69"/>
      <c r="F60" s="64"/>
      <c r="G60" s="67"/>
    </row>
    <row r="61" spans="1:7" ht="15" customHeight="1" x14ac:dyDescent="0.25">
      <c r="A61" s="100"/>
      <c r="B61" s="101"/>
      <c r="C61" s="101"/>
      <c r="D61" s="102"/>
      <c r="E61" s="102"/>
      <c r="F61" s="102"/>
      <c r="G61" s="51"/>
    </row>
    <row r="64" spans="1:7" x14ac:dyDescent="0.25">
      <c r="D64" s="1">
        <f>SUBTOTAL(9,D2:D61)</f>
        <v>22921367</v>
      </c>
      <c r="E64" s="1">
        <f>SUBTOTAL(9,E2:E61)</f>
        <v>25732292.810000002</v>
      </c>
    </row>
    <row r="66" spans="1:10" x14ac:dyDescent="0.25">
      <c r="F66" s="63"/>
      <c r="G66" s="63" t="s">
        <v>4</v>
      </c>
    </row>
    <row r="67" spans="1:10" ht="18.75" x14ac:dyDescent="0.3">
      <c r="A67" s="70" t="s">
        <v>102</v>
      </c>
      <c r="B67" s="71" t="s">
        <v>103</v>
      </c>
      <c r="C67" s="71" t="s">
        <v>104</v>
      </c>
      <c r="D67" s="72" t="s">
        <v>105</v>
      </c>
      <c r="F67" s="64">
        <f>SUMIF($G$2:$G$61,G67,$D$2:$D$61)-SUMIF($G$2:$G$61,G67,$E$2:$E$61)</f>
        <v>1593</v>
      </c>
      <c r="G67" s="217" t="s">
        <v>255</v>
      </c>
    </row>
    <row r="68" spans="1:10" ht="18.75" x14ac:dyDescent="0.3">
      <c r="A68" s="67"/>
      <c r="B68" s="68"/>
      <c r="C68" s="68"/>
      <c r="D68" s="69"/>
      <c r="F68" s="64">
        <f t="shared" ref="F68:F83" si="0">SUMIF($G$2:$G$61,G68,$D$2:$D$61)-SUMIF($G$2:$G$61,G68,$E$2:$E$61)</f>
        <v>0</v>
      </c>
      <c r="G68" s="217" t="s">
        <v>51</v>
      </c>
    </row>
    <row r="69" spans="1:10" ht="18.75" x14ac:dyDescent="0.3">
      <c r="A69" s="67"/>
      <c r="B69" s="68"/>
      <c r="C69" s="68"/>
      <c r="D69" s="69"/>
      <c r="F69" s="64">
        <f t="shared" si="0"/>
        <v>0</v>
      </c>
      <c r="G69" s="217" t="s">
        <v>156</v>
      </c>
    </row>
    <row r="70" spans="1:10" ht="18.75" x14ac:dyDescent="0.3">
      <c r="A70" s="67"/>
      <c r="B70" s="68"/>
      <c r="C70" s="68"/>
      <c r="D70" s="69"/>
      <c r="F70" s="64">
        <f t="shared" si="0"/>
        <v>0</v>
      </c>
      <c r="G70" s="218" t="s">
        <v>254</v>
      </c>
    </row>
    <row r="71" spans="1:10" ht="18.75" x14ac:dyDescent="0.3">
      <c r="F71" s="64">
        <f t="shared" si="0"/>
        <v>0</v>
      </c>
      <c r="G71" s="218" t="s">
        <v>9</v>
      </c>
    </row>
    <row r="72" spans="1:10" ht="18.75" x14ac:dyDescent="0.3">
      <c r="F72" s="64">
        <f t="shared" si="0"/>
        <v>0</v>
      </c>
      <c r="G72" s="219" t="s">
        <v>256</v>
      </c>
      <c r="H72" s="107"/>
    </row>
    <row r="73" spans="1:10" ht="18.75" x14ac:dyDescent="0.3">
      <c r="F73" s="64">
        <f t="shared" si="0"/>
        <v>0</v>
      </c>
      <c r="G73" s="217" t="s">
        <v>258</v>
      </c>
    </row>
    <row r="74" spans="1:10" ht="18.75" x14ac:dyDescent="0.3">
      <c r="F74" s="64">
        <f t="shared" si="0"/>
        <v>0</v>
      </c>
      <c r="G74" s="217" t="s">
        <v>257</v>
      </c>
    </row>
    <row r="75" spans="1:10" ht="18.75" x14ac:dyDescent="0.3">
      <c r="F75" s="64">
        <f t="shared" si="0"/>
        <v>2519098</v>
      </c>
      <c r="G75" s="219" t="s">
        <v>43</v>
      </c>
    </row>
    <row r="76" spans="1:10" ht="18.75" x14ac:dyDescent="0.3">
      <c r="F76" s="64">
        <f t="shared" si="0"/>
        <v>0</v>
      </c>
      <c r="G76" s="217" t="s">
        <v>12</v>
      </c>
      <c r="H76" s="108"/>
      <c r="I76" s="142"/>
      <c r="J76" s="142"/>
    </row>
    <row r="77" spans="1:10" ht="18.75" x14ac:dyDescent="0.3">
      <c r="F77" s="64">
        <f t="shared" si="0"/>
        <v>0</v>
      </c>
      <c r="G77" s="217" t="s">
        <v>22</v>
      </c>
      <c r="I77" s="142"/>
      <c r="J77" s="142"/>
    </row>
    <row r="78" spans="1:10" ht="18.75" x14ac:dyDescent="0.3">
      <c r="F78" s="64">
        <f t="shared" si="0"/>
        <v>0</v>
      </c>
      <c r="G78" s="218" t="s">
        <v>259</v>
      </c>
      <c r="I78" s="142"/>
    </row>
    <row r="79" spans="1:10" ht="18.75" x14ac:dyDescent="0.3">
      <c r="F79" s="64">
        <f t="shared" si="0"/>
        <v>1383236</v>
      </c>
      <c r="G79" s="217" t="s">
        <v>50</v>
      </c>
      <c r="I79" s="142"/>
      <c r="J79" s="142"/>
    </row>
    <row r="80" spans="1:10" ht="18.75" x14ac:dyDescent="0.3">
      <c r="F80" s="64">
        <f t="shared" si="0"/>
        <v>19000000</v>
      </c>
      <c r="G80" s="218" t="s">
        <v>197</v>
      </c>
      <c r="I80" s="142"/>
      <c r="J80" s="142"/>
    </row>
    <row r="81" spans="4:10" ht="18.75" x14ac:dyDescent="0.3">
      <c r="F81" s="64">
        <f t="shared" si="0"/>
        <v>-25700916</v>
      </c>
      <c r="G81" s="217" t="s">
        <v>198</v>
      </c>
      <c r="I81" s="142"/>
      <c r="J81" s="142"/>
    </row>
    <row r="82" spans="4:10" ht="18.75" x14ac:dyDescent="0.3">
      <c r="F82" s="64">
        <f t="shared" si="0"/>
        <v>0</v>
      </c>
      <c r="G82" s="217" t="s">
        <v>260</v>
      </c>
      <c r="I82" s="142"/>
      <c r="J82" s="142"/>
    </row>
    <row r="83" spans="4:10" ht="18.75" x14ac:dyDescent="0.3">
      <c r="F83" s="64">
        <f t="shared" si="0"/>
        <v>0</v>
      </c>
      <c r="G83" s="217" t="s">
        <v>261</v>
      </c>
      <c r="I83" s="142"/>
      <c r="J83" s="142"/>
    </row>
    <row r="84" spans="4:10" s="235" customFormat="1" ht="18.75" x14ac:dyDescent="0.3">
      <c r="D84" s="1"/>
      <c r="F84" s="64">
        <f>SUMIF($G$2:$G$61,G84,$D$2:$D$61)-SUMIF($G$2:$G$61,G84,$E$2:$E$61)</f>
        <v>0</v>
      </c>
      <c r="G84" s="217" t="s">
        <v>330</v>
      </c>
    </row>
    <row r="85" spans="4:10" x14ac:dyDescent="0.25">
      <c r="F85" s="65"/>
      <c r="G85" s="63" t="s">
        <v>26</v>
      </c>
    </row>
  </sheetData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G28:G33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G34:G37 G53:G59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G2:G27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A2712"/>
  <sheetViews>
    <sheetView topLeftCell="E1" zoomScale="55" zoomScaleNormal="55" workbookViewId="0">
      <selection activeCell="N46" sqref="N46"/>
    </sheetView>
  </sheetViews>
  <sheetFormatPr baseColWidth="10" defaultColWidth="11.28515625" defaultRowHeight="15" x14ac:dyDescent="0.25"/>
  <cols>
    <col min="1" max="1" width="13.140625" style="20" bestFit="1" customWidth="1"/>
    <col min="2" max="2" width="33.140625" style="24" customWidth="1"/>
    <col min="3" max="3" width="25" style="24" customWidth="1"/>
    <col min="4" max="4" width="27" style="24" customWidth="1"/>
    <col min="5" max="5" width="35.7109375" style="22" customWidth="1"/>
    <col min="6" max="6" width="29.7109375" style="22" customWidth="1"/>
    <col min="7" max="8" width="21.7109375" style="22" customWidth="1"/>
    <col min="9" max="9" width="28" style="22" customWidth="1"/>
    <col min="10" max="10" width="26.7109375" style="22" customWidth="1"/>
    <col min="11" max="11" width="25.28515625" style="22" customWidth="1"/>
    <col min="12" max="12" width="24.28515625" style="22" customWidth="1"/>
    <col min="13" max="14" width="17.28515625" style="22" customWidth="1"/>
    <col min="15" max="15" width="17.28515625" style="25" customWidth="1"/>
    <col min="16" max="16" width="17.28515625" style="22" customWidth="1"/>
    <col min="17" max="17" width="17.28515625" style="26" customWidth="1"/>
    <col min="18" max="22" width="17.28515625" style="14" customWidth="1"/>
    <col min="23" max="39" width="17.28515625" style="20" customWidth="1"/>
    <col min="40" max="40" width="17.7109375" style="20" customWidth="1"/>
    <col min="41" max="41" width="17.28515625" style="20" customWidth="1"/>
    <col min="42" max="48" width="17.7109375" style="20" customWidth="1"/>
    <col min="49" max="57" width="20.85546875" style="20" customWidth="1"/>
    <col min="58" max="16384" width="11.28515625" style="20"/>
  </cols>
  <sheetData>
    <row r="1" spans="1:53" x14ac:dyDescent="0.25">
      <c r="A1" s="48" t="s">
        <v>5</v>
      </c>
      <c r="B1" s="48" t="s">
        <v>45</v>
      </c>
      <c r="C1" s="48" t="s">
        <v>234</v>
      </c>
      <c r="D1" s="48" t="s">
        <v>235</v>
      </c>
      <c r="E1" s="48" t="s">
        <v>236</v>
      </c>
      <c r="F1" s="48" t="s">
        <v>237</v>
      </c>
      <c r="G1" s="93" t="s">
        <v>129</v>
      </c>
      <c r="H1" s="48" t="s">
        <v>238</v>
      </c>
      <c r="I1" s="48" t="s">
        <v>239</v>
      </c>
      <c r="J1" s="94"/>
      <c r="K1" s="20"/>
      <c r="L1" s="20"/>
      <c r="M1" s="20"/>
      <c r="N1" s="20"/>
      <c r="O1" s="20"/>
      <c r="P1" s="20"/>
      <c r="Q1" s="20"/>
      <c r="R1" s="20"/>
      <c r="S1" s="60"/>
      <c r="T1" s="20"/>
      <c r="U1" s="20"/>
      <c r="V1" s="20"/>
    </row>
    <row r="2" spans="1:53" ht="14.45" x14ac:dyDescent="0.3">
      <c r="A2" s="236">
        <v>42948</v>
      </c>
      <c r="B2" s="200" t="s">
        <v>183</v>
      </c>
      <c r="C2" s="200" t="s">
        <v>248</v>
      </c>
      <c r="D2" s="200">
        <v>0</v>
      </c>
      <c r="E2" s="201">
        <v>0</v>
      </c>
      <c r="F2" s="200">
        <v>2000000</v>
      </c>
      <c r="G2" s="250"/>
      <c r="H2" s="250"/>
      <c r="I2" s="250"/>
      <c r="J2" s="176"/>
      <c r="K2" s="194"/>
      <c r="L2" s="20"/>
      <c r="M2" s="20"/>
      <c r="N2" s="20"/>
      <c r="O2" s="20"/>
      <c r="P2" s="20"/>
      <c r="Q2" s="20"/>
      <c r="R2" s="20"/>
      <c r="S2" s="60"/>
      <c r="T2" s="20"/>
      <c r="U2" s="20"/>
      <c r="V2" s="20"/>
      <c r="AF2" s="144"/>
    </row>
    <row r="3" spans="1:53" x14ac:dyDescent="0.25">
      <c r="A3" s="236">
        <v>42948</v>
      </c>
      <c r="B3" s="200" t="s">
        <v>191</v>
      </c>
      <c r="C3" s="200" t="s">
        <v>192</v>
      </c>
      <c r="D3" s="201">
        <v>0</v>
      </c>
      <c r="E3" s="201">
        <v>22080</v>
      </c>
      <c r="F3" s="200">
        <v>0</v>
      </c>
      <c r="G3" s="250" t="s">
        <v>1059</v>
      </c>
      <c r="H3" s="250">
        <v>10341</v>
      </c>
      <c r="I3" s="250" t="s">
        <v>273</v>
      </c>
      <c r="J3" s="171"/>
      <c r="K3" s="194"/>
      <c r="L3" s="20"/>
      <c r="M3" s="95">
        <v>41791</v>
      </c>
      <c r="N3" s="95">
        <v>41821</v>
      </c>
      <c r="O3" s="95">
        <v>41852</v>
      </c>
      <c r="P3" s="95">
        <v>41883</v>
      </c>
      <c r="Q3" s="95">
        <v>41913</v>
      </c>
      <c r="R3" s="95">
        <v>41944</v>
      </c>
      <c r="S3" s="95">
        <v>41974</v>
      </c>
      <c r="T3" s="95">
        <v>42005</v>
      </c>
      <c r="U3" s="95">
        <v>42036</v>
      </c>
      <c r="V3" s="95">
        <v>42064</v>
      </c>
      <c r="W3" s="95">
        <v>42095</v>
      </c>
      <c r="X3" s="95"/>
      <c r="Y3" s="95">
        <v>42156</v>
      </c>
      <c r="Z3" s="95">
        <v>42186</v>
      </c>
      <c r="AA3" s="95">
        <v>42217</v>
      </c>
      <c r="AB3" s="95">
        <v>42248</v>
      </c>
      <c r="AC3" s="95">
        <v>42278</v>
      </c>
      <c r="AD3" s="95">
        <v>42309</v>
      </c>
      <c r="AE3" s="95">
        <v>42339</v>
      </c>
      <c r="AF3" s="95">
        <v>42370</v>
      </c>
      <c r="AG3" s="95">
        <v>42401</v>
      </c>
      <c r="AH3" s="95">
        <v>42430</v>
      </c>
      <c r="AI3" s="95">
        <v>42461</v>
      </c>
      <c r="AJ3" s="95">
        <v>42491</v>
      </c>
      <c r="AK3" s="95">
        <v>42522</v>
      </c>
      <c r="AL3" s="95">
        <v>42552</v>
      </c>
      <c r="AM3" s="95">
        <v>42583</v>
      </c>
      <c r="AN3" s="95">
        <v>42614</v>
      </c>
      <c r="AO3" s="95">
        <v>42644</v>
      </c>
      <c r="AP3" s="95">
        <v>42675</v>
      </c>
      <c r="AQ3" s="95">
        <v>42705</v>
      </c>
      <c r="AR3" s="95">
        <v>42736</v>
      </c>
      <c r="AS3" s="95">
        <v>42767</v>
      </c>
      <c r="AT3" s="95">
        <v>42795</v>
      </c>
      <c r="AU3" s="95">
        <v>42826</v>
      </c>
      <c r="AV3" s="95">
        <v>42856</v>
      </c>
      <c r="AW3" s="95">
        <v>42887</v>
      </c>
      <c r="AX3" s="95">
        <v>42917</v>
      </c>
      <c r="AY3" s="95">
        <v>42948</v>
      </c>
      <c r="AZ3" s="95">
        <v>42979</v>
      </c>
      <c r="BA3" s="95">
        <v>43009</v>
      </c>
    </row>
    <row r="4" spans="1:53" x14ac:dyDescent="0.25">
      <c r="A4" s="236">
        <v>42948</v>
      </c>
      <c r="B4" s="200" t="s">
        <v>191</v>
      </c>
      <c r="C4" s="200" t="s">
        <v>192</v>
      </c>
      <c r="D4" s="201">
        <v>0</v>
      </c>
      <c r="E4" s="201">
        <v>89460</v>
      </c>
      <c r="F4" s="200">
        <v>0</v>
      </c>
      <c r="G4" s="250" t="s">
        <v>1059</v>
      </c>
      <c r="H4" s="250">
        <v>10340</v>
      </c>
      <c r="I4" s="250" t="s">
        <v>272</v>
      </c>
      <c r="J4" s="171"/>
      <c r="K4" s="194"/>
      <c r="L4" s="57" t="s">
        <v>82</v>
      </c>
      <c r="M4" s="58" t="s">
        <v>83</v>
      </c>
      <c r="N4" s="58" t="s">
        <v>83</v>
      </c>
      <c r="O4" s="58" t="s">
        <v>83</v>
      </c>
      <c r="P4" s="58" t="s">
        <v>83</v>
      </c>
      <c r="Q4" s="58" t="s">
        <v>83</v>
      </c>
      <c r="R4" s="58" t="s">
        <v>83</v>
      </c>
      <c r="S4" s="58" t="s">
        <v>83</v>
      </c>
      <c r="T4" s="58" t="s">
        <v>83</v>
      </c>
      <c r="U4" s="58" t="s">
        <v>83</v>
      </c>
      <c r="V4" s="58" t="s">
        <v>83</v>
      </c>
      <c r="W4" s="58" t="s">
        <v>83</v>
      </c>
      <c r="X4" s="58"/>
      <c r="Y4" s="58" t="s">
        <v>83</v>
      </c>
      <c r="Z4" s="58" t="s">
        <v>83</v>
      </c>
      <c r="AA4" s="58" t="s">
        <v>83</v>
      </c>
      <c r="AB4" s="58" t="s">
        <v>83</v>
      </c>
      <c r="AC4" s="58" t="s">
        <v>83</v>
      </c>
      <c r="AD4" s="58" t="s">
        <v>83</v>
      </c>
      <c r="AE4" s="58" t="s">
        <v>83</v>
      </c>
      <c r="AF4" s="58" t="s">
        <v>83</v>
      </c>
      <c r="AG4" s="58" t="s">
        <v>83</v>
      </c>
      <c r="AH4" s="58" t="s">
        <v>83</v>
      </c>
      <c r="AI4" s="58" t="s">
        <v>83</v>
      </c>
      <c r="AJ4" s="58" t="s">
        <v>83</v>
      </c>
      <c r="AK4" s="58" t="s">
        <v>83</v>
      </c>
      <c r="AL4" s="58" t="s">
        <v>83</v>
      </c>
      <c r="AM4" s="58" t="s">
        <v>83</v>
      </c>
      <c r="AN4" s="58" t="s">
        <v>83</v>
      </c>
      <c r="AO4" s="58" t="s">
        <v>83</v>
      </c>
      <c r="AP4" s="58" t="s">
        <v>362</v>
      </c>
      <c r="AQ4" s="58" t="s">
        <v>362</v>
      </c>
      <c r="AR4" s="58" t="s">
        <v>362</v>
      </c>
      <c r="AS4" s="58" t="s">
        <v>362</v>
      </c>
      <c r="AT4" s="58" t="s">
        <v>362</v>
      </c>
      <c r="AU4" s="58" t="s">
        <v>83</v>
      </c>
      <c r="AV4" s="58" t="s">
        <v>83</v>
      </c>
      <c r="AW4" s="58"/>
      <c r="AX4" s="58" t="s">
        <v>83</v>
      </c>
      <c r="AY4" s="58" t="s">
        <v>83</v>
      </c>
      <c r="AZ4" s="58" t="s">
        <v>83</v>
      </c>
      <c r="BA4" s="58" t="s">
        <v>83</v>
      </c>
    </row>
    <row r="5" spans="1:53" x14ac:dyDescent="0.25">
      <c r="A5" s="236">
        <v>42949</v>
      </c>
      <c r="B5" s="200" t="s">
        <v>191</v>
      </c>
      <c r="C5" s="200" t="s">
        <v>192</v>
      </c>
      <c r="D5" s="201">
        <v>0</v>
      </c>
      <c r="E5" s="201">
        <v>23080</v>
      </c>
      <c r="F5" s="200">
        <v>0</v>
      </c>
      <c r="G5" s="250" t="s">
        <v>270</v>
      </c>
      <c r="H5" s="250">
        <v>65963738</v>
      </c>
      <c r="I5" s="250" t="s">
        <v>271</v>
      </c>
      <c r="J5" s="171"/>
      <c r="K5" s="194"/>
      <c r="L5" s="56" t="s">
        <v>84</v>
      </c>
      <c r="M5" s="23">
        <v>230385</v>
      </c>
      <c r="N5" s="23">
        <v>218354</v>
      </c>
      <c r="O5" s="23">
        <v>218354</v>
      </c>
      <c r="P5" s="23">
        <v>358019</v>
      </c>
      <c r="Q5" s="23">
        <v>378562</v>
      </c>
      <c r="R5" s="23">
        <v>396109</v>
      </c>
      <c r="S5" s="23">
        <v>189030</v>
      </c>
      <c r="T5" s="23">
        <v>207024</v>
      </c>
      <c r="U5" s="23">
        <v>240533</v>
      </c>
      <c r="V5" s="23">
        <v>219094</v>
      </c>
      <c r="W5" s="23">
        <v>268157</v>
      </c>
      <c r="X5" s="23"/>
      <c r="Y5" s="23"/>
      <c r="Z5" s="23">
        <v>344875</v>
      </c>
      <c r="AA5" s="23">
        <v>307022</v>
      </c>
      <c r="AB5" s="23">
        <v>478961</v>
      </c>
      <c r="AC5" s="23">
        <v>325365</v>
      </c>
      <c r="AD5" s="23">
        <v>382191</v>
      </c>
      <c r="AE5" s="23">
        <v>330335</v>
      </c>
      <c r="AF5" s="23">
        <v>371477</v>
      </c>
      <c r="AG5" s="23">
        <v>444000</v>
      </c>
      <c r="AH5" s="23">
        <v>586134</v>
      </c>
      <c r="AI5" s="23">
        <v>187163</v>
      </c>
      <c r="AJ5" s="23">
        <v>181554</v>
      </c>
      <c r="AK5" s="23">
        <v>26120</v>
      </c>
      <c r="AL5" s="23">
        <v>377291</v>
      </c>
      <c r="AM5" s="23">
        <v>479133</v>
      </c>
      <c r="AN5" s="23">
        <v>601495</v>
      </c>
      <c r="AO5" s="23">
        <v>347927</v>
      </c>
      <c r="AP5" s="23">
        <v>429199</v>
      </c>
      <c r="AQ5" s="23">
        <v>362015</v>
      </c>
      <c r="AR5" s="23">
        <v>441472</v>
      </c>
      <c r="AS5" s="23">
        <v>441472</v>
      </c>
      <c r="AT5" s="23">
        <v>448920</v>
      </c>
      <c r="AU5" s="23">
        <v>347450</v>
      </c>
      <c r="AV5" s="23">
        <v>344309</v>
      </c>
      <c r="AW5" s="23"/>
      <c r="AX5" s="23">
        <v>176375</v>
      </c>
      <c r="AY5" s="23">
        <v>317609</v>
      </c>
      <c r="AZ5" s="23"/>
      <c r="BA5" s="23"/>
    </row>
    <row r="6" spans="1:53" x14ac:dyDescent="0.25">
      <c r="A6" s="236">
        <v>42949</v>
      </c>
      <c r="B6" s="200" t="s">
        <v>191</v>
      </c>
      <c r="C6" s="200" t="s">
        <v>192</v>
      </c>
      <c r="D6" s="200">
        <v>0</v>
      </c>
      <c r="E6" s="201">
        <v>13320</v>
      </c>
      <c r="F6" s="200">
        <v>0</v>
      </c>
      <c r="G6" s="250" t="s">
        <v>270</v>
      </c>
      <c r="H6" s="250">
        <v>65963737</v>
      </c>
      <c r="I6" s="250" t="s">
        <v>273</v>
      </c>
      <c r="J6" s="171"/>
      <c r="K6" s="194"/>
      <c r="L6" s="56" t="s">
        <v>85</v>
      </c>
      <c r="M6" s="23">
        <v>169408</v>
      </c>
      <c r="N6" s="23">
        <v>129201</v>
      </c>
      <c r="O6" s="23">
        <v>129201</v>
      </c>
      <c r="P6" s="23">
        <v>47126</v>
      </c>
      <c r="Q6" s="23">
        <v>73177</v>
      </c>
      <c r="R6" s="23">
        <v>124650</v>
      </c>
      <c r="S6" s="23">
        <v>105196</v>
      </c>
      <c r="T6" s="23">
        <v>102595</v>
      </c>
      <c r="U6" s="23">
        <v>198661</v>
      </c>
      <c r="V6" s="23">
        <v>94417</v>
      </c>
      <c r="W6" s="23">
        <v>87044</v>
      </c>
      <c r="X6" s="23"/>
      <c r="Y6" s="23"/>
      <c r="Z6" s="23">
        <v>123719</v>
      </c>
      <c r="AA6" s="23">
        <v>27252</v>
      </c>
      <c r="AB6" s="23">
        <v>122936</v>
      </c>
      <c r="AC6" s="23">
        <v>94130</v>
      </c>
      <c r="AD6" s="23">
        <v>113536</v>
      </c>
      <c r="AE6" s="23">
        <v>97522</v>
      </c>
      <c r="AF6" s="23">
        <v>77681</v>
      </c>
      <c r="AG6" s="23">
        <v>42187</v>
      </c>
      <c r="AH6" s="23">
        <v>40257</v>
      </c>
      <c r="AI6" s="23">
        <v>63774</v>
      </c>
      <c r="AJ6" s="23"/>
      <c r="AK6" s="23"/>
      <c r="AL6" s="23">
        <v>71264</v>
      </c>
      <c r="AM6" s="23">
        <v>55320</v>
      </c>
      <c r="AN6" s="23">
        <v>36995</v>
      </c>
      <c r="AO6" s="23">
        <v>70282</v>
      </c>
      <c r="AP6" s="23">
        <v>242992</v>
      </c>
      <c r="AQ6" s="23">
        <v>147570</v>
      </c>
      <c r="AR6" s="23">
        <v>103551</v>
      </c>
      <c r="AS6" s="23">
        <v>103551</v>
      </c>
      <c r="AT6" s="23">
        <v>52161</v>
      </c>
      <c r="AU6" s="23">
        <v>91761</v>
      </c>
      <c r="AV6" s="23">
        <v>126637</v>
      </c>
      <c r="AW6" s="23"/>
      <c r="AX6" s="23">
        <v>38530</v>
      </c>
      <c r="AY6" s="23">
        <v>146736</v>
      </c>
      <c r="AZ6" s="23"/>
      <c r="BA6" s="23"/>
    </row>
    <row r="7" spans="1:53" x14ac:dyDescent="0.25">
      <c r="A7" s="236">
        <v>42949</v>
      </c>
      <c r="B7" s="200" t="s">
        <v>191</v>
      </c>
      <c r="C7" s="200" t="s">
        <v>192</v>
      </c>
      <c r="D7" s="200">
        <v>0</v>
      </c>
      <c r="E7" s="201">
        <v>175657</v>
      </c>
      <c r="F7" s="200">
        <v>0</v>
      </c>
      <c r="G7" s="250" t="s">
        <v>270</v>
      </c>
      <c r="H7" s="250">
        <v>65963736</v>
      </c>
      <c r="I7" s="250" t="s">
        <v>272</v>
      </c>
      <c r="J7" s="171"/>
      <c r="K7" s="194"/>
      <c r="L7" s="56" t="s">
        <v>86</v>
      </c>
      <c r="M7" s="23">
        <v>266200</v>
      </c>
      <c r="N7" s="23">
        <v>56000</v>
      </c>
      <c r="O7" s="23">
        <v>56000</v>
      </c>
      <c r="P7" s="23">
        <v>0</v>
      </c>
      <c r="Q7" s="23">
        <v>0</v>
      </c>
      <c r="R7" s="23"/>
      <c r="S7" s="23"/>
      <c r="T7" s="23"/>
      <c r="U7" s="23"/>
      <c r="V7" s="23"/>
      <c r="W7" s="23"/>
      <c r="X7" s="23"/>
      <c r="Y7" s="23"/>
      <c r="Z7" s="23">
        <v>558500</v>
      </c>
      <c r="AA7" s="23">
        <v>351860</v>
      </c>
      <c r="AB7" s="23"/>
      <c r="AC7" s="23"/>
      <c r="AD7" s="23"/>
      <c r="AE7" s="23"/>
      <c r="AF7" s="23"/>
      <c r="AG7" s="23"/>
      <c r="AH7" s="23"/>
      <c r="AI7" s="23">
        <v>101000</v>
      </c>
      <c r="AJ7" s="23">
        <v>100000</v>
      </c>
      <c r="AK7" s="23"/>
      <c r="AL7" s="23">
        <v>344000</v>
      </c>
      <c r="AM7" s="23">
        <v>350000</v>
      </c>
      <c r="AN7" s="23">
        <v>164000</v>
      </c>
      <c r="AO7" s="23">
        <v>0</v>
      </c>
      <c r="AP7" s="23" t="s">
        <v>363</v>
      </c>
      <c r="AQ7" s="23" t="s">
        <v>363</v>
      </c>
      <c r="AR7" s="23" t="s">
        <v>363</v>
      </c>
      <c r="AS7" s="23" t="s">
        <v>363</v>
      </c>
      <c r="AT7" s="23" t="s">
        <v>363</v>
      </c>
      <c r="AU7" s="23">
        <v>0</v>
      </c>
      <c r="AV7" s="23">
        <v>356012</v>
      </c>
      <c r="AW7" s="23"/>
      <c r="AX7" s="23">
        <v>416262</v>
      </c>
      <c r="AY7" s="23">
        <v>409806</v>
      </c>
      <c r="AZ7" s="23"/>
      <c r="BA7" s="23"/>
    </row>
    <row r="8" spans="1:53" x14ac:dyDescent="0.25">
      <c r="A8" s="236">
        <v>42949</v>
      </c>
      <c r="B8" s="200" t="s">
        <v>191</v>
      </c>
      <c r="C8" s="200" t="s">
        <v>192</v>
      </c>
      <c r="D8" s="201">
        <v>0</v>
      </c>
      <c r="E8" s="201">
        <v>15901</v>
      </c>
      <c r="F8" s="200">
        <v>0</v>
      </c>
      <c r="G8" s="250"/>
      <c r="H8" s="250"/>
      <c r="I8" s="250"/>
      <c r="J8" s="171"/>
      <c r="K8" s="194"/>
      <c r="L8" s="56" t="s">
        <v>87</v>
      </c>
      <c r="M8" s="23">
        <v>77600</v>
      </c>
      <c r="N8" s="23">
        <v>40000</v>
      </c>
      <c r="O8" s="23">
        <v>40000</v>
      </c>
      <c r="P8" s="23"/>
      <c r="Q8" s="23">
        <v>173000</v>
      </c>
      <c r="R8" s="23">
        <v>225000</v>
      </c>
      <c r="S8" s="23">
        <v>130000</v>
      </c>
      <c r="T8" s="23">
        <v>180000</v>
      </c>
      <c r="U8" s="23">
        <v>167000</v>
      </c>
      <c r="V8" s="23">
        <v>109500</v>
      </c>
      <c r="W8" s="23">
        <v>158800</v>
      </c>
      <c r="X8" s="23"/>
      <c r="Y8" s="23"/>
      <c r="Z8" s="23">
        <v>105000</v>
      </c>
      <c r="AA8" s="23">
        <v>192000</v>
      </c>
      <c r="AB8" s="23">
        <v>235000</v>
      </c>
      <c r="AC8" s="23">
        <v>71000</v>
      </c>
      <c r="AD8" s="23">
        <v>213100</v>
      </c>
      <c r="AE8" s="23"/>
      <c r="AF8" s="23"/>
      <c r="AG8" s="23"/>
      <c r="AH8" s="23">
        <v>10000</v>
      </c>
      <c r="AI8" s="23">
        <v>87000</v>
      </c>
      <c r="AJ8" s="23">
        <v>212700</v>
      </c>
      <c r="AK8" s="23">
        <v>47000</v>
      </c>
      <c r="AL8" s="23">
        <v>60000</v>
      </c>
      <c r="AM8" s="23">
        <v>112000</v>
      </c>
      <c r="AN8" s="23">
        <v>102238</v>
      </c>
      <c r="AO8" s="23">
        <v>59156</v>
      </c>
      <c r="AP8" s="23">
        <v>180494</v>
      </c>
      <c r="AQ8" s="23">
        <v>112092</v>
      </c>
      <c r="AR8" s="23">
        <v>149099</v>
      </c>
      <c r="AS8" s="23">
        <v>149099</v>
      </c>
      <c r="AT8" s="23">
        <v>85915</v>
      </c>
      <c r="AU8" s="23">
        <v>82543</v>
      </c>
      <c r="AV8" s="23">
        <v>112003</v>
      </c>
      <c r="AW8" s="23"/>
      <c r="AX8" s="23">
        <v>20000</v>
      </c>
      <c r="AY8" s="23">
        <v>80001</v>
      </c>
      <c r="AZ8" s="23"/>
      <c r="BA8" s="23"/>
    </row>
    <row r="9" spans="1:53" x14ac:dyDescent="0.25">
      <c r="A9" s="236">
        <v>42950</v>
      </c>
      <c r="B9" s="200" t="s">
        <v>191</v>
      </c>
      <c r="C9" s="200" t="s">
        <v>192</v>
      </c>
      <c r="D9" s="201">
        <v>0</v>
      </c>
      <c r="E9" s="201">
        <v>20000</v>
      </c>
      <c r="F9" s="200">
        <v>0</v>
      </c>
      <c r="G9" s="250" t="s">
        <v>204</v>
      </c>
      <c r="H9" s="250">
        <v>20350</v>
      </c>
      <c r="I9" s="250" t="s">
        <v>269</v>
      </c>
      <c r="J9" s="171"/>
      <c r="K9" s="194"/>
      <c r="L9" s="56" t="s">
        <v>88</v>
      </c>
      <c r="M9" s="23">
        <v>637591</v>
      </c>
      <c r="N9" s="23">
        <v>947457</v>
      </c>
      <c r="O9" s="23">
        <v>947457</v>
      </c>
      <c r="P9" s="23">
        <v>768107</v>
      </c>
      <c r="Q9" s="23">
        <v>847599</v>
      </c>
      <c r="R9" s="23">
        <v>677012</v>
      </c>
      <c r="S9" s="23">
        <v>799557</v>
      </c>
      <c r="T9" s="23">
        <v>1033949</v>
      </c>
      <c r="U9" s="23">
        <v>877319</v>
      </c>
      <c r="V9" s="23">
        <v>925960</v>
      </c>
      <c r="W9" s="23">
        <v>1047223</v>
      </c>
      <c r="X9" s="23"/>
      <c r="Y9" s="23"/>
      <c r="Z9" s="23">
        <v>1048256</v>
      </c>
      <c r="AA9" s="23">
        <v>831600</v>
      </c>
      <c r="AB9" s="23">
        <v>752496</v>
      </c>
      <c r="AC9" s="23">
        <v>760119</v>
      </c>
      <c r="AD9" s="23">
        <v>973162</v>
      </c>
      <c r="AE9" s="23">
        <v>1251846</v>
      </c>
      <c r="AF9" s="23">
        <v>1048448</v>
      </c>
      <c r="AG9" s="23">
        <v>970533</v>
      </c>
      <c r="AH9" s="23">
        <v>850238</v>
      </c>
      <c r="AI9" s="23">
        <v>1380775</v>
      </c>
      <c r="AJ9" s="23">
        <v>697846</v>
      </c>
      <c r="AK9" s="23"/>
      <c r="AL9" s="23">
        <v>737342</v>
      </c>
      <c r="AM9" s="23">
        <v>1060612</v>
      </c>
      <c r="AN9" s="23">
        <v>1189632</v>
      </c>
      <c r="AO9" s="23">
        <v>985166</v>
      </c>
      <c r="AP9" s="23">
        <v>1146857</v>
      </c>
      <c r="AQ9" s="23">
        <v>1051046</v>
      </c>
      <c r="AR9" s="23">
        <v>1268714</v>
      </c>
      <c r="AS9" s="23">
        <v>1268714</v>
      </c>
      <c r="AT9" s="23">
        <v>1041071</v>
      </c>
      <c r="AU9" s="23">
        <v>1252112</v>
      </c>
      <c r="AV9" s="23">
        <v>1048001</v>
      </c>
      <c r="AW9" s="23"/>
      <c r="AX9" s="23">
        <v>1062449</v>
      </c>
      <c r="AY9" s="23">
        <v>1305047</v>
      </c>
      <c r="AZ9" s="23"/>
      <c r="BA9" s="23"/>
    </row>
    <row r="10" spans="1:53" x14ac:dyDescent="0.25">
      <c r="A10" s="236">
        <v>42951</v>
      </c>
      <c r="B10" s="200" t="s">
        <v>191</v>
      </c>
      <c r="C10" s="200" t="s">
        <v>192</v>
      </c>
      <c r="D10" s="201">
        <v>0</v>
      </c>
      <c r="E10" s="201">
        <v>52282</v>
      </c>
      <c r="F10" s="200">
        <v>0</v>
      </c>
      <c r="G10" s="250" t="s">
        <v>274</v>
      </c>
      <c r="H10" s="250">
        <v>7780262</v>
      </c>
      <c r="I10" s="250" t="s">
        <v>217</v>
      </c>
      <c r="J10" s="171"/>
      <c r="K10" s="194"/>
      <c r="L10" s="56" t="s">
        <v>89</v>
      </c>
      <c r="M10" s="23">
        <v>328420</v>
      </c>
      <c r="N10" s="23">
        <v>320873</v>
      </c>
      <c r="O10" s="23">
        <v>320873</v>
      </c>
      <c r="P10" s="23">
        <v>530046</v>
      </c>
      <c r="Q10" s="23">
        <v>319443</v>
      </c>
      <c r="R10" s="23">
        <v>582652</v>
      </c>
      <c r="S10" s="23">
        <v>1171867</v>
      </c>
      <c r="T10" s="23">
        <v>424436</v>
      </c>
      <c r="U10" s="23">
        <v>882527</v>
      </c>
      <c r="V10" s="23">
        <v>559609</v>
      </c>
      <c r="W10" s="23">
        <v>743257</v>
      </c>
      <c r="X10" s="23"/>
      <c r="Y10" s="23"/>
      <c r="Z10" s="23">
        <v>873340</v>
      </c>
      <c r="AA10" s="23">
        <v>756865</v>
      </c>
      <c r="AB10" s="23">
        <v>865899</v>
      </c>
      <c r="AC10" s="23">
        <v>689823</v>
      </c>
      <c r="AD10" s="23">
        <v>334634</v>
      </c>
      <c r="AE10" s="23">
        <v>736873</v>
      </c>
      <c r="AF10" s="23">
        <v>940182</v>
      </c>
      <c r="AG10" s="23">
        <v>972612</v>
      </c>
      <c r="AH10" s="23">
        <v>814851</v>
      </c>
      <c r="AI10" s="23">
        <v>652773</v>
      </c>
      <c r="AJ10" s="23">
        <v>287452</v>
      </c>
      <c r="AK10" s="23">
        <v>358321</v>
      </c>
      <c r="AL10" s="23">
        <v>205533</v>
      </c>
      <c r="AM10" s="23">
        <v>502078</v>
      </c>
      <c r="AN10" s="23">
        <v>335210</v>
      </c>
      <c r="AO10" s="23">
        <v>986780</v>
      </c>
      <c r="AP10" s="23">
        <v>550534</v>
      </c>
      <c r="AQ10" s="23">
        <v>659901</v>
      </c>
      <c r="AR10" s="23">
        <v>406106</v>
      </c>
      <c r="AS10" s="23">
        <v>406106</v>
      </c>
      <c r="AT10" s="23">
        <v>840576</v>
      </c>
      <c r="AU10" s="23">
        <v>882871</v>
      </c>
      <c r="AV10" s="23">
        <v>336220</v>
      </c>
      <c r="AW10" s="23"/>
      <c r="AX10" s="23">
        <v>230549</v>
      </c>
      <c r="AY10" s="23">
        <v>523972</v>
      </c>
      <c r="AZ10" s="23"/>
      <c r="BA10" s="23"/>
    </row>
    <row r="11" spans="1:53" x14ac:dyDescent="0.25">
      <c r="A11" s="236">
        <v>42951</v>
      </c>
      <c r="B11" s="200" t="s">
        <v>191</v>
      </c>
      <c r="C11" s="200" t="s">
        <v>192</v>
      </c>
      <c r="D11" s="201">
        <v>0</v>
      </c>
      <c r="E11" s="201">
        <v>34690</v>
      </c>
      <c r="F11" s="200">
        <v>0</v>
      </c>
      <c r="G11" s="250" t="s">
        <v>1060</v>
      </c>
      <c r="H11" s="250">
        <v>84994206</v>
      </c>
      <c r="I11" s="250" t="s">
        <v>89</v>
      </c>
      <c r="J11" s="171"/>
      <c r="K11" s="194"/>
      <c r="L11" s="56" t="s">
        <v>90</v>
      </c>
      <c r="M11" s="23">
        <v>27460</v>
      </c>
      <c r="N11" s="23">
        <v>103610</v>
      </c>
      <c r="O11" s="23">
        <v>103610</v>
      </c>
      <c r="P11" s="23">
        <v>51330</v>
      </c>
      <c r="Q11" s="23">
        <v>113269</v>
      </c>
      <c r="R11" s="23">
        <v>27770</v>
      </c>
      <c r="S11" s="23">
        <v>27180</v>
      </c>
      <c r="T11" s="23">
        <v>51996</v>
      </c>
      <c r="U11" s="23">
        <v>175036</v>
      </c>
      <c r="V11" s="23">
        <v>17386</v>
      </c>
      <c r="W11" s="23">
        <v>19896</v>
      </c>
      <c r="X11" s="23"/>
      <c r="Y11" s="23"/>
      <c r="Z11" s="23">
        <v>325858</v>
      </c>
      <c r="AA11" s="23">
        <v>119840</v>
      </c>
      <c r="AB11" s="23">
        <v>5436</v>
      </c>
      <c r="AC11" s="23">
        <v>27330</v>
      </c>
      <c r="AD11" s="23">
        <v>34902</v>
      </c>
      <c r="AE11" s="23">
        <v>22822</v>
      </c>
      <c r="AF11" s="23">
        <v>38357</v>
      </c>
      <c r="AG11" s="23">
        <v>43862</v>
      </c>
      <c r="AH11" s="23">
        <v>49483</v>
      </c>
      <c r="AI11" s="23">
        <v>288111</v>
      </c>
      <c r="AJ11" s="23">
        <v>8770</v>
      </c>
      <c r="AK11" s="23"/>
      <c r="AL11" s="23">
        <v>520578</v>
      </c>
      <c r="AM11" s="23">
        <v>20850</v>
      </c>
      <c r="AN11" s="23">
        <v>8360</v>
      </c>
      <c r="AO11" s="23">
        <v>30950</v>
      </c>
      <c r="AP11" s="23">
        <v>14532</v>
      </c>
      <c r="AQ11" s="23">
        <v>27560</v>
      </c>
      <c r="AR11" s="23">
        <v>60868</v>
      </c>
      <c r="AS11" s="23">
        <v>60868</v>
      </c>
      <c r="AT11" s="23">
        <v>14909</v>
      </c>
      <c r="AU11" s="23">
        <v>33487</v>
      </c>
      <c r="AV11" s="23">
        <v>19560</v>
      </c>
      <c r="AW11" s="23"/>
      <c r="AX11" s="23">
        <v>13020</v>
      </c>
      <c r="AY11" s="23">
        <v>15510</v>
      </c>
      <c r="AZ11" s="23"/>
      <c r="BA11" s="23"/>
    </row>
    <row r="12" spans="1:53" x14ac:dyDescent="0.25">
      <c r="A12" s="236">
        <v>42951</v>
      </c>
      <c r="B12" s="200" t="s">
        <v>191</v>
      </c>
      <c r="C12" s="200" t="s">
        <v>192</v>
      </c>
      <c r="D12" s="201">
        <v>0</v>
      </c>
      <c r="E12" s="201">
        <v>32890</v>
      </c>
      <c r="F12" s="200">
        <v>0</v>
      </c>
      <c r="G12" s="250" t="s">
        <v>270</v>
      </c>
      <c r="H12" s="250">
        <v>65983080</v>
      </c>
      <c r="I12" s="250" t="s">
        <v>271</v>
      </c>
      <c r="J12" s="171"/>
      <c r="K12" s="194"/>
      <c r="L12" s="56" t="s">
        <v>121</v>
      </c>
      <c r="M12" s="23">
        <v>0</v>
      </c>
      <c r="N12" s="23">
        <v>0</v>
      </c>
      <c r="O12" s="23">
        <v>0</v>
      </c>
      <c r="P12" s="23">
        <v>180000</v>
      </c>
      <c r="Q12" s="23">
        <v>340000</v>
      </c>
      <c r="R12" s="23">
        <v>45800</v>
      </c>
      <c r="S12" s="23">
        <v>52758</v>
      </c>
      <c r="T12" s="23"/>
      <c r="U12" s="23"/>
      <c r="V12" s="23">
        <v>54589</v>
      </c>
      <c r="W12" s="23">
        <v>267000</v>
      </c>
      <c r="X12" s="23"/>
      <c r="Y12" s="23"/>
      <c r="Z12" s="23"/>
      <c r="AA12" s="23"/>
      <c r="AB12" s="23">
        <v>347000</v>
      </c>
      <c r="AC12" s="23">
        <v>45000</v>
      </c>
      <c r="AD12" s="23">
        <v>15000</v>
      </c>
      <c r="AE12" s="23">
        <v>120000</v>
      </c>
      <c r="AF12" s="23">
        <v>60000</v>
      </c>
      <c r="AG12" s="23"/>
      <c r="AH12" s="23"/>
      <c r="AI12" s="23">
        <v>0</v>
      </c>
      <c r="AJ12" s="23"/>
      <c r="AK12" s="23"/>
      <c r="AL12" s="23"/>
      <c r="AM12" s="23">
        <v>70000</v>
      </c>
      <c r="AN12" s="23">
        <v>135000</v>
      </c>
      <c r="AO12" s="23">
        <v>0</v>
      </c>
      <c r="AP12" s="23" t="s">
        <v>363</v>
      </c>
      <c r="AQ12" s="23">
        <v>30000</v>
      </c>
      <c r="AR12" s="23">
        <v>90000</v>
      </c>
      <c r="AS12" s="23">
        <v>90000</v>
      </c>
      <c r="AT12" s="23" t="s">
        <v>363</v>
      </c>
      <c r="AU12" s="23">
        <v>0</v>
      </c>
      <c r="AV12" s="23">
        <v>0</v>
      </c>
      <c r="AW12" s="23"/>
      <c r="AX12" s="23">
        <v>45000</v>
      </c>
      <c r="AY12" s="23">
        <v>0</v>
      </c>
      <c r="AZ12" s="23"/>
      <c r="BA12" s="23"/>
    </row>
    <row r="13" spans="1:53" x14ac:dyDescent="0.25">
      <c r="A13" s="236">
        <v>42954</v>
      </c>
      <c r="B13" s="200" t="s">
        <v>191</v>
      </c>
      <c r="C13" s="200" t="s">
        <v>192</v>
      </c>
      <c r="D13" s="201">
        <v>0</v>
      </c>
      <c r="E13" s="201">
        <v>55736</v>
      </c>
      <c r="F13" s="200">
        <v>0</v>
      </c>
      <c r="G13" s="250" t="s">
        <v>204</v>
      </c>
      <c r="H13" s="250">
        <v>20546</v>
      </c>
      <c r="I13" s="250" t="s">
        <v>285</v>
      </c>
      <c r="J13" s="171"/>
      <c r="K13" s="194"/>
      <c r="L13" s="56" t="s">
        <v>217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>
        <v>155800</v>
      </c>
      <c r="AI13" s="23"/>
      <c r="AJ13" s="23">
        <v>22048</v>
      </c>
      <c r="AK13" s="23"/>
      <c r="AL13" s="23">
        <v>76898</v>
      </c>
      <c r="AM13" s="23">
        <v>131378</v>
      </c>
      <c r="AN13" s="23">
        <v>34860</v>
      </c>
      <c r="AO13" s="23">
        <v>33620</v>
      </c>
      <c r="AP13" s="23">
        <v>125112</v>
      </c>
      <c r="AQ13" s="23">
        <v>64584</v>
      </c>
      <c r="AR13" s="23">
        <v>212687</v>
      </c>
      <c r="AS13" s="23">
        <v>212687</v>
      </c>
      <c r="AT13" s="23">
        <v>209247</v>
      </c>
      <c r="AU13" s="23">
        <v>64848</v>
      </c>
      <c r="AV13" s="23">
        <v>0</v>
      </c>
      <c r="AW13" s="23"/>
      <c r="AX13" s="23">
        <v>87283</v>
      </c>
      <c r="AY13" s="23">
        <v>128144</v>
      </c>
      <c r="AZ13" s="23"/>
      <c r="BA13" s="23"/>
    </row>
    <row r="14" spans="1:53" x14ac:dyDescent="0.25">
      <c r="A14" s="236">
        <v>42954</v>
      </c>
      <c r="B14" s="200" t="s">
        <v>191</v>
      </c>
      <c r="C14" s="200" t="s">
        <v>192</v>
      </c>
      <c r="D14" s="201">
        <v>0</v>
      </c>
      <c r="E14" s="201">
        <v>69870</v>
      </c>
      <c r="F14" s="200">
        <v>0</v>
      </c>
      <c r="G14" s="250" t="s">
        <v>204</v>
      </c>
      <c r="H14" s="250">
        <v>20576</v>
      </c>
      <c r="I14" s="250" t="s">
        <v>285</v>
      </c>
      <c r="J14" s="171"/>
      <c r="K14" s="194"/>
      <c r="L14" s="75" t="s">
        <v>91</v>
      </c>
      <c r="M14" s="76">
        <v>1737064</v>
      </c>
      <c r="N14" s="76">
        <v>1815495</v>
      </c>
      <c r="O14" s="76">
        <v>1815495</v>
      </c>
      <c r="P14" s="76">
        <v>1934628</v>
      </c>
      <c r="Q14" s="76">
        <v>2245050</v>
      </c>
      <c r="R14" s="76">
        <v>2078993</v>
      </c>
      <c r="S14" s="76">
        <v>2475588</v>
      </c>
      <c r="T14" s="76">
        <v>2000000</v>
      </c>
      <c r="U14" s="76">
        <v>2541076</v>
      </c>
      <c r="V14" s="76">
        <v>1980555</v>
      </c>
      <c r="W14" s="76">
        <v>2591377</v>
      </c>
      <c r="X14" s="76"/>
      <c r="Y14" s="76"/>
      <c r="Z14" s="76">
        <v>3379548</v>
      </c>
      <c r="AA14" s="76">
        <f>SUM(AA5:AA12)</f>
        <v>2586439</v>
      </c>
      <c r="AB14" s="76">
        <v>2807728</v>
      </c>
      <c r="AC14" s="76">
        <v>2012767</v>
      </c>
      <c r="AD14" s="76">
        <v>2066525</v>
      </c>
      <c r="AE14" s="76">
        <v>2559398</v>
      </c>
      <c r="AF14" s="76">
        <v>2536145</v>
      </c>
      <c r="AG14" s="76"/>
      <c r="AH14" s="76"/>
      <c r="AI14" s="76">
        <f>SUM(AI5:AI13)</f>
        <v>2760596</v>
      </c>
      <c r="AJ14" s="76">
        <f t="shared" ref="AJ14:AM14" si="0">SUM(AJ5:AJ13)</f>
        <v>1510370</v>
      </c>
      <c r="AK14" s="76">
        <f t="shared" si="0"/>
        <v>431441</v>
      </c>
      <c r="AL14" s="76">
        <f t="shared" si="0"/>
        <v>2392906</v>
      </c>
      <c r="AM14" s="76">
        <f t="shared" si="0"/>
        <v>2781371</v>
      </c>
      <c r="AN14" s="76">
        <f t="shared" ref="AN14" si="1">SUM(AN5:AN13)</f>
        <v>2607790</v>
      </c>
      <c r="AO14" s="76">
        <v>2480261</v>
      </c>
      <c r="AP14" s="76">
        <v>2564608</v>
      </c>
      <c r="AQ14" s="76">
        <v>2390184</v>
      </c>
      <c r="AR14" s="76">
        <v>2732497</v>
      </c>
      <c r="AS14" s="76">
        <v>2732497</v>
      </c>
      <c r="AT14" s="76">
        <v>2692799</v>
      </c>
      <c r="AU14" s="76">
        <v>2755072</v>
      </c>
      <c r="AV14" s="76">
        <f>SUM(AV5:AV13)</f>
        <v>2342742</v>
      </c>
      <c r="AW14" s="76"/>
      <c r="AX14" s="76">
        <v>2089468</v>
      </c>
      <c r="AY14" s="76">
        <v>2926825</v>
      </c>
      <c r="AZ14" s="76"/>
      <c r="BA14" s="76"/>
    </row>
    <row r="15" spans="1:53" x14ac:dyDescent="0.25">
      <c r="A15" s="236">
        <v>42955</v>
      </c>
      <c r="B15" s="200" t="s">
        <v>191</v>
      </c>
      <c r="C15" s="200" t="s">
        <v>192</v>
      </c>
      <c r="D15" s="201">
        <v>0</v>
      </c>
      <c r="E15" s="201">
        <v>70110</v>
      </c>
      <c r="F15" s="200">
        <v>0</v>
      </c>
      <c r="G15" s="250" t="s">
        <v>1060</v>
      </c>
      <c r="H15" s="250">
        <v>85103748</v>
      </c>
      <c r="I15" s="250" t="s">
        <v>89</v>
      </c>
      <c r="J15" s="171"/>
      <c r="K15" s="194"/>
      <c r="L15" s="20"/>
      <c r="M15" s="20"/>
      <c r="N15" s="20"/>
      <c r="O15" s="20"/>
      <c r="P15" s="20"/>
      <c r="Q15" s="20"/>
      <c r="R15" s="20"/>
      <c r="S15" s="60"/>
      <c r="T15" s="60"/>
      <c r="U15" s="60"/>
      <c r="V15" s="60"/>
    </row>
    <row r="16" spans="1:53" x14ac:dyDescent="0.25">
      <c r="A16" s="236">
        <v>42955</v>
      </c>
      <c r="B16" s="200" t="s">
        <v>191</v>
      </c>
      <c r="C16" s="200" t="s">
        <v>192</v>
      </c>
      <c r="D16" s="201">
        <v>0</v>
      </c>
      <c r="E16" s="201">
        <v>15510</v>
      </c>
      <c r="F16" s="200">
        <v>0</v>
      </c>
      <c r="G16" s="250" t="s">
        <v>270</v>
      </c>
      <c r="H16" s="250">
        <v>6600769</v>
      </c>
      <c r="I16" s="250" t="s">
        <v>275</v>
      </c>
      <c r="J16" s="171"/>
      <c r="K16" s="194"/>
      <c r="L16" s="3"/>
      <c r="M16"/>
      <c r="N16"/>
      <c r="O16"/>
      <c r="P16"/>
      <c r="Q16"/>
      <c r="R16"/>
      <c r="S16" s="60"/>
      <c r="T16" s="60"/>
      <c r="U16" s="60"/>
      <c r="V16" s="60"/>
    </row>
    <row r="17" spans="1:22" x14ac:dyDescent="0.25">
      <c r="A17" s="236">
        <v>42955</v>
      </c>
      <c r="B17" s="200" t="s">
        <v>191</v>
      </c>
      <c r="C17" s="200" t="s">
        <v>192</v>
      </c>
      <c r="D17" s="201">
        <v>0</v>
      </c>
      <c r="E17" s="201">
        <v>28430</v>
      </c>
      <c r="F17" s="200">
        <v>0</v>
      </c>
      <c r="G17" s="250" t="s">
        <v>270</v>
      </c>
      <c r="H17" s="250">
        <v>66000768</v>
      </c>
      <c r="I17" s="250" t="s">
        <v>272</v>
      </c>
      <c r="J17" s="171"/>
      <c r="K17" s="194"/>
      <c r="L17" s="3"/>
      <c r="M17" s="5"/>
      <c r="N17"/>
      <c r="O17"/>
      <c r="P17"/>
      <c r="Q17"/>
      <c r="R17"/>
      <c r="S17" s="60"/>
      <c r="T17" s="60"/>
      <c r="U17" s="60"/>
      <c r="V17" s="60"/>
    </row>
    <row r="18" spans="1:22" x14ac:dyDescent="0.25">
      <c r="A18" s="236">
        <v>42955</v>
      </c>
      <c r="B18" s="200" t="s">
        <v>191</v>
      </c>
      <c r="C18" s="200" t="s">
        <v>192</v>
      </c>
      <c r="D18" s="200">
        <v>0</v>
      </c>
      <c r="E18" s="201">
        <v>14762</v>
      </c>
      <c r="F18" s="200">
        <v>0</v>
      </c>
      <c r="G18" s="250" t="s">
        <v>270</v>
      </c>
      <c r="H18" s="250">
        <v>66000767</v>
      </c>
      <c r="I18" s="250" t="s">
        <v>273</v>
      </c>
      <c r="J18" s="171"/>
      <c r="K18" s="194"/>
      <c r="L18" s="3"/>
      <c r="M18" s="5"/>
      <c r="N18"/>
      <c r="O18"/>
      <c r="P18"/>
      <c r="Q18"/>
      <c r="R18"/>
      <c r="S18" s="60"/>
      <c r="T18" s="60"/>
      <c r="U18" s="60"/>
      <c r="V18" s="60"/>
    </row>
    <row r="19" spans="1:22" x14ac:dyDescent="0.25">
      <c r="A19" s="236">
        <v>42955</v>
      </c>
      <c r="B19" s="200" t="s">
        <v>191</v>
      </c>
      <c r="C19" s="200" t="s">
        <v>192</v>
      </c>
      <c r="D19" s="200">
        <v>0</v>
      </c>
      <c r="E19" s="201">
        <v>8790</v>
      </c>
      <c r="F19" s="200">
        <v>0</v>
      </c>
      <c r="G19" s="250" t="s">
        <v>270</v>
      </c>
      <c r="H19" s="250">
        <v>66000766</v>
      </c>
      <c r="I19" s="250" t="s">
        <v>271</v>
      </c>
      <c r="J19" s="171"/>
      <c r="K19" s="56" t="s">
        <v>273</v>
      </c>
      <c r="L19" s="3"/>
      <c r="M19" s="5"/>
      <c r="N19"/>
      <c r="O19"/>
      <c r="P19"/>
      <c r="Q19"/>
      <c r="R19"/>
      <c r="S19" s="60"/>
      <c r="T19" s="60"/>
      <c r="U19" s="60"/>
      <c r="V19" s="60"/>
    </row>
    <row r="20" spans="1:22" x14ac:dyDescent="0.25">
      <c r="A20" s="236">
        <v>42955</v>
      </c>
      <c r="B20" s="200" t="s">
        <v>191</v>
      </c>
      <c r="C20" s="200" t="s">
        <v>192</v>
      </c>
      <c r="D20" s="200">
        <v>0</v>
      </c>
      <c r="E20" s="201">
        <v>124726</v>
      </c>
      <c r="F20" s="200">
        <v>0</v>
      </c>
      <c r="G20" s="250" t="s">
        <v>270</v>
      </c>
      <c r="H20" s="250">
        <v>66000765</v>
      </c>
      <c r="I20" s="250" t="s">
        <v>272</v>
      </c>
      <c r="J20" s="171"/>
      <c r="K20" s="56" t="s">
        <v>271</v>
      </c>
      <c r="L20" s="3"/>
      <c r="M20" s="5"/>
      <c r="N20"/>
      <c r="O20"/>
      <c r="P20"/>
      <c r="Q20"/>
      <c r="R20"/>
      <c r="S20" s="60"/>
      <c r="T20" s="60"/>
      <c r="U20" s="60"/>
      <c r="V20" s="60"/>
    </row>
    <row r="21" spans="1:22" x14ac:dyDescent="0.25">
      <c r="A21" s="236">
        <v>42955</v>
      </c>
      <c r="B21" s="200" t="s">
        <v>191</v>
      </c>
      <c r="C21" s="200" t="s">
        <v>192</v>
      </c>
      <c r="D21" s="201">
        <v>0</v>
      </c>
      <c r="E21" s="201">
        <v>65360</v>
      </c>
      <c r="F21" s="200">
        <v>0</v>
      </c>
      <c r="G21" s="250" t="s">
        <v>1059</v>
      </c>
      <c r="H21" s="250">
        <v>10524</v>
      </c>
      <c r="I21" s="250" t="s">
        <v>272</v>
      </c>
      <c r="J21" s="171"/>
      <c r="K21" s="56" t="s">
        <v>285</v>
      </c>
      <c r="L21" s="3"/>
      <c r="M21" s="5"/>
      <c r="N21"/>
      <c r="O21"/>
      <c r="P21"/>
      <c r="Q21"/>
      <c r="R21"/>
      <c r="S21" s="60"/>
      <c r="T21" s="60"/>
      <c r="U21" s="60"/>
      <c r="V21" s="60"/>
    </row>
    <row r="22" spans="1:22" x14ac:dyDescent="0.25">
      <c r="A22" s="236">
        <v>42955</v>
      </c>
      <c r="B22" s="200" t="s">
        <v>191</v>
      </c>
      <c r="C22" s="200" t="s">
        <v>192</v>
      </c>
      <c r="D22" s="201">
        <v>0</v>
      </c>
      <c r="E22" s="201">
        <v>26220</v>
      </c>
      <c r="F22" s="200">
        <v>0</v>
      </c>
      <c r="G22" s="250" t="s">
        <v>1059</v>
      </c>
      <c r="H22" s="250">
        <v>10525</v>
      </c>
      <c r="I22" s="250" t="s">
        <v>273</v>
      </c>
      <c r="J22" s="171"/>
      <c r="K22" s="56" t="s">
        <v>269</v>
      </c>
      <c r="L22" s="3"/>
      <c r="M22" s="5"/>
      <c r="N22"/>
      <c r="O22"/>
      <c r="P22"/>
      <c r="Q22"/>
      <c r="R22"/>
      <c r="S22" s="60"/>
      <c r="T22" s="60"/>
      <c r="U22" s="60"/>
      <c r="V22" s="60"/>
    </row>
    <row r="23" spans="1:22" x14ac:dyDescent="0.25">
      <c r="A23" s="236">
        <v>42958</v>
      </c>
      <c r="B23" s="200" t="s">
        <v>191</v>
      </c>
      <c r="C23" s="200" t="s">
        <v>192</v>
      </c>
      <c r="D23" s="201">
        <v>0</v>
      </c>
      <c r="E23" s="201">
        <v>32362</v>
      </c>
      <c r="F23" s="200">
        <v>0</v>
      </c>
      <c r="G23" s="250" t="s">
        <v>270</v>
      </c>
      <c r="H23" s="250">
        <v>66026344</v>
      </c>
      <c r="I23" s="250" t="s">
        <v>272</v>
      </c>
      <c r="J23" s="171"/>
      <c r="K23" s="56" t="s">
        <v>272</v>
      </c>
      <c r="L23" s="3"/>
      <c r="M23" s="5"/>
      <c r="N23"/>
      <c r="O23"/>
      <c r="P23"/>
      <c r="Q23"/>
      <c r="R23"/>
      <c r="S23" s="60"/>
      <c r="T23" s="60"/>
      <c r="U23" s="60"/>
      <c r="V23" s="60"/>
    </row>
    <row r="24" spans="1:22" x14ac:dyDescent="0.25">
      <c r="A24" s="236">
        <v>42958</v>
      </c>
      <c r="B24" s="200" t="s">
        <v>191</v>
      </c>
      <c r="C24" s="200" t="s">
        <v>192</v>
      </c>
      <c r="D24" s="201">
        <v>0</v>
      </c>
      <c r="E24" s="201">
        <v>15980</v>
      </c>
      <c r="F24" s="200">
        <v>0</v>
      </c>
      <c r="G24" s="250" t="s">
        <v>1061</v>
      </c>
      <c r="H24" s="250">
        <v>15890654</v>
      </c>
      <c r="I24" s="250" t="s">
        <v>89</v>
      </c>
      <c r="J24" s="171"/>
      <c r="K24" s="56" t="s">
        <v>89</v>
      </c>
      <c r="L24" s="20"/>
      <c r="M24" s="5"/>
      <c r="N24" s="20"/>
      <c r="O24" s="20"/>
      <c r="P24" s="20"/>
      <c r="Q24" s="20"/>
      <c r="R24" s="20"/>
      <c r="S24" s="60"/>
      <c r="T24" s="60"/>
      <c r="U24" s="60"/>
      <c r="V24" s="60"/>
    </row>
    <row r="25" spans="1:22" x14ac:dyDescent="0.25">
      <c r="A25" s="236">
        <v>42958</v>
      </c>
      <c r="B25" s="200" t="s">
        <v>191</v>
      </c>
      <c r="C25" s="200" t="s">
        <v>192</v>
      </c>
      <c r="D25" s="201">
        <v>0</v>
      </c>
      <c r="E25" s="201">
        <v>20000</v>
      </c>
      <c r="F25" s="200">
        <v>0</v>
      </c>
      <c r="G25" s="250" t="s">
        <v>204</v>
      </c>
      <c r="H25" s="250">
        <v>409913</v>
      </c>
      <c r="I25" s="250" t="s">
        <v>269</v>
      </c>
      <c r="J25" s="171"/>
      <c r="K25" s="56" t="s">
        <v>275</v>
      </c>
      <c r="L25" s="20"/>
      <c r="M25" s="5"/>
      <c r="N25" s="20"/>
      <c r="O25" s="20"/>
      <c r="P25" s="20"/>
      <c r="Q25" s="20"/>
      <c r="R25" s="20"/>
      <c r="S25" s="60"/>
      <c r="T25" s="60"/>
      <c r="U25" s="60"/>
      <c r="V25" s="60"/>
    </row>
    <row r="26" spans="1:22" x14ac:dyDescent="0.25">
      <c r="A26" s="236">
        <v>42963</v>
      </c>
      <c r="B26" s="200" t="s">
        <v>191</v>
      </c>
      <c r="C26" s="200" t="s">
        <v>192</v>
      </c>
      <c r="D26" s="201">
        <v>0</v>
      </c>
      <c r="E26" s="201">
        <v>67590</v>
      </c>
      <c r="F26" s="200">
        <v>0</v>
      </c>
      <c r="G26" s="250" t="s">
        <v>1059</v>
      </c>
      <c r="H26" s="250">
        <v>10745</v>
      </c>
      <c r="I26" s="250" t="s">
        <v>272</v>
      </c>
      <c r="J26" s="171"/>
      <c r="K26" s="56" t="s">
        <v>121</v>
      </c>
      <c r="L26" s="20"/>
      <c r="M26" s="5"/>
      <c r="N26" s="20"/>
      <c r="O26" s="20"/>
      <c r="P26" s="20"/>
      <c r="Q26" s="20"/>
      <c r="R26" s="20"/>
      <c r="S26" s="60"/>
      <c r="T26" s="60"/>
      <c r="U26" s="60"/>
      <c r="V26" s="60"/>
    </row>
    <row r="27" spans="1:22" x14ac:dyDescent="0.25">
      <c r="A27" s="236">
        <v>42963</v>
      </c>
      <c r="B27" s="200" t="s">
        <v>191</v>
      </c>
      <c r="C27" s="200" t="s">
        <v>192</v>
      </c>
      <c r="D27" s="201">
        <v>0</v>
      </c>
      <c r="E27" s="201">
        <v>44170</v>
      </c>
      <c r="F27" s="200">
        <v>0</v>
      </c>
      <c r="G27" s="250" t="s">
        <v>1059</v>
      </c>
      <c r="H27" s="250">
        <v>10746</v>
      </c>
      <c r="I27" s="250" t="s">
        <v>273</v>
      </c>
      <c r="J27" s="171"/>
      <c r="K27" s="56" t="s">
        <v>217</v>
      </c>
      <c r="L27" s="20"/>
      <c r="M27" s="5"/>
      <c r="N27" s="20"/>
      <c r="O27" s="20"/>
      <c r="P27" s="20"/>
      <c r="Q27" s="20"/>
      <c r="R27" s="20"/>
      <c r="S27" s="60"/>
      <c r="T27" s="60"/>
      <c r="U27" s="60"/>
      <c r="V27" s="60"/>
    </row>
    <row r="28" spans="1:22" x14ac:dyDescent="0.25">
      <c r="A28" s="236">
        <v>42963</v>
      </c>
      <c r="B28" s="200" t="s">
        <v>191</v>
      </c>
      <c r="C28" s="200" t="s">
        <v>192</v>
      </c>
      <c r="D28" s="201">
        <v>0</v>
      </c>
      <c r="E28" s="201">
        <v>72347</v>
      </c>
      <c r="F28" s="200">
        <v>0</v>
      </c>
      <c r="G28" s="250" t="s">
        <v>204</v>
      </c>
      <c r="H28" s="250">
        <v>21452</v>
      </c>
      <c r="I28" s="250" t="s">
        <v>285</v>
      </c>
      <c r="J28" s="171"/>
      <c r="K28" s="194"/>
      <c r="L28" s="20"/>
      <c r="M28" s="5"/>
      <c r="N28" s="20"/>
      <c r="O28" s="20"/>
      <c r="P28" s="20"/>
      <c r="Q28" s="20"/>
      <c r="R28" s="20"/>
      <c r="S28" s="60"/>
      <c r="T28" s="60"/>
      <c r="U28" s="60"/>
      <c r="V28" s="60"/>
    </row>
    <row r="29" spans="1:22" x14ac:dyDescent="0.25">
      <c r="A29" s="236">
        <v>42963</v>
      </c>
      <c r="B29" s="200" t="s">
        <v>191</v>
      </c>
      <c r="C29" s="200" t="s">
        <v>192</v>
      </c>
      <c r="D29" s="201">
        <v>0</v>
      </c>
      <c r="E29" s="201">
        <v>72897</v>
      </c>
      <c r="F29" s="200">
        <v>0</v>
      </c>
      <c r="G29" s="250" t="s">
        <v>204</v>
      </c>
      <c r="H29" s="250">
        <v>21330</v>
      </c>
      <c r="I29" s="250" t="s">
        <v>285</v>
      </c>
      <c r="J29" s="171"/>
      <c r="K29" s="194"/>
      <c r="L29" s="20"/>
      <c r="M29" s="5"/>
      <c r="N29" s="20"/>
      <c r="O29" s="20"/>
      <c r="P29" s="20"/>
      <c r="Q29" s="20"/>
      <c r="R29" s="20"/>
      <c r="S29" s="60"/>
      <c r="T29" s="60"/>
      <c r="U29" s="60"/>
      <c r="V29" s="60"/>
    </row>
    <row r="30" spans="1:22" x14ac:dyDescent="0.25">
      <c r="A30" s="236">
        <v>42964</v>
      </c>
      <c r="B30" s="200" t="s">
        <v>191</v>
      </c>
      <c r="C30" s="200" t="s">
        <v>192</v>
      </c>
      <c r="D30" s="200">
        <v>0</v>
      </c>
      <c r="E30" s="201">
        <v>13010</v>
      </c>
      <c r="F30" s="200">
        <v>0</v>
      </c>
      <c r="G30" s="250" t="s">
        <v>270</v>
      </c>
      <c r="H30" s="250">
        <v>66042620</v>
      </c>
      <c r="I30" s="250" t="s">
        <v>271</v>
      </c>
      <c r="J30" s="171"/>
      <c r="K30" s="194"/>
      <c r="L30" s="20"/>
      <c r="M30" s="5"/>
      <c r="N30" s="20"/>
      <c r="O30" s="20"/>
      <c r="P30" s="20"/>
      <c r="Q30" s="20"/>
      <c r="R30" s="20"/>
      <c r="S30" s="60"/>
      <c r="T30" s="60"/>
      <c r="U30" s="60"/>
      <c r="V30" s="60"/>
    </row>
    <row r="31" spans="1:22" x14ac:dyDescent="0.25">
      <c r="A31" s="236">
        <v>42964</v>
      </c>
      <c r="B31" s="200" t="s">
        <v>191</v>
      </c>
      <c r="C31" s="200" t="s">
        <v>192</v>
      </c>
      <c r="D31" s="200">
        <v>0</v>
      </c>
      <c r="E31" s="201">
        <v>22640</v>
      </c>
      <c r="F31" s="200">
        <v>0</v>
      </c>
      <c r="G31" s="250" t="s">
        <v>270</v>
      </c>
      <c r="H31" s="250">
        <v>66026669</v>
      </c>
      <c r="I31" s="250" t="s">
        <v>217</v>
      </c>
      <c r="J31" s="171"/>
      <c r="K31" s="194"/>
      <c r="L31" s="20"/>
      <c r="M31" s="5"/>
      <c r="N31" s="20"/>
      <c r="O31" s="20"/>
      <c r="P31" s="20"/>
      <c r="Q31" s="20"/>
      <c r="R31" s="20"/>
      <c r="S31" s="60"/>
      <c r="T31" s="60"/>
      <c r="U31" s="60"/>
      <c r="V31" s="60"/>
    </row>
    <row r="32" spans="1:22" s="144" customFormat="1" x14ac:dyDescent="0.25">
      <c r="A32" s="236">
        <v>42964</v>
      </c>
      <c r="B32" s="200" t="s">
        <v>191</v>
      </c>
      <c r="C32" s="200" t="s">
        <v>192</v>
      </c>
      <c r="D32" s="200">
        <v>0</v>
      </c>
      <c r="E32" s="201">
        <v>32042</v>
      </c>
      <c r="F32" s="200">
        <v>0</v>
      </c>
      <c r="G32" s="250" t="s">
        <v>270</v>
      </c>
      <c r="H32" s="250">
        <v>66026668</v>
      </c>
      <c r="I32" s="250" t="s">
        <v>273</v>
      </c>
      <c r="J32" s="171"/>
      <c r="K32" s="194"/>
      <c r="M32" s="5"/>
      <c r="S32" s="60"/>
      <c r="T32" s="60"/>
      <c r="U32" s="60"/>
      <c r="V32" s="60"/>
    </row>
    <row r="33" spans="1:22" s="144" customFormat="1" x14ac:dyDescent="0.25">
      <c r="A33" s="236">
        <v>42964</v>
      </c>
      <c r="B33" s="174" t="s">
        <v>191</v>
      </c>
      <c r="C33" s="203" t="s">
        <v>192</v>
      </c>
      <c r="D33" s="204">
        <v>0</v>
      </c>
      <c r="E33" s="201">
        <v>161131</v>
      </c>
      <c r="F33" s="200">
        <v>0</v>
      </c>
      <c r="G33" s="250" t="s">
        <v>270</v>
      </c>
      <c r="H33" s="250">
        <v>66026667</v>
      </c>
      <c r="I33" s="250" t="s">
        <v>272</v>
      </c>
      <c r="J33" s="171"/>
      <c r="K33" s="194"/>
      <c r="M33" s="5"/>
      <c r="S33" s="60"/>
      <c r="T33" s="60"/>
      <c r="U33" s="60"/>
      <c r="V33" s="60"/>
    </row>
    <row r="34" spans="1:22" s="144" customFormat="1" x14ac:dyDescent="0.25">
      <c r="A34" s="236">
        <v>42970</v>
      </c>
      <c r="B34" s="174" t="s">
        <v>191</v>
      </c>
      <c r="C34" s="203" t="s">
        <v>192</v>
      </c>
      <c r="D34" s="204">
        <v>0</v>
      </c>
      <c r="E34" s="201">
        <v>53222</v>
      </c>
      <c r="F34" s="200">
        <v>0</v>
      </c>
      <c r="G34" s="250" t="s">
        <v>274</v>
      </c>
      <c r="H34" s="250">
        <v>8066323</v>
      </c>
      <c r="I34" s="250" t="s">
        <v>217</v>
      </c>
      <c r="J34" s="171"/>
      <c r="K34" s="194"/>
      <c r="M34" s="5"/>
      <c r="S34" s="60"/>
      <c r="T34" s="60"/>
      <c r="U34" s="60"/>
      <c r="V34" s="60"/>
    </row>
    <row r="35" spans="1:22" s="144" customFormat="1" x14ac:dyDescent="0.25">
      <c r="A35" s="236">
        <v>42970</v>
      </c>
      <c r="B35" s="174" t="s">
        <v>191</v>
      </c>
      <c r="C35" s="203" t="s">
        <v>192</v>
      </c>
      <c r="D35" s="192">
        <v>0</v>
      </c>
      <c r="E35" s="201">
        <v>36880</v>
      </c>
      <c r="F35" s="200">
        <v>0</v>
      </c>
      <c r="G35" s="250" t="s">
        <v>270</v>
      </c>
      <c r="H35" s="250">
        <v>66072505</v>
      </c>
      <c r="I35" s="250" t="s">
        <v>271</v>
      </c>
      <c r="J35" s="171"/>
      <c r="K35" s="194"/>
      <c r="M35" s="5"/>
      <c r="S35" s="60"/>
      <c r="T35" s="60"/>
      <c r="U35" s="60"/>
      <c r="V35" s="60"/>
    </row>
    <row r="36" spans="1:22" s="144" customFormat="1" x14ac:dyDescent="0.25">
      <c r="A36" s="236">
        <v>42970</v>
      </c>
      <c r="B36" s="174" t="s">
        <v>191</v>
      </c>
      <c r="C36" s="203" t="s">
        <v>192</v>
      </c>
      <c r="D36" s="192">
        <v>0</v>
      </c>
      <c r="E36" s="201">
        <v>39495</v>
      </c>
      <c r="F36" s="200">
        <v>0</v>
      </c>
      <c r="G36" s="250" t="s">
        <v>270</v>
      </c>
      <c r="H36" s="250">
        <v>66072504</v>
      </c>
      <c r="I36" s="250" t="s">
        <v>273</v>
      </c>
      <c r="J36" s="171"/>
      <c r="K36" s="194"/>
      <c r="M36" s="5"/>
      <c r="S36" s="60"/>
      <c r="T36" s="60"/>
      <c r="U36" s="60"/>
      <c r="V36" s="60"/>
    </row>
    <row r="37" spans="1:22" s="144" customFormat="1" x14ac:dyDescent="0.25">
      <c r="A37" s="236">
        <v>42970</v>
      </c>
      <c r="B37" s="174" t="s">
        <v>191</v>
      </c>
      <c r="C37" s="203" t="s">
        <v>192</v>
      </c>
      <c r="D37" s="192">
        <v>0</v>
      </c>
      <c r="E37" s="201">
        <v>172259</v>
      </c>
      <c r="F37" s="200">
        <v>0</v>
      </c>
      <c r="G37" s="250" t="s">
        <v>270</v>
      </c>
      <c r="H37" s="250">
        <v>66072503</v>
      </c>
      <c r="I37" s="250" t="s">
        <v>272</v>
      </c>
      <c r="J37" s="171"/>
      <c r="K37" s="194"/>
      <c r="M37" s="5"/>
      <c r="S37" s="60"/>
      <c r="T37" s="60"/>
      <c r="U37" s="60"/>
      <c r="V37" s="60"/>
    </row>
    <row r="38" spans="1:22" s="144" customFormat="1" x14ac:dyDescent="0.25">
      <c r="A38" s="236">
        <v>42970</v>
      </c>
      <c r="B38" s="174" t="s">
        <v>191</v>
      </c>
      <c r="C38" s="203" t="s">
        <v>192</v>
      </c>
      <c r="D38" s="192">
        <v>0</v>
      </c>
      <c r="E38" s="201">
        <v>23320</v>
      </c>
      <c r="F38" s="200">
        <v>0</v>
      </c>
      <c r="G38" s="250" t="s">
        <v>1059</v>
      </c>
      <c r="H38" s="250">
        <v>10959</v>
      </c>
      <c r="I38" s="250" t="s">
        <v>273</v>
      </c>
      <c r="J38" s="171"/>
      <c r="K38" s="194"/>
      <c r="M38" s="5"/>
      <c r="S38" s="60"/>
      <c r="T38" s="60"/>
      <c r="U38" s="60"/>
      <c r="V38" s="60"/>
    </row>
    <row r="39" spans="1:22" s="144" customFormat="1" x14ac:dyDescent="0.25">
      <c r="A39" s="236">
        <v>42970</v>
      </c>
      <c r="B39" s="174" t="s">
        <v>191</v>
      </c>
      <c r="C39" s="203" t="s">
        <v>192</v>
      </c>
      <c r="D39" s="192">
        <v>0</v>
      </c>
      <c r="E39" s="201">
        <v>49900</v>
      </c>
      <c r="F39" s="200">
        <v>0</v>
      </c>
      <c r="G39" s="250" t="s">
        <v>1059</v>
      </c>
      <c r="H39" s="250">
        <v>10958</v>
      </c>
      <c r="I39" s="250" t="s">
        <v>272</v>
      </c>
      <c r="J39" s="171"/>
      <c r="K39" s="194"/>
      <c r="M39" s="5"/>
      <c r="S39" s="60"/>
      <c r="T39" s="60"/>
      <c r="U39" s="60"/>
      <c r="V39" s="60"/>
    </row>
    <row r="40" spans="1:22" s="144" customFormat="1" x14ac:dyDescent="0.25">
      <c r="A40" s="236">
        <v>42970</v>
      </c>
      <c r="B40" s="174" t="s">
        <v>191</v>
      </c>
      <c r="C40" s="203" t="s">
        <v>192</v>
      </c>
      <c r="D40" s="192">
        <v>0</v>
      </c>
      <c r="E40" s="201">
        <v>20001</v>
      </c>
      <c r="F40" s="200">
        <v>0</v>
      </c>
      <c r="G40" s="250" t="s">
        <v>204</v>
      </c>
      <c r="H40" s="250">
        <v>2122</v>
      </c>
      <c r="I40" s="250" t="s">
        <v>269</v>
      </c>
      <c r="J40" s="171"/>
      <c r="K40" s="194"/>
      <c r="M40" s="5"/>
      <c r="S40" s="60"/>
      <c r="T40" s="60"/>
      <c r="U40" s="60"/>
      <c r="V40" s="60"/>
    </row>
    <row r="41" spans="1:22" s="144" customFormat="1" x14ac:dyDescent="0.25">
      <c r="A41" s="236">
        <v>42975</v>
      </c>
      <c r="B41" s="174" t="s">
        <v>191</v>
      </c>
      <c r="C41" s="203" t="s">
        <v>192</v>
      </c>
      <c r="D41" s="192">
        <v>0</v>
      </c>
      <c r="E41" s="201">
        <v>75856</v>
      </c>
      <c r="F41" s="200">
        <v>0</v>
      </c>
      <c r="G41" s="250" t="s">
        <v>204</v>
      </c>
      <c r="H41" s="250">
        <v>22269</v>
      </c>
      <c r="I41" s="250" t="s">
        <v>285</v>
      </c>
      <c r="J41" s="171"/>
      <c r="K41" s="194"/>
      <c r="M41" s="5"/>
      <c r="S41" s="60"/>
      <c r="T41" s="60"/>
      <c r="U41" s="60"/>
      <c r="V41" s="60"/>
    </row>
    <row r="42" spans="1:22" s="144" customFormat="1" x14ac:dyDescent="0.25">
      <c r="A42" s="236">
        <v>42975</v>
      </c>
      <c r="B42" s="174" t="s">
        <v>191</v>
      </c>
      <c r="C42" s="203" t="s">
        <v>192</v>
      </c>
      <c r="D42" s="192">
        <v>0</v>
      </c>
      <c r="E42" s="201">
        <v>63100</v>
      </c>
      <c r="F42" s="174">
        <v>0</v>
      </c>
      <c r="G42" s="250" t="s">
        <v>204</v>
      </c>
      <c r="H42" s="250">
        <v>22207</v>
      </c>
      <c r="I42" s="250" t="s">
        <v>285</v>
      </c>
      <c r="J42" s="171"/>
      <c r="K42" s="194"/>
      <c r="M42" s="5"/>
      <c r="S42" s="60"/>
      <c r="T42" s="60"/>
      <c r="U42" s="60"/>
      <c r="V42" s="60"/>
    </row>
    <row r="43" spans="1:22" s="144" customFormat="1" x14ac:dyDescent="0.25">
      <c r="A43" s="236">
        <v>42976</v>
      </c>
      <c r="B43" s="174" t="s">
        <v>191</v>
      </c>
      <c r="C43" s="203" t="s">
        <v>192</v>
      </c>
      <c r="D43" s="192">
        <v>0</v>
      </c>
      <c r="E43" s="201">
        <v>7790</v>
      </c>
      <c r="F43" s="174">
        <v>0</v>
      </c>
      <c r="G43" s="250" t="s">
        <v>1060</v>
      </c>
      <c r="H43" s="250">
        <v>442950707</v>
      </c>
      <c r="I43" s="250" t="s">
        <v>89</v>
      </c>
      <c r="J43" s="171"/>
      <c r="K43" s="194"/>
      <c r="M43" s="5"/>
      <c r="S43" s="60"/>
      <c r="T43" s="60"/>
      <c r="U43" s="60"/>
      <c r="V43" s="60"/>
    </row>
    <row r="44" spans="1:22" s="144" customFormat="1" x14ac:dyDescent="0.25">
      <c r="A44" s="236">
        <v>42976</v>
      </c>
      <c r="B44" s="174" t="s">
        <v>191</v>
      </c>
      <c r="C44" s="203" t="s">
        <v>192</v>
      </c>
      <c r="D44" s="192">
        <v>0</v>
      </c>
      <c r="E44" s="204">
        <v>128369</v>
      </c>
      <c r="F44" s="174">
        <v>0</v>
      </c>
      <c r="G44" s="250" t="s">
        <v>1060</v>
      </c>
      <c r="H44" s="250">
        <v>85468991</v>
      </c>
      <c r="I44" s="250" t="s">
        <v>89</v>
      </c>
      <c r="J44" s="171"/>
      <c r="K44" s="194"/>
      <c r="M44" s="5"/>
      <c r="S44" s="60"/>
      <c r="T44" s="60"/>
      <c r="U44" s="60"/>
      <c r="V44" s="60"/>
    </row>
    <row r="45" spans="1:22" s="144" customFormat="1" x14ac:dyDescent="0.25">
      <c r="A45" s="236">
        <v>42976</v>
      </c>
      <c r="B45" s="174" t="s">
        <v>191</v>
      </c>
      <c r="C45" s="203" t="s">
        <v>192</v>
      </c>
      <c r="D45" s="192">
        <v>0</v>
      </c>
      <c r="E45" s="204">
        <v>4800</v>
      </c>
      <c r="F45" s="174">
        <v>0</v>
      </c>
      <c r="G45" s="250" t="s">
        <v>1062</v>
      </c>
      <c r="H45" s="250"/>
      <c r="I45" s="250" t="s">
        <v>271</v>
      </c>
      <c r="J45" s="171"/>
      <c r="K45" s="194"/>
      <c r="M45" s="5"/>
      <c r="S45" s="60"/>
      <c r="T45" s="60"/>
      <c r="U45" s="60"/>
      <c r="V45" s="60"/>
    </row>
    <row r="46" spans="1:22" s="144" customFormat="1" x14ac:dyDescent="0.25">
      <c r="A46" s="236">
        <v>42976</v>
      </c>
      <c r="B46" s="174" t="s">
        <v>191</v>
      </c>
      <c r="C46" s="203" t="s">
        <v>192</v>
      </c>
      <c r="D46" s="192">
        <v>0</v>
      </c>
      <c r="E46" s="204">
        <v>52800</v>
      </c>
      <c r="F46" s="174">
        <v>0</v>
      </c>
      <c r="G46" s="250" t="s">
        <v>1059</v>
      </c>
      <c r="H46" s="250">
        <v>11126</v>
      </c>
      <c r="I46" s="250" t="s">
        <v>272</v>
      </c>
      <c r="J46" s="171"/>
      <c r="K46" s="194"/>
      <c r="M46" s="5"/>
      <c r="S46" s="60"/>
      <c r="T46" s="60"/>
      <c r="U46" s="60"/>
      <c r="V46" s="60"/>
    </row>
    <row r="47" spans="1:22" s="144" customFormat="1" x14ac:dyDescent="0.25">
      <c r="A47" s="236">
        <v>42976</v>
      </c>
      <c r="B47" s="200" t="s">
        <v>191</v>
      </c>
      <c r="C47" s="200" t="s">
        <v>192</v>
      </c>
      <c r="D47" s="201">
        <v>0</v>
      </c>
      <c r="E47" s="201">
        <v>31000</v>
      </c>
      <c r="F47" s="200">
        <v>0</v>
      </c>
      <c r="G47" s="250" t="s">
        <v>1059</v>
      </c>
      <c r="H47" s="250">
        <v>11127</v>
      </c>
      <c r="I47" s="250" t="s">
        <v>273</v>
      </c>
      <c r="J47" s="171"/>
      <c r="M47" s="5"/>
      <c r="S47" s="60"/>
      <c r="T47" s="60"/>
      <c r="U47" s="60"/>
      <c r="V47" s="60"/>
    </row>
    <row r="48" spans="1:22" s="144" customFormat="1" ht="14.45" x14ac:dyDescent="0.3">
      <c r="A48" s="236">
        <v>42976</v>
      </c>
      <c r="B48" s="200" t="s">
        <v>183</v>
      </c>
      <c r="C48" s="200" t="s">
        <v>248</v>
      </c>
      <c r="D48" s="201">
        <v>0</v>
      </c>
      <c r="E48" s="201">
        <v>0</v>
      </c>
      <c r="F48" s="200">
        <v>500000</v>
      </c>
      <c r="G48" s="250"/>
      <c r="H48" s="250"/>
      <c r="I48" s="250"/>
      <c r="J48" s="171"/>
      <c r="M48" s="5"/>
      <c r="S48" s="60"/>
      <c r="T48" s="60"/>
      <c r="U48" s="60"/>
      <c r="V48" s="60"/>
    </row>
    <row r="49" spans="1:22" s="144" customFormat="1" x14ac:dyDescent="0.25">
      <c r="A49" s="236">
        <v>42977</v>
      </c>
      <c r="B49" s="200" t="s">
        <v>191</v>
      </c>
      <c r="C49" s="200" t="s">
        <v>192</v>
      </c>
      <c r="D49" s="201">
        <v>0</v>
      </c>
      <c r="E49" s="201">
        <v>20000</v>
      </c>
      <c r="F49" s="200">
        <v>0</v>
      </c>
      <c r="G49" s="250" t="s">
        <v>204</v>
      </c>
      <c r="H49" s="250">
        <v>412864</v>
      </c>
      <c r="I49" s="250" t="s">
        <v>269</v>
      </c>
      <c r="J49" s="171"/>
      <c r="M49" s="5"/>
      <c r="S49" s="60"/>
      <c r="T49" s="60"/>
      <c r="U49" s="60"/>
      <c r="V49" s="60"/>
    </row>
    <row r="50" spans="1:22" s="144" customFormat="1" x14ac:dyDescent="0.25">
      <c r="A50" s="236">
        <v>42977</v>
      </c>
      <c r="B50" s="200" t="s">
        <v>191</v>
      </c>
      <c r="C50" s="200" t="s">
        <v>192</v>
      </c>
      <c r="D50" s="201">
        <v>0</v>
      </c>
      <c r="E50" s="201">
        <v>21886</v>
      </c>
      <c r="F50" s="200">
        <v>0</v>
      </c>
      <c r="G50" s="250" t="s">
        <v>274</v>
      </c>
      <c r="H50" s="250">
        <v>8088706</v>
      </c>
      <c r="I50" s="250" t="s">
        <v>271</v>
      </c>
      <c r="J50" s="171"/>
      <c r="M50" s="5"/>
      <c r="S50" s="60"/>
      <c r="T50" s="60"/>
      <c r="U50" s="60"/>
      <c r="V50" s="60"/>
    </row>
    <row r="51" spans="1:22" s="144" customFormat="1" x14ac:dyDescent="0.25">
      <c r="A51" s="236">
        <v>42977</v>
      </c>
      <c r="B51" s="174" t="s">
        <v>191</v>
      </c>
      <c r="C51" s="203" t="s">
        <v>192</v>
      </c>
      <c r="D51" s="204">
        <v>0</v>
      </c>
      <c r="E51" s="204">
        <v>58910</v>
      </c>
      <c r="F51" s="174">
        <v>0</v>
      </c>
      <c r="G51" s="250" t="s">
        <v>270</v>
      </c>
      <c r="H51" s="250">
        <v>66104016</v>
      </c>
      <c r="I51" s="250" t="s">
        <v>273</v>
      </c>
      <c r="J51" s="171"/>
      <c r="M51" s="5"/>
      <c r="S51" s="60"/>
      <c r="T51" s="60"/>
      <c r="U51" s="60"/>
      <c r="V51" s="60"/>
    </row>
    <row r="52" spans="1:22" s="144" customFormat="1" x14ac:dyDescent="0.25">
      <c r="A52" s="236">
        <v>42977</v>
      </c>
      <c r="B52" s="174" t="s">
        <v>191</v>
      </c>
      <c r="C52" s="203" t="s">
        <v>192</v>
      </c>
      <c r="D52" s="204">
        <v>0</v>
      </c>
      <c r="E52" s="204">
        <v>123355</v>
      </c>
      <c r="F52" s="174">
        <v>0</v>
      </c>
      <c r="G52" s="250" t="s">
        <v>270</v>
      </c>
      <c r="H52" s="250">
        <v>66104015</v>
      </c>
      <c r="I52" s="250" t="s">
        <v>272</v>
      </c>
      <c r="J52" s="171"/>
      <c r="M52" s="5"/>
      <c r="S52" s="60"/>
      <c r="T52" s="60"/>
      <c r="U52" s="60"/>
      <c r="V52" s="60"/>
    </row>
    <row r="53" spans="1:22" s="144" customFormat="1" ht="14.45" x14ac:dyDescent="0.3">
      <c r="A53" s="236"/>
      <c r="B53" s="174"/>
      <c r="C53" s="203"/>
      <c r="D53" s="69"/>
      <c r="E53" s="204"/>
      <c r="F53" s="174"/>
      <c r="G53" s="250"/>
      <c r="H53" s="250"/>
      <c r="I53" s="250"/>
      <c r="J53" s="171"/>
      <c r="M53" s="5"/>
      <c r="S53" s="60"/>
      <c r="T53" s="60"/>
      <c r="U53" s="60"/>
      <c r="V53" s="60"/>
    </row>
    <row r="54" spans="1:22" s="144" customFormat="1" ht="14.45" x14ac:dyDescent="0.3">
      <c r="A54" s="236"/>
      <c r="B54" s="174"/>
      <c r="C54" s="203"/>
      <c r="D54" s="69"/>
      <c r="E54" s="204"/>
      <c r="F54" s="174"/>
      <c r="G54" s="250"/>
      <c r="H54" s="250"/>
      <c r="I54" s="250"/>
      <c r="J54" s="171"/>
      <c r="M54" s="5"/>
      <c r="S54" s="60"/>
      <c r="T54" s="60"/>
      <c r="U54" s="60"/>
      <c r="V54" s="60"/>
    </row>
    <row r="55" spans="1:22" s="144" customFormat="1" ht="14.45" x14ac:dyDescent="0.3">
      <c r="A55" s="236"/>
      <c r="B55" s="174"/>
      <c r="C55" s="203"/>
      <c r="D55" s="69"/>
      <c r="E55" s="204"/>
      <c r="F55" s="174"/>
      <c r="G55" s="250"/>
      <c r="H55" s="250"/>
      <c r="I55" s="250"/>
      <c r="J55" s="171"/>
      <c r="M55" s="5"/>
      <c r="S55" s="60"/>
      <c r="T55" s="60"/>
      <c r="U55" s="60"/>
      <c r="V55" s="60"/>
    </row>
    <row r="56" spans="1:22" s="144" customFormat="1" ht="14.45" x14ac:dyDescent="0.3">
      <c r="A56" s="236"/>
      <c r="B56" s="174"/>
      <c r="C56" s="203"/>
      <c r="D56" s="69"/>
      <c r="E56" s="204"/>
      <c r="F56" s="174"/>
      <c r="G56" s="250"/>
      <c r="H56" s="250"/>
      <c r="I56" s="250"/>
      <c r="J56" s="171"/>
      <c r="M56" s="5"/>
      <c r="S56" s="60"/>
      <c r="T56" s="60"/>
      <c r="U56" s="60"/>
      <c r="V56" s="60"/>
    </row>
    <row r="57" spans="1:22" s="144" customFormat="1" ht="14.45" x14ac:dyDescent="0.3">
      <c r="A57" s="236"/>
      <c r="B57" s="174"/>
      <c r="C57" s="203"/>
      <c r="D57" s="69"/>
      <c r="E57" s="204"/>
      <c r="F57" s="174"/>
      <c r="G57" s="250"/>
      <c r="H57" s="250"/>
      <c r="I57" s="250"/>
      <c r="J57" s="171"/>
      <c r="M57" s="5"/>
      <c r="S57" s="60"/>
      <c r="T57" s="60"/>
      <c r="U57" s="60"/>
      <c r="V57" s="60"/>
    </row>
    <row r="58" spans="1:22" s="144" customFormat="1" ht="14.45" x14ac:dyDescent="0.3">
      <c r="A58" s="236"/>
      <c r="B58" s="174"/>
      <c r="C58" s="203"/>
      <c r="D58" s="69"/>
      <c r="E58" s="204"/>
      <c r="F58" s="174"/>
      <c r="G58" s="250"/>
      <c r="H58" s="250"/>
      <c r="I58" s="250"/>
      <c r="J58" s="171"/>
      <c r="M58" s="5"/>
      <c r="S58" s="60"/>
      <c r="T58" s="60"/>
      <c r="U58" s="60"/>
      <c r="V58" s="60"/>
    </row>
    <row r="59" spans="1:22" s="144" customFormat="1" x14ac:dyDescent="0.25">
      <c r="A59" s="236"/>
      <c r="B59" s="174"/>
      <c r="C59" s="203"/>
      <c r="D59" s="192"/>
      <c r="E59" s="204"/>
      <c r="F59" s="174"/>
      <c r="G59" s="250"/>
      <c r="H59" s="250"/>
      <c r="I59" s="250"/>
      <c r="J59" s="171"/>
      <c r="M59" s="5"/>
      <c r="S59" s="60"/>
      <c r="T59" s="60"/>
      <c r="U59" s="60"/>
      <c r="V59" s="60"/>
    </row>
    <row r="60" spans="1:22" s="144" customFormat="1" x14ac:dyDescent="0.25">
      <c r="A60" s="236"/>
      <c r="B60" s="174"/>
      <c r="C60" s="203"/>
      <c r="D60" s="69"/>
      <c r="E60" s="204"/>
      <c r="F60" s="174"/>
      <c r="G60" s="250"/>
      <c r="H60" s="250"/>
      <c r="I60" s="250"/>
      <c r="J60" s="171"/>
      <c r="M60" s="5"/>
      <c r="S60" s="60"/>
      <c r="T60" s="60"/>
      <c r="U60" s="60"/>
      <c r="V60" s="60"/>
    </row>
    <row r="61" spans="1:22" s="144" customFormat="1" x14ac:dyDescent="0.25">
      <c r="A61" s="174"/>
      <c r="B61" s="174"/>
      <c r="C61" s="203"/>
      <c r="D61" s="69"/>
      <c r="E61" s="204"/>
      <c r="F61" s="174"/>
      <c r="G61" s="250"/>
      <c r="H61" s="250"/>
      <c r="I61" s="250"/>
      <c r="J61" s="171"/>
      <c r="M61" s="5"/>
      <c r="S61" s="60"/>
      <c r="T61" s="60"/>
      <c r="U61" s="60"/>
      <c r="V61" s="60"/>
    </row>
    <row r="62" spans="1:22" s="144" customFormat="1" x14ac:dyDescent="0.25">
      <c r="A62" s="203">
        <v>42950</v>
      </c>
      <c r="B62" s="174" t="s">
        <v>191</v>
      </c>
      <c r="C62" s="203" t="s">
        <v>220</v>
      </c>
      <c r="D62" s="69">
        <v>0</v>
      </c>
      <c r="E62" s="204">
        <v>30000</v>
      </c>
      <c r="F62" s="174"/>
      <c r="G62" s="250"/>
      <c r="H62" s="250"/>
      <c r="I62" s="250"/>
      <c r="J62" s="171"/>
      <c r="M62" s="5"/>
      <c r="S62" s="60"/>
      <c r="T62" s="60"/>
      <c r="U62" s="60"/>
      <c r="V62" s="60"/>
    </row>
    <row r="63" spans="1:22" s="144" customFormat="1" x14ac:dyDescent="0.25">
      <c r="A63" s="203">
        <v>42954</v>
      </c>
      <c r="B63" s="174" t="s">
        <v>191</v>
      </c>
      <c r="C63" s="203" t="s">
        <v>220</v>
      </c>
      <c r="D63" s="69">
        <v>0</v>
      </c>
      <c r="E63" s="204">
        <v>30000</v>
      </c>
      <c r="F63" s="174"/>
      <c r="G63" s="250"/>
      <c r="H63" s="250"/>
      <c r="I63" s="250"/>
      <c r="J63" s="171"/>
      <c r="M63" s="5"/>
      <c r="S63" s="60"/>
      <c r="T63" s="60"/>
      <c r="U63" s="60"/>
      <c r="V63" s="60"/>
    </row>
    <row r="64" spans="1:22" s="144" customFormat="1" x14ac:dyDescent="0.25">
      <c r="A64" s="203">
        <v>42957</v>
      </c>
      <c r="B64" s="174" t="s">
        <v>191</v>
      </c>
      <c r="C64" s="203" t="s">
        <v>220</v>
      </c>
      <c r="D64" s="69">
        <v>0</v>
      </c>
      <c r="E64" s="204">
        <v>40000</v>
      </c>
      <c r="F64" s="174"/>
      <c r="G64" s="250"/>
      <c r="H64" s="250"/>
      <c r="I64" s="250"/>
      <c r="J64" s="171"/>
      <c r="M64" s="5"/>
      <c r="S64" s="60"/>
      <c r="T64" s="60"/>
      <c r="U64" s="60"/>
      <c r="V64" s="60"/>
    </row>
    <row r="65" spans="1:22" s="144" customFormat="1" x14ac:dyDescent="0.25">
      <c r="A65" s="203">
        <v>42964</v>
      </c>
      <c r="B65" s="174" t="s">
        <v>191</v>
      </c>
      <c r="C65" s="203" t="s">
        <v>220</v>
      </c>
      <c r="D65" s="69">
        <v>0</v>
      </c>
      <c r="E65" s="204">
        <v>50000</v>
      </c>
      <c r="F65" s="174"/>
      <c r="G65" s="250"/>
      <c r="H65" s="250"/>
      <c r="I65" s="250"/>
      <c r="J65" s="171"/>
      <c r="M65" s="5"/>
      <c r="S65" s="60"/>
      <c r="T65" s="60"/>
      <c r="U65" s="60"/>
      <c r="V65" s="60"/>
    </row>
    <row r="66" spans="1:22" s="144" customFormat="1" x14ac:dyDescent="0.25">
      <c r="A66" s="203">
        <v>42964</v>
      </c>
      <c r="B66" s="174" t="s">
        <v>191</v>
      </c>
      <c r="C66" s="203" t="s">
        <v>220</v>
      </c>
      <c r="D66" s="69">
        <v>0</v>
      </c>
      <c r="E66" s="204">
        <v>30000</v>
      </c>
      <c r="F66" s="174"/>
      <c r="G66" s="250"/>
      <c r="H66" s="250"/>
      <c r="I66" s="250"/>
      <c r="J66" s="171"/>
      <c r="M66" s="5"/>
      <c r="S66" s="60"/>
      <c r="T66" s="60"/>
      <c r="U66" s="60"/>
      <c r="V66" s="60"/>
    </row>
    <row r="67" spans="1:22" s="144" customFormat="1" x14ac:dyDescent="0.25">
      <c r="A67" s="203">
        <v>42965</v>
      </c>
      <c r="B67" s="174" t="s">
        <v>191</v>
      </c>
      <c r="C67" s="203" t="s">
        <v>220</v>
      </c>
      <c r="D67" s="192">
        <v>0</v>
      </c>
      <c r="E67" s="204">
        <v>35000</v>
      </c>
      <c r="F67" s="174"/>
      <c r="G67" s="250"/>
      <c r="H67" s="250"/>
      <c r="I67" s="250"/>
      <c r="J67" s="171"/>
      <c r="M67" s="5"/>
      <c r="S67" s="60"/>
      <c r="T67" s="60"/>
      <c r="U67" s="60"/>
      <c r="V67" s="60"/>
    </row>
    <row r="68" spans="1:22" s="144" customFormat="1" x14ac:dyDescent="0.25">
      <c r="A68" s="203">
        <v>42969</v>
      </c>
      <c r="B68" s="174" t="s">
        <v>191</v>
      </c>
      <c r="C68" s="203" t="s">
        <v>220</v>
      </c>
      <c r="D68" s="192">
        <v>0</v>
      </c>
      <c r="E68" s="204">
        <v>30000</v>
      </c>
      <c r="F68" s="174"/>
      <c r="G68" s="250"/>
      <c r="H68" s="250"/>
      <c r="I68" s="250"/>
      <c r="J68" s="171"/>
      <c r="M68" s="5"/>
      <c r="S68" s="60"/>
      <c r="T68" s="60"/>
      <c r="U68" s="60"/>
      <c r="V68" s="60"/>
    </row>
    <row r="69" spans="1:22" s="144" customFormat="1" x14ac:dyDescent="0.25">
      <c r="A69" s="174">
        <v>42975</v>
      </c>
      <c r="B69" s="174" t="s">
        <v>191</v>
      </c>
      <c r="C69" s="203" t="s">
        <v>220</v>
      </c>
      <c r="D69" s="192">
        <v>0</v>
      </c>
      <c r="E69" s="204">
        <v>30000</v>
      </c>
      <c r="F69" s="174"/>
      <c r="G69" s="250"/>
      <c r="H69" s="250"/>
      <c r="I69" s="250"/>
      <c r="J69" s="171"/>
      <c r="M69" s="5"/>
      <c r="S69" s="60"/>
      <c r="T69" s="60"/>
      <c r="U69" s="60"/>
      <c r="V69" s="60"/>
    </row>
    <row r="70" spans="1:22" s="144" customFormat="1" x14ac:dyDescent="0.25">
      <c r="A70" s="174">
        <v>42975</v>
      </c>
      <c r="B70" s="174" t="s">
        <v>191</v>
      </c>
      <c r="C70" s="203" t="s">
        <v>220</v>
      </c>
      <c r="D70" s="192">
        <v>0</v>
      </c>
      <c r="E70" s="204">
        <v>50000</v>
      </c>
      <c r="F70" s="174"/>
      <c r="G70" s="250"/>
      <c r="H70" s="250"/>
      <c r="I70" s="250"/>
      <c r="J70" s="171"/>
      <c r="M70" s="5"/>
      <c r="S70" s="60"/>
      <c r="T70" s="60"/>
      <c r="U70" s="60"/>
      <c r="V70" s="60"/>
    </row>
    <row r="71" spans="1:22" s="144" customFormat="1" x14ac:dyDescent="0.25">
      <c r="A71" s="174">
        <v>42978</v>
      </c>
      <c r="B71" s="174" t="s">
        <v>191</v>
      </c>
      <c r="C71" s="203" t="s">
        <v>220</v>
      </c>
      <c r="D71" s="192">
        <v>0</v>
      </c>
      <c r="E71" s="204">
        <v>100000</v>
      </c>
      <c r="F71" s="174"/>
      <c r="G71" s="250"/>
      <c r="H71" s="250"/>
      <c r="I71" s="250"/>
      <c r="J71" s="171"/>
      <c r="M71" s="5"/>
      <c r="S71" s="60"/>
      <c r="T71" s="60"/>
      <c r="U71" s="60"/>
      <c r="V71" s="60"/>
    </row>
    <row r="72" spans="1:22" s="144" customFormat="1" x14ac:dyDescent="0.25">
      <c r="A72" s="174"/>
      <c r="B72" s="174"/>
      <c r="C72" s="203"/>
      <c r="D72" s="192"/>
      <c r="E72" s="204"/>
      <c r="F72" s="174"/>
      <c r="G72" s="250"/>
      <c r="H72" s="250"/>
      <c r="I72" s="250"/>
      <c r="J72" s="171"/>
      <c r="M72" s="5"/>
      <c r="S72" s="60"/>
      <c r="T72" s="60"/>
      <c r="U72" s="60"/>
      <c r="V72" s="60"/>
    </row>
    <row r="73" spans="1:22" s="144" customFormat="1" x14ac:dyDescent="0.25">
      <c r="A73" s="174"/>
      <c r="B73" s="174"/>
      <c r="C73" s="203"/>
      <c r="D73" s="192"/>
      <c r="E73" s="204"/>
      <c r="F73" s="174"/>
      <c r="G73" s="250"/>
      <c r="H73" s="250"/>
      <c r="I73" s="250"/>
      <c r="J73" s="171"/>
      <c r="K73" s="5"/>
      <c r="M73" s="5"/>
      <c r="S73" s="60"/>
      <c r="T73" s="60"/>
      <c r="U73" s="60"/>
      <c r="V73" s="60"/>
    </row>
    <row r="74" spans="1:22" s="144" customFormat="1" x14ac:dyDescent="0.25">
      <c r="A74" s="203">
        <v>42952</v>
      </c>
      <c r="B74" s="174"/>
      <c r="C74" s="203" t="s">
        <v>1063</v>
      </c>
      <c r="D74" s="192"/>
      <c r="E74" s="204">
        <v>7000</v>
      </c>
      <c r="F74" s="174"/>
      <c r="G74" s="250" t="s">
        <v>1064</v>
      </c>
      <c r="H74" s="250">
        <v>58234</v>
      </c>
      <c r="I74" s="250" t="s">
        <v>272</v>
      </c>
      <c r="J74" s="252"/>
      <c r="K74" s="5"/>
      <c r="M74" s="5"/>
      <c r="S74" s="60"/>
      <c r="T74" s="60"/>
      <c r="U74" s="60"/>
      <c r="V74" s="60"/>
    </row>
    <row r="75" spans="1:22" s="144" customFormat="1" x14ac:dyDescent="0.25">
      <c r="A75" s="203">
        <v>42950</v>
      </c>
      <c r="B75" s="174"/>
      <c r="C75" s="203" t="s">
        <v>1065</v>
      </c>
      <c r="D75" s="192"/>
      <c r="E75" s="204">
        <v>2000</v>
      </c>
      <c r="F75" s="174"/>
      <c r="G75" s="250" t="s">
        <v>1066</v>
      </c>
      <c r="H75" s="250">
        <v>2176899</v>
      </c>
      <c r="I75" s="250" t="s">
        <v>89</v>
      </c>
      <c r="J75" s="252"/>
      <c r="K75" s="5"/>
      <c r="M75" s="5"/>
      <c r="S75" s="60"/>
      <c r="T75" s="60"/>
      <c r="U75" s="60"/>
      <c r="V75" s="60"/>
    </row>
    <row r="76" spans="1:22" s="144" customFormat="1" x14ac:dyDescent="0.25">
      <c r="A76" s="203">
        <v>42948</v>
      </c>
      <c r="B76" s="174"/>
      <c r="C76" s="203" t="s">
        <v>1067</v>
      </c>
      <c r="D76" s="192"/>
      <c r="E76" s="204">
        <v>3200</v>
      </c>
      <c r="F76" s="174"/>
      <c r="G76" s="250" t="s">
        <v>1064</v>
      </c>
      <c r="H76" s="250">
        <v>58102</v>
      </c>
      <c r="I76" s="250" t="s">
        <v>271</v>
      </c>
      <c r="J76" s="252"/>
      <c r="K76" s="5"/>
      <c r="M76" s="5"/>
      <c r="S76" s="60"/>
      <c r="T76" s="60"/>
      <c r="U76" s="60"/>
      <c r="V76" s="60"/>
    </row>
    <row r="77" spans="1:22" s="144" customFormat="1" x14ac:dyDescent="0.25">
      <c r="A77" s="203">
        <v>42950</v>
      </c>
      <c r="B77" s="174"/>
      <c r="C77" s="203" t="s">
        <v>1068</v>
      </c>
      <c r="D77" s="192"/>
      <c r="E77" s="204">
        <v>2200</v>
      </c>
      <c r="F77" s="174"/>
      <c r="G77" s="250" t="s">
        <v>1069</v>
      </c>
      <c r="H77" s="250">
        <v>189560</v>
      </c>
      <c r="I77" s="250" t="s">
        <v>271</v>
      </c>
      <c r="J77" s="252"/>
      <c r="K77" s="5"/>
      <c r="M77" s="5"/>
      <c r="S77" s="60"/>
      <c r="T77" s="60"/>
      <c r="U77" s="60"/>
      <c r="V77" s="60"/>
    </row>
    <row r="78" spans="1:22" s="144" customFormat="1" x14ac:dyDescent="0.25">
      <c r="A78" s="203">
        <v>42955</v>
      </c>
      <c r="B78" s="174"/>
      <c r="C78" s="203" t="s">
        <v>1070</v>
      </c>
      <c r="D78" s="192"/>
      <c r="E78" s="204">
        <v>1000</v>
      </c>
      <c r="F78" s="174"/>
      <c r="G78" s="250" t="s">
        <v>1062</v>
      </c>
      <c r="H78" s="250">
        <v>211721</v>
      </c>
      <c r="I78" s="250" t="s">
        <v>89</v>
      </c>
      <c r="J78" s="251"/>
      <c r="K78" s="5"/>
      <c r="M78" s="5"/>
      <c r="S78" s="60"/>
      <c r="T78" s="60"/>
      <c r="U78" s="60"/>
      <c r="V78" s="60"/>
    </row>
    <row r="79" spans="1:22" s="144" customFormat="1" x14ac:dyDescent="0.25">
      <c r="A79" s="203">
        <v>42956</v>
      </c>
      <c r="B79" s="174"/>
      <c r="C79" s="203" t="s">
        <v>1071</v>
      </c>
      <c r="D79" s="204"/>
      <c r="E79" s="204">
        <v>10000</v>
      </c>
      <c r="F79" s="174"/>
      <c r="G79" s="250" t="s">
        <v>1072</v>
      </c>
      <c r="H79" s="250">
        <v>51137</v>
      </c>
      <c r="I79" s="250" t="s">
        <v>89</v>
      </c>
      <c r="J79" s="251"/>
      <c r="K79" s="5"/>
      <c r="M79" s="5"/>
      <c r="S79" s="60"/>
      <c r="T79" s="60"/>
      <c r="U79" s="60"/>
      <c r="V79" s="60"/>
    </row>
    <row r="80" spans="1:22" s="144" customFormat="1" x14ac:dyDescent="0.25">
      <c r="A80" s="203">
        <v>42970</v>
      </c>
      <c r="B80" s="174"/>
      <c r="C80" s="203" t="s">
        <v>1070</v>
      </c>
      <c r="D80" s="204"/>
      <c r="E80" s="204">
        <v>1000</v>
      </c>
      <c r="F80" s="174"/>
      <c r="G80" s="250" t="s">
        <v>1062</v>
      </c>
      <c r="H80" s="250">
        <v>222261</v>
      </c>
      <c r="I80" s="250" t="s">
        <v>89</v>
      </c>
      <c r="J80" s="251"/>
      <c r="K80" s="5"/>
      <c r="M80" s="5"/>
      <c r="S80" s="60"/>
      <c r="T80" s="60"/>
      <c r="U80" s="60"/>
      <c r="V80" s="60"/>
    </row>
    <row r="81" spans="1:22" s="144" customFormat="1" x14ac:dyDescent="0.25">
      <c r="A81" s="203">
        <v>42970</v>
      </c>
      <c r="B81" s="174"/>
      <c r="C81" s="203" t="s">
        <v>1073</v>
      </c>
      <c r="D81" s="204"/>
      <c r="E81" s="204">
        <v>1200</v>
      </c>
      <c r="F81" s="174"/>
      <c r="G81" s="250" t="s">
        <v>1074</v>
      </c>
      <c r="H81" s="250">
        <v>391164</v>
      </c>
      <c r="I81" s="250" t="s">
        <v>89</v>
      </c>
      <c r="J81" s="251"/>
      <c r="K81" s="5"/>
      <c r="M81" s="5"/>
      <c r="S81" s="60"/>
      <c r="T81" s="60"/>
      <c r="U81" s="60"/>
      <c r="V81" s="60"/>
    </row>
    <row r="82" spans="1:22" s="144" customFormat="1" x14ac:dyDescent="0.25">
      <c r="A82" s="203">
        <v>42958</v>
      </c>
      <c r="B82" s="174"/>
      <c r="C82" s="203" t="s">
        <v>1073</v>
      </c>
      <c r="D82" s="204"/>
      <c r="E82" s="204">
        <v>1400</v>
      </c>
      <c r="F82" s="174"/>
      <c r="G82" s="250" t="s">
        <v>1074</v>
      </c>
      <c r="H82" s="250">
        <v>545568</v>
      </c>
      <c r="I82" s="250" t="s">
        <v>89</v>
      </c>
      <c r="J82" s="251"/>
      <c r="K82" s="5"/>
      <c r="M82" s="5"/>
      <c r="S82" s="60"/>
      <c r="T82" s="60"/>
      <c r="U82" s="60"/>
      <c r="V82" s="60"/>
    </row>
    <row r="83" spans="1:22" s="144" customFormat="1" x14ac:dyDescent="0.25">
      <c r="A83" s="203">
        <v>42958</v>
      </c>
      <c r="B83" s="174"/>
      <c r="C83" s="203" t="s">
        <v>1075</v>
      </c>
      <c r="D83" s="204"/>
      <c r="E83" s="204">
        <v>6500</v>
      </c>
      <c r="F83" s="174"/>
      <c r="G83" s="250" t="s">
        <v>1076</v>
      </c>
      <c r="H83" s="250">
        <v>1255</v>
      </c>
      <c r="I83" s="250" t="s">
        <v>273</v>
      </c>
      <c r="J83" s="251"/>
      <c r="K83" s="5"/>
      <c r="M83" s="5"/>
      <c r="S83" s="60"/>
      <c r="T83" s="60"/>
      <c r="U83" s="60"/>
      <c r="V83" s="60"/>
    </row>
    <row r="84" spans="1:22" s="144" customFormat="1" x14ac:dyDescent="0.25">
      <c r="A84" s="203">
        <v>42950</v>
      </c>
      <c r="B84" s="174"/>
      <c r="C84" s="203" t="s">
        <v>1077</v>
      </c>
      <c r="D84" s="204"/>
      <c r="E84" s="204">
        <v>2250</v>
      </c>
      <c r="F84" s="174"/>
      <c r="G84" s="250" t="s">
        <v>1078</v>
      </c>
      <c r="H84" s="250">
        <v>150292</v>
      </c>
      <c r="I84" s="250" t="s">
        <v>272</v>
      </c>
      <c r="J84" s="251"/>
      <c r="K84" s="5"/>
      <c r="M84" s="5"/>
      <c r="S84" s="60"/>
      <c r="T84" s="60"/>
      <c r="U84" s="60"/>
      <c r="V84" s="60"/>
    </row>
    <row r="85" spans="1:22" s="144" customFormat="1" x14ac:dyDescent="0.25">
      <c r="A85" s="203">
        <v>42950</v>
      </c>
      <c r="B85" s="174"/>
      <c r="C85" s="203" t="s">
        <v>1073</v>
      </c>
      <c r="D85" s="204"/>
      <c r="E85" s="204">
        <v>4400</v>
      </c>
      <c r="F85" s="174"/>
      <c r="G85" s="250" t="s">
        <v>1074</v>
      </c>
      <c r="H85" s="250">
        <v>132277</v>
      </c>
      <c r="I85" s="250" t="s">
        <v>89</v>
      </c>
      <c r="J85" s="251"/>
      <c r="K85" s="5"/>
      <c r="M85" s="5"/>
      <c r="S85" s="60"/>
      <c r="T85" s="60"/>
      <c r="U85" s="60"/>
      <c r="V85" s="60"/>
    </row>
    <row r="86" spans="1:22" s="144" customFormat="1" x14ac:dyDescent="0.25">
      <c r="A86" s="203">
        <v>42955</v>
      </c>
      <c r="B86" s="174"/>
      <c r="C86" s="203" t="s">
        <v>1073</v>
      </c>
      <c r="D86" s="204"/>
      <c r="E86" s="204">
        <v>3400</v>
      </c>
      <c r="F86" s="174"/>
      <c r="G86" s="250" t="s">
        <v>1074</v>
      </c>
      <c r="H86" s="250">
        <v>1333951</v>
      </c>
      <c r="I86" s="250" t="s">
        <v>89</v>
      </c>
      <c r="J86" s="251"/>
      <c r="K86" s="5"/>
      <c r="M86" s="5"/>
      <c r="S86" s="60"/>
      <c r="T86" s="60"/>
      <c r="U86" s="60"/>
      <c r="V86" s="60"/>
    </row>
    <row r="87" spans="1:22" s="144" customFormat="1" x14ac:dyDescent="0.25">
      <c r="A87" s="203">
        <v>42963</v>
      </c>
      <c r="B87" s="174"/>
      <c r="C87" s="203" t="s">
        <v>1079</v>
      </c>
      <c r="D87" s="204"/>
      <c r="E87" s="204">
        <v>4490</v>
      </c>
      <c r="F87" s="174"/>
      <c r="G87" s="250" t="s">
        <v>1074</v>
      </c>
      <c r="H87" s="250">
        <v>380</v>
      </c>
      <c r="I87" s="250" t="s">
        <v>273</v>
      </c>
      <c r="J87" s="251"/>
      <c r="K87" s="5"/>
      <c r="M87" s="5"/>
      <c r="S87" s="60"/>
      <c r="T87" s="60"/>
      <c r="U87" s="60"/>
      <c r="V87" s="60"/>
    </row>
    <row r="88" spans="1:22" s="144" customFormat="1" x14ac:dyDescent="0.25">
      <c r="A88" s="203">
        <v>42962</v>
      </c>
      <c r="B88" s="174"/>
      <c r="C88" s="203" t="s">
        <v>1080</v>
      </c>
      <c r="D88" s="204"/>
      <c r="E88" s="204">
        <v>6189</v>
      </c>
      <c r="F88" s="174"/>
      <c r="G88" s="250" t="s">
        <v>562</v>
      </c>
      <c r="H88" s="250">
        <v>32847</v>
      </c>
      <c r="I88" s="250" t="s">
        <v>272</v>
      </c>
      <c r="J88" s="251"/>
      <c r="K88" s="5"/>
      <c r="M88" s="5"/>
      <c r="S88" s="60"/>
      <c r="T88" s="60"/>
      <c r="U88" s="60"/>
      <c r="V88" s="60"/>
    </row>
    <row r="89" spans="1:22" s="144" customFormat="1" x14ac:dyDescent="0.25">
      <c r="A89" s="203">
        <v>42964</v>
      </c>
      <c r="B89" s="174"/>
      <c r="C89" s="203" t="s">
        <v>1081</v>
      </c>
      <c r="D89" s="204"/>
      <c r="E89" s="204">
        <v>40570</v>
      </c>
      <c r="F89" s="174"/>
      <c r="G89" s="250" t="s">
        <v>1082</v>
      </c>
      <c r="H89" s="250">
        <v>7844431</v>
      </c>
      <c r="I89" s="250" t="s">
        <v>89</v>
      </c>
      <c r="J89" s="251"/>
      <c r="K89" s="5"/>
      <c r="M89" s="5"/>
      <c r="S89" s="60"/>
      <c r="T89" s="60"/>
      <c r="U89" s="60"/>
      <c r="V89" s="60"/>
    </row>
    <row r="90" spans="1:22" s="144" customFormat="1" x14ac:dyDescent="0.25">
      <c r="A90" s="203">
        <v>42963</v>
      </c>
      <c r="B90" s="174"/>
      <c r="C90" s="203" t="s">
        <v>1073</v>
      </c>
      <c r="D90" s="204"/>
      <c r="E90" s="204">
        <v>4000</v>
      </c>
      <c r="F90" s="174"/>
      <c r="G90" s="250" t="s">
        <v>1074</v>
      </c>
      <c r="H90" s="250">
        <v>390053</v>
      </c>
      <c r="I90" s="250" t="s">
        <v>89</v>
      </c>
      <c r="J90" s="251"/>
      <c r="K90" s="5"/>
      <c r="M90" s="5"/>
      <c r="S90" s="60"/>
      <c r="T90" s="60"/>
      <c r="U90" s="60"/>
      <c r="V90" s="60"/>
    </row>
    <row r="91" spans="1:22" s="144" customFormat="1" x14ac:dyDescent="0.25">
      <c r="A91" s="203">
        <v>42965</v>
      </c>
      <c r="B91" s="174"/>
      <c r="C91" s="203" t="s">
        <v>1083</v>
      </c>
      <c r="D91" s="204"/>
      <c r="E91" s="204">
        <v>10476</v>
      </c>
      <c r="F91" s="174"/>
      <c r="G91" s="250" t="s">
        <v>562</v>
      </c>
      <c r="H91" s="250">
        <v>32502</v>
      </c>
      <c r="I91" s="250" t="s">
        <v>272</v>
      </c>
      <c r="J91" s="251"/>
      <c r="K91" s="5"/>
      <c r="S91" s="60"/>
      <c r="T91" s="60"/>
      <c r="U91" s="60"/>
      <c r="V91" s="60"/>
    </row>
    <row r="92" spans="1:22" s="144" customFormat="1" x14ac:dyDescent="0.25">
      <c r="A92" s="203">
        <v>42962</v>
      </c>
      <c r="B92" s="174"/>
      <c r="C92" s="203" t="s">
        <v>1084</v>
      </c>
      <c r="D92" s="204"/>
      <c r="E92" s="204">
        <v>6450</v>
      </c>
      <c r="F92" s="174"/>
      <c r="G92" s="250" t="s">
        <v>1064</v>
      </c>
      <c r="H92" s="250">
        <v>58544</v>
      </c>
      <c r="I92" s="250" t="s">
        <v>272</v>
      </c>
      <c r="J92" s="251"/>
      <c r="K92" s="5"/>
      <c r="S92" s="60"/>
      <c r="T92" s="60"/>
      <c r="U92" s="60"/>
      <c r="V92" s="60"/>
    </row>
    <row r="93" spans="1:22" s="144" customFormat="1" x14ac:dyDescent="0.25">
      <c r="A93" s="203">
        <v>42963</v>
      </c>
      <c r="B93" s="174"/>
      <c r="C93" s="203" t="s">
        <v>1065</v>
      </c>
      <c r="D93" s="204"/>
      <c r="E93" s="204">
        <v>1400</v>
      </c>
      <c r="F93" s="174"/>
      <c r="G93" s="250" t="s">
        <v>1066</v>
      </c>
      <c r="H93" s="250">
        <v>107226</v>
      </c>
      <c r="I93" s="250" t="s">
        <v>89</v>
      </c>
      <c r="J93" s="251"/>
      <c r="S93" s="60"/>
      <c r="T93" s="60"/>
      <c r="U93" s="60"/>
      <c r="V93" s="60"/>
    </row>
    <row r="94" spans="1:22" x14ac:dyDescent="0.25">
      <c r="A94" s="203">
        <v>42963</v>
      </c>
      <c r="B94" s="174"/>
      <c r="C94" s="203" t="s">
        <v>1085</v>
      </c>
      <c r="D94" s="204"/>
      <c r="E94" s="204">
        <v>1000</v>
      </c>
      <c r="F94" s="174"/>
      <c r="G94" s="250" t="s">
        <v>1062</v>
      </c>
      <c r="H94" s="250">
        <v>217522</v>
      </c>
      <c r="I94" s="250" t="s">
        <v>89</v>
      </c>
      <c r="J94" s="251"/>
      <c r="K94" s="20"/>
      <c r="L94" s="20"/>
      <c r="M94" s="20"/>
      <c r="N94" s="20"/>
      <c r="O94" s="20"/>
      <c r="P94" s="20"/>
      <c r="Q94" s="20"/>
      <c r="R94" s="20"/>
      <c r="S94" s="60"/>
      <c r="T94" s="60"/>
      <c r="U94" s="60"/>
      <c r="V94" s="60"/>
    </row>
    <row r="95" spans="1:22" x14ac:dyDescent="0.25">
      <c r="A95" s="203">
        <v>42976</v>
      </c>
      <c r="B95" s="174"/>
      <c r="C95" s="203" t="s">
        <v>1086</v>
      </c>
      <c r="D95" s="204"/>
      <c r="E95" s="204">
        <v>5600</v>
      </c>
      <c r="F95" s="174"/>
      <c r="G95" s="250" t="s">
        <v>1066</v>
      </c>
      <c r="H95" s="250">
        <v>549875</v>
      </c>
      <c r="I95" s="250" t="s">
        <v>89</v>
      </c>
      <c r="J95" s="251"/>
      <c r="K95" s="20"/>
      <c r="L95" s="20"/>
      <c r="M95" s="20"/>
      <c r="N95" s="20"/>
      <c r="O95" s="20"/>
      <c r="P95" s="20"/>
      <c r="Q95" s="20"/>
      <c r="R95" s="20"/>
      <c r="S95" s="60"/>
      <c r="T95" s="60"/>
      <c r="U95" s="60"/>
      <c r="V95" s="60"/>
    </row>
    <row r="96" spans="1:22" x14ac:dyDescent="0.25">
      <c r="A96" s="203">
        <v>42976</v>
      </c>
      <c r="B96" s="174"/>
      <c r="C96" s="203" t="s">
        <v>1087</v>
      </c>
      <c r="D96" s="204"/>
      <c r="E96" s="204">
        <v>1000</v>
      </c>
      <c r="F96" s="174"/>
      <c r="G96" s="250" t="s">
        <v>1062</v>
      </c>
      <c r="H96" s="250">
        <v>226501</v>
      </c>
      <c r="I96" s="250" t="s">
        <v>89</v>
      </c>
      <c r="J96" s="251"/>
      <c r="K96" s="20"/>
      <c r="L96" s="20"/>
      <c r="M96" s="20"/>
      <c r="N96" s="20"/>
      <c r="O96" s="20"/>
      <c r="P96" s="20"/>
      <c r="Q96" s="20"/>
      <c r="R96" s="20"/>
      <c r="S96" s="60"/>
      <c r="T96" s="60"/>
      <c r="U96" s="60"/>
      <c r="V96" s="60"/>
    </row>
    <row r="97" spans="1:22" x14ac:dyDescent="0.25">
      <c r="A97" s="203">
        <v>42975</v>
      </c>
      <c r="B97" s="174"/>
      <c r="C97" s="203" t="s">
        <v>1088</v>
      </c>
      <c r="D97" s="204"/>
      <c r="E97" s="204">
        <v>3000</v>
      </c>
      <c r="F97" s="174"/>
      <c r="G97" s="250" t="s">
        <v>563</v>
      </c>
      <c r="H97" s="250">
        <v>4223</v>
      </c>
      <c r="I97" s="250" t="s">
        <v>272</v>
      </c>
      <c r="J97" s="251"/>
      <c r="K97" s="20"/>
      <c r="L97" s="20"/>
      <c r="M97" s="20"/>
      <c r="N97" s="20"/>
      <c r="O97" s="20"/>
      <c r="P97" s="20"/>
      <c r="Q97" s="20"/>
      <c r="R97" s="20"/>
      <c r="S97" s="60"/>
      <c r="T97" s="60"/>
      <c r="U97" s="60"/>
      <c r="V97" s="60"/>
    </row>
    <row r="98" spans="1:22" x14ac:dyDescent="0.25">
      <c r="A98" s="203">
        <v>42974</v>
      </c>
      <c r="B98" s="174"/>
      <c r="C98" s="203" t="s">
        <v>1089</v>
      </c>
      <c r="D98" s="204"/>
      <c r="E98" s="204">
        <v>1300</v>
      </c>
      <c r="F98" s="174"/>
      <c r="G98" s="250"/>
      <c r="H98" s="250">
        <v>82637</v>
      </c>
      <c r="I98" s="250" t="s">
        <v>273</v>
      </c>
      <c r="J98" s="251"/>
      <c r="K98" s="20"/>
      <c r="L98" s="20"/>
      <c r="M98" s="20"/>
      <c r="N98" s="20"/>
      <c r="O98" s="20"/>
      <c r="P98" s="20"/>
      <c r="Q98" s="20"/>
      <c r="R98" s="20"/>
      <c r="S98" s="60"/>
      <c r="T98" s="60"/>
      <c r="U98" s="60"/>
      <c r="V98" s="60"/>
    </row>
    <row r="99" spans="1:22" x14ac:dyDescent="0.25">
      <c r="A99" s="203">
        <v>42977</v>
      </c>
      <c r="B99" s="174"/>
      <c r="C99" s="203" t="s">
        <v>1090</v>
      </c>
      <c r="D99" s="204"/>
      <c r="E99" s="204">
        <v>88060</v>
      </c>
      <c r="F99" s="174"/>
      <c r="G99" s="250" t="s">
        <v>1091</v>
      </c>
      <c r="H99" s="250">
        <v>221</v>
      </c>
      <c r="I99" s="250" t="s">
        <v>89</v>
      </c>
      <c r="J99" s="251"/>
      <c r="K99" s="20"/>
      <c r="L99" s="20"/>
      <c r="M99" s="20"/>
      <c r="N99" s="20"/>
      <c r="O99" s="20"/>
      <c r="P99" s="20"/>
      <c r="Q99" s="20"/>
      <c r="R99" s="20"/>
      <c r="S99" s="60"/>
      <c r="T99" s="60"/>
      <c r="U99" s="60"/>
      <c r="V99" s="60"/>
    </row>
    <row r="100" spans="1:22" x14ac:dyDescent="0.25">
      <c r="A100" s="203">
        <v>42962</v>
      </c>
      <c r="B100" s="174"/>
      <c r="C100" s="203" t="s">
        <v>1092</v>
      </c>
      <c r="D100" s="204"/>
      <c r="E100" s="204">
        <v>20000</v>
      </c>
      <c r="F100" s="174"/>
      <c r="G100" s="250" t="s">
        <v>1093</v>
      </c>
      <c r="H100" s="250">
        <v>45</v>
      </c>
      <c r="I100" s="250" t="s">
        <v>89</v>
      </c>
      <c r="J100" s="251"/>
      <c r="K100" s="20"/>
      <c r="L100" s="20"/>
      <c r="M100" s="20"/>
      <c r="N100" s="20"/>
      <c r="O100" s="20"/>
      <c r="P100" s="20"/>
      <c r="Q100" s="20"/>
      <c r="R100" s="20"/>
      <c r="S100" s="60"/>
      <c r="T100" s="60"/>
      <c r="U100" s="60"/>
      <c r="V100" s="60"/>
    </row>
    <row r="101" spans="1:22" x14ac:dyDescent="0.25">
      <c r="A101" s="203">
        <v>42954</v>
      </c>
      <c r="B101" s="174"/>
      <c r="C101" s="203" t="s">
        <v>1094</v>
      </c>
      <c r="D101" s="204"/>
      <c r="E101" s="204">
        <v>16003</v>
      </c>
      <c r="F101" s="174"/>
      <c r="G101" s="250" t="s">
        <v>1095</v>
      </c>
      <c r="H101" s="250">
        <v>252</v>
      </c>
      <c r="I101" s="250" t="s">
        <v>89</v>
      </c>
      <c r="J101" s="251"/>
      <c r="K101" s="20"/>
      <c r="L101" s="20"/>
      <c r="M101" s="20"/>
      <c r="N101" s="20"/>
      <c r="O101" s="20"/>
      <c r="P101" s="20"/>
      <c r="Q101" s="20"/>
      <c r="R101" s="20"/>
      <c r="S101" s="60"/>
      <c r="T101" s="60"/>
      <c r="U101" s="60"/>
      <c r="V101" s="60"/>
    </row>
    <row r="102" spans="1:22" x14ac:dyDescent="0.25">
      <c r="A102" s="203">
        <v>42978</v>
      </c>
      <c r="B102" s="174" t="s">
        <v>1096</v>
      </c>
      <c r="C102" s="203" t="s">
        <v>1097</v>
      </c>
      <c r="D102" s="204"/>
      <c r="E102" s="204">
        <v>30500</v>
      </c>
      <c r="F102" s="174"/>
      <c r="G102" s="250" t="s">
        <v>1098</v>
      </c>
      <c r="H102" s="250">
        <v>185</v>
      </c>
      <c r="I102" s="250" t="s">
        <v>272</v>
      </c>
      <c r="J102" s="251"/>
      <c r="K102" s="20"/>
      <c r="L102" s="20"/>
      <c r="M102" s="20"/>
      <c r="N102" s="20"/>
      <c r="O102" s="20"/>
      <c r="P102" s="20"/>
      <c r="Q102" s="20"/>
      <c r="R102" s="20"/>
      <c r="S102" s="60"/>
      <c r="T102" s="60"/>
      <c r="U102" s="60"/>
      <c r="V102" s="60"/>
    </row>
    <row r="103" spans="1:22" x14ac:dyDescent="0.25">
      <c r="A103" s="203">
        <v>42973</v>
      </c>
      <c r="B103" s="174"/>
      <c r="C103" s="203" t="s">
        <v>1088</v>
      </c>
      <c r="D103" s="204"/>
      <c r="E103" s="204">
        <v>5782</v>
      </c>
      <c r="F103" s="174"/>
      <c r="G103" s="250" t="s">
        <v>562</v>
      </c>
      <c r="H103" s="250">
        <v>3440</v>
      </c>
      <c r="I103" s="250" t="s">
        <v>272</v>
      </c>
      <c r="J103" s="251"/>
      <c r="K103" s="20"/>
      <c r="L103" s="20"/>
      <c r="M103" s="20"/>
      <c r="N103" s="20"/>
      <c r="O103" s="20"/>
      <c r="P103" s="20"/>
      <c r="Q103" s="20"/>
      <c r="R103" s="20"/>
      <c r="S103" s="60"/>
      <c r="T103" s="60"/>
      <c r="U103" s="60"/>
      <c r="V103" s="60"/>
    </row>
    <row r="104" spans="1:22" x14ac:dyDescent="0.25">
      <c r="A104" s="203">
        <v>42972</v>
      </c>
      <c r="B104" s="174"/>
      <c r="C104" s="203" t="s">
        <v>1099</v>
      </c>
      <c r="D104" s="204"/>
      <c r="E104" s="204">
        <v>50000</v>
      </c>
      <c r="F104" s="174"/>
      <c r="G104" s="250" t="s">
        <v>1100</v>
      </c>
      <c r="H104" s="250">
        <v>180</v>
      </c>
      <c r="I104" s="250" t="s">
        <v>89</v>
      </c>
      <c r="J104" s="251"/>
      <c r="K104" s="20"/>
      <c r="L104" s="20"/>
      <c r="M104" s="20"/>
      <c r="N104" s="20"/>
      <c r="O104" s="20"/>
      <c r="P104" s="20"/>
      <c r="Q104" s="20"/>
      <c r="R104" s="20"/>
      <c r="S104" s="60"/>
      <c r="T104" s="60"/>
      <c r="U104" s="60"/>
      <c r="V104" s="60"/>
    </row>
    <row r="105" spans="1:22" x14ac:dyDescent="0.25">
      <c r="A105" s="203">
        <v>42968</v>
      </c>
      <c r="B105" s="174"/>
      <c r="C105" s="203" t="s">
        <v>1101</v>
      </c>
      <c r="D105" s="204"/>
      <c r="E105" s="204">
        <v>15000</v>
      </c>
      <c r="F105" s="174"/>
      <c r="G105" s="250" t="s">
        <v>1102</v>
      </c>
      <c r="H105" s="250" t="s">
        <v>196</v>
      </c>
      <c r="I105" s="250" t="s">
        <v>89</v>
      </c>
      <c r="J105" s="251"/>
      <c r="K105" s="20"/>
      <c r="L105" s="20"/>
      <c r="M105" s="20"/>
      <c r="N105" s="20"/>
      <c r="O105" s="20"/>
      <c r="P105" s="20"/>
      <c r="Q105" s="20"/>
      <c r="R105" s="20"/>
      <c r="S105" s="60"/>
      <c r="T105" s="60"/>
      <c r="U105" s="60"/>
      <c r="V105" s="60"/>
    </row>
    <row r="106" spans="1:22" x14ac:dyDescent="0.25">
      <c r="A106" s="203">
        <v>42972</v>
      </c>
      <c r="B106" s="174"/>
      <c r="C106" s="203" t="s">
        <v>1103</v>
      </c>
      <c r="D106" s="204"/>
      <c r="E106" s="204">
        <v>15000</v>
      </c>
      <c r="F106" s="174"/>
      <c r="G106" s="250" t="s">
        <v>1104</v>
      </c>
      <c r="H106" s="250" t="s">
        <v>196</v>
      </c>
      <c r="I106" s="250" t="s">
        <v>272</v>
      </c>
      <c r="J106" s="251"/>
      <c r="K106" s="20"/>
      <c r="L106" s="20"/>
      <c r="M106" s="20"/>
      <c r="N106" s="20"/>
      <c r="O106" s="20"/>
      <c r="P106" s="20"/>
      <c r="Q106" s="20"/>
      <c r="R106" s="20"/>
      <c r="S106" s="60"/>
      <c r="T106" s="60"/>
      <c r="U106" s="60"/>
      <c r="V106" s="60"/>
    </row>
    <row r="107" spans="1:22" x14ac:dyDescent="0.25">
      <c r="A107" s="203">
        <v>42978</v>
      </c>
      <c r="B107" s="174"/>
      <c r="C107" s="203" t="s">
        <v>1105</v>
      </c>
      <c r="D107" s="204"/>
      <c r="E107" s="204">
        <v>75370</v>
      </c>
      <c r="F107" s="174"/>
      <c r="G107" s="250" t="s">
        <v>371</v>
      </c>
      <c r="H107" s="250">
        <v>421</v>
      </c>
      <c r="I107" s="250" t="s">
        <v>272</v>
      </c>
      <c r="J107" s="251"/>
      <c r="K107" s="20"/>
      <c r="L107" s="20"/>
      <c r="M107" s="20"/>
      <c r="N107" s="20"/>
      <c r="O107" s="20"/>
      <c r="P107" s="20"/>
      <c r="Q107" s="20"/>
      <c r="R107" s="20"/>
      <c r="S107" s="60"/>
      <c r="T107" s="60"/>
      <c r="U107" s="60"/>
      <c r="V107" s="60"/>
    </row>
    <row r="108" spans="1:22" x14ac:dyDescent="0.25">
      <c r="A108" s="174"/>
      <c r="B108" s="174"/>
      <c r="C108" s="203"/>
      <c r="D108" s="204"/>
      <c r="E108" s="204"/>
      <c r="F108" s="174"/>
      <c r="G108" s="250"/>
      <c r="H108" s="250"/>
      <c r="I108" s="250"/>
      <c r="J108" s="202"/>
      <c r="K108" s="20"/>
      <c r="L108" s="20"/>
      <c r="M108" s="20"/>
      <c r="N108" s="20"/>
      <c r="O108" s="20"/>
      <c r="P108" s="20"/>
      <c r="Q108" s="20"/>
      <c r="R108" s="20"/>
      <c r="S108" s="60"/>
      <c r="T108" s="60"/>
      <c r="U108" s="60"/>
      <c r="V108" s="60"/>
    </row>
    <row r="109" spans="1:22" x14ac:dyDescent="0.25">
      <c r="A109" s="174"/>
      <c r="B109" s="174"/>
      <c r="C109" s="203"/>
      <c r="D109" s="204"/>
      <c r="E109" s="204"/>
      <c r="F109" s="174"/>
      <c r="G109" s="250"/>
      <c r="H109" s="250"/>
      <c r="I109" s="250"/>
      <c r="J109" s="202"/>
      <c r="K109" s="20"/>
      <c r="L109" s="20"/>
      <c r="M109" s="20"/>
      <c r="N109" s="20"/>
      <c r="O109" s="20"/>
      <c r="P109" s="20"/>
      <c r="Q109" s="20"/>
      <c r="R109" s="20"/>
      <c r="S109" s="60"/>
      <c r="T109" s="60"/>
      <c r="U109" s="60"/>
      <c r="V109" s="60"/>
    </row>
    <row r="110" spans="1:22" x14ac:dyDescent="0.25">
      <c r="A110" s="174"/>
      <c r="B110" s="174"/>
      <c r="C110" s="203"/>
      <c r="D110" s="204"/>
      <c r="E110" s="204"/>
      <c r="F110" s="174"/>
      <c r="G110" s="250"/>
      <c r="H110" s="250"/>
      <c r="I110" s="250"/>
      <c r="J110" s="202"/>
      <c r="K110" s="20"/>
      <c r="L110" s="20"/>
      <c r="M110" s="20"/>
      <c r="N110" s="20"/>
      <c r="O110" s="20"/>
      <c r="P110" s="20"/>
      <c r="Q110" s="20"/>
      <c r="R110" s="20"/>
      <c r="S110" s="60"/>
      <c r="T110" s="60"/>
      <c r="U110" s="60"/>
      <c r="V110" s="60"/>
    </row>
    <row r="111" spans="1:22" x14ac:dyDescent="0.25">
      <c r="A111" s="174"/>
      <c r="B111" s="174"/>
      <c r="C111" s="203"/>
      <c r="D111" s="204"/>
      <c r="E111" s="204"/>
      <c r="F111" s="174"/>
      <c r="G111" s="250"/>
      <c r="H111" s="250"/>
      <c r="I111" s="250"/>
      <c r="J111" s="202"/>
      <c r="K111" s="20"/>
      <c r="L111" s="20"/>
      <c r="M111" s="20"/>
      <c r="N111" s="20"/>
      <c r="O111" s="20"/>
      <c r="P111" s="20"/>
      <c r="Q111" s="20"/>
      <c r="R111" s="20"/>
      <c r="S111" s="60"/>
      <c r="T111" s="60"/>
      <c r="U111" s="60"/>
      <c r="V111" s="60"/>
    </row>
    <row r="112" spans="1:22" x14ac:dyDescent="0.25">
      <c r="A112" s="174"/>
      <c r="B112" s="174"/>
      <c r="C112" s="203"/>
      <c r="D112" s="204"/>
      <c r="E112" s="204"/>
      <c r="F112" s="174"/>
      <c r="G112" s="250"/>
      <c r="H112" s="250"/>
      <c r="I112" s="250"/>
      <c r="J112" s="202"/>
      <c r="K112" s="20"/>
      <c r="L112" s="20"/>
      <c r="M112" s="20"/>
      <c r="N112" s="20"/>
      <c r="O112" s="20"/>
      <c r="P112" s="20"/>
      <c r="Q112" s="20"/>
      <c r="R112" s="20"/>
      <c r="S112" s="60"/>
      <c r="T112" s="60"/>
      <c r="U112" s="60"/>
      <c r="V112" s="60"/>
    </row>
    <row r="113" spans="1:24" x14ac:dyDescent="0.25">
      <c r="A113" s="52"/>
      <c r="B113" s="52"/>
      <c r="C113" s="105"/>
      <c r="D113" s="49"/>
      <c r="E113" s="49"/>
      <c r="F113" s="52"/>
      <c r="G113" s="250"/>
      <c r="H113" s="250"/>
      <c r="I113" s="250"/>
      <c r="J113" s="56"/>
      <c r="K113" s="20"/>
      <c r="L113" s="20"/>
      <c r="M113" s="20"/>
      <c r="N113" s="20"/>
      <c r="O113" s="20"/>
      <c r="P113" s="20"/>
      <c r="Q113" s="20"/>
      <c r="R113" s="20"/>
      <c r="S113" s="60"/>
      <c r="T113" s="60"/>
      <c r="U113" s="60"/>
      <c r="V113" s="60"/>
    </row>
    <row r="114" spans="1:24" x14ac:dyDescent="0.25">
      <c r="A114" s="52"/>
      <c r="B114" s="52"/>
      <c r="C114" s="105"/>
      <c r="D114" s="49"/>
      <c r="E114" s="49"/>
      <c r="F114" s="52"/>
      <c r="G114" s="250"/>
      <c r="H114" s="250"/>
      <c r="I114" s="250"/>
      <c r="J114" s="56"/>
      <c r="K114" s="20"/>
      <c r="L114" s="20"/>
      <c r="M114" s="20"/>
      <c r="N114" s="20"/>
      <c r="O114" s="20"/>
      <c r="P114" s="20"/>
      <c r="Q114" s="20"/>
      <c r="R114" s="20"/>
      <c r="S114" s="60"/>
      <c r="T114" s="60"/>
      <c r="U114" s="60"/>
      <c r="V114" s="60"/>
    </row>
    <row r="115" spans="1:24" x14ac:dyDescent="0.25">
      <c r="A115" s="52"/>
      <c r="B115" s="52"/>
      <c r="C115" s="105"/>
      <c r="D115" s="49"/>
      <c r="E115" s="49"/>
      <c r="F115" s="52"/>
      <c r="G115" s="250"/>
      <c r="H115" s="250"/>
      <c r="I115" s="250"/>
      <c r="J115" s="56"/>
      <c r="K115" s="20"/>
      <c r="L115" s="20"/>
      <c r="M115" s="20"/>
      <c r="N115" s="20"/>
      <c r="O115" s="20"/>
      <c r="P115" s="20"/>
      <c r="Q115" s="20"/>
      <c r="R115" s="20"/>
      <c r="S115" s="60"/>
      <c r="T115" s="60"/>
      <c r="U115" s="60"/>
      <c r="V115" s="60"/>
    </row>
    <row r="116" spans="1:24" x14ac:dyDescent="0.25">
      <c r="A116" s="52"/>
      <c r="B116" s="52"/>
      <c r="C116" s="105"/>
      <c r="D116" s="49"/>
      <c r="E116" s="49"/>
      <c r="F116" s="52"/>
      <c r="G116" s="250"/>
      <c r="H116" s="250"/>
      <c r="I116" s="250"/>
      <c r="J116" s="56"/>
      <c r="K116" s="20"/>
      <c r="L116" s="20"/>
      <c r="M116" s="20"/>
      <c r="N116" s="20"/>
      <c r="O116" s="20"/>
      <c r="P116" s="20"/>
      <c r="Q116" s="20"/>
      <c r="R116" s="20"/>
      <c r="S116" s="60"/>
      <c r="T116" s="60"/>
      <c r="U116" s="60"/>
      <c r="V116" s="60"/>
    </row>
    <row r="117" spans="1:24" x14ac:dyDescent="0.25">
      <c r="A117" s="52"/>
      <c r="B117" s="52"/>
      <c r="C117" s="105"/>
      <c r="D117" s="49"/>
      <c r="E117" s="49"/>
      <c r="F117" s="52"/>
      <c r="G117" s="250"/>
      <c r="H117" s="250"/>
      <c r="I117" s="250"/>
      <c r="J117" s="56"/>
      <c r="K117" s="20"/>
      <c r="L117" s="20"/>
      <c r="M117" s="20"/>
      <c r="N117" s="20"/>
      <c r="O117" s="20"/>
      <c r="P117" s="20"/>
      <c r="Q117" s="20"/>
      <c r="R117" s="20"/>
      <c r="S117" s="60"/>
      <c r="T117" s="60"/>
      <c r="U117" s="60"/>
      <c r="V117" s="60"/>
    </row>
    <row r="118" spans="1:24" x14ac:dyDescent="0.25">
      <c r="A118" s="52"/>
      <c r="B118" s="52"/>
      <c r="C118" s="105"/>
      <c r="D118" s="49"/>
      <c r="E118" s="49"/>
      <c r="F118" s="52"/>
      <c r="G118" s="250"/>
      <c r="H118" s="250"/>
      <c r="I118" s="250"/>
      <c r="J118" s="56"/>
      <c r="K118" s="20"/>
      <c r="L118" s="20"/>
      <c r="M118" s="20"/>
      <c r="N118" s="20"/>
      <c r="O118" s="20"/>
      <c r="P118" s="20"/>
      <c r="Q118" s="20"/>
      <c r="R118" s="20"/>
      <c r="S118" s="60"/>
      <c r="T118" s="60"/>
      <c r="U118" s="60"/>
      <c r="V118" s="60"/>
    </row>
    <row r="119" spans="1:24" x14ac:dyDescent="0.25">
      <c r="A119" s="52"/>
      <c r="B119" s="52"/>
      <c r="C119" s="105"/>
      <c r="D119" s="49"/>
      <c r="E119" s="49"/>
      <c r="F119" s="52"/>
      <c r="G119" s="23"/>
      <c r="H119" s="52"/>
      <c r="I119" s="52"/>
      <c r="J119" s="56"/>
      <c r="K119" s="20"/>
      <c r="L119" s="20"/>
      <c r="M119" s="20"/>
      <c r="N119" s="20"/>
      <c r="O119" s="20"/>
      <c r="P119" s="20"/>
      <c r="Q119" s="20"/>
      <c r="R119" s="20"/>
      <c r="S119" s="60"/>
      <c r="T119" s="60"/>
      <c r="U119" s="60"/>
      <c r="V119" s="60"/>
    </row>
    <row r="120" spans="1:24" x14ac:dyDescent="0.25">
      <c r="A120" s="52"/>
      <c r="B120" s="52"/>
      <c r="C120" s="105"/>
      <c r="D120" s="49"/>
      <c r="E120" s="49"/>
      <c r="F120" s="52"/>
      <c r="G120" s="23"/>
      <c r="H120" s="52"/>
      <c r="I120" s="52"/>
      <c r="J120" s="56"/>
      <c r="K120" s="20"/>
      <c r="L120" s="20"/>
      <c r="M120" s="20"/>
      <c r="N120" s="20"/>
      <c r="O120" s="20"/>
      <c r="P120" s="20"/>
      <c r="Q120" s="20"/>
      <c r="R120" s="20"/>
      <c r="S120" s="60"/>
      <c r="T120" s="60"/>
      <c r="U120" s="60"/>
      <c r="V120" s="60"/>
    </row>
    <row r="121" spans="1:24" x14ac:dyDescent="0.25">
      <c r="A121" s="52"/>
      <c r="B121" s="52"/>
      <c r="C121" s="105"/>
      <c r="D121" s="49"/>
      <c r="E121" s="49"/>
      <c r="F121" s="52"/>
      <c r="G121" s="23"/>
      <c r="H121" s="52"/>
      <c r="I121" s="52"/>
      <c r="J121" s="56"/>
      <c r="K121" s="20"/>
      <c r="L121" s="20"/>
      <c r="M121" s="20"/>
      <c r="N121" s="20"/>
      <c r="O121" s="20"/>
      <c r="P121" s="20"/>
      <c r="Q121" s="20"/>
      <c r="R121" s="20"/>
      <c r="S121" s="60"/>
      <c r="T121" s="60"/>
      <c r="U121" s="60"/>
      <c r="V121" s="60"/>
    </row>
    <row r="122" spans="1:24" x14ac:dyDescent="0.25">
      <c r="A122" s="52"/>
      <c r="B122" s="52"/>
      <c r="C122" s="105"/>
      <c r="D122" s="49"/>
      <c r="E122" s="49"/>
      <c r="F122" s="52"/>
      <c r="G122" s="23"/>
      <c r="H122" s="52"/>
      <c r="I122" s="52"/>
      <c r="J122" s="56"/>
      <c r="K122" s="20"/>
      <c r="L122" s="20"/>
      <c r="M122" s="20"/>
      <c r="N122" s="20"/>
      <c r="O122" s="20"/>
      <c r="P122" s="20"/>
      <c r="Q122" s="20"/>
      <c r="R122" s="20"/>
      <c r="S122" s="60"/>
      <c r="T122" s="60"/>
      <c r="U122" s="60"/>
      <c r="V122" s="60"/>
    </row>
    <row r="123" spans="1:24" x14ac:dyDescent="0.25">
      <c r="A123" s="52"/>
      <c r="B123" s="52"/>
      <c r="C123" s="105"/>
      <c r="D123" s="49"/>
      <c r="E123" s="49"/>
      <c r="F123" s="52"/>
      <c r="G123" s="23"/>
      <c r="H123" s="52"/>
      <c r="I123" s="52"/>
      <c r="J123" s="56"/>
      <c r="K123" s="20"/>
      <c r="L123" s="20"/>
      <c r="M123" s="20"/>
      <c r="N123" s="20"/>
      <c r="O123" s="20"/>
      <c r="P123" s="20"/>
      <c r="Q123" s="20"/>
      <c r="R123" s="20"/>
      <c r="S123" s="60"/>
      <c r="T123" s="60"/>
      <c r="U123" s="60"/>
      <c r="V123" s="60"/>
    </row>
    <row r="124" spans="1:24" x14ac:dyDescent="0.25">
      <c r="A124" s="26"/>
      <c r="B124" s="26"/>
      <c r="C124" s="26"/>
      <c r="D124" s="110"/>
      <c r="E124" s="110"/>
      <c r="F124" s="26"/>
      <c r="G124" s="111"/>
      <c r="H124" s="26"/>
      <c r="I124" s="26"/>
      <c r="J124" s="60"/>
      <c r="K124" s="20"/>
      <c r="L124" s="20"/>
      <c r="M124" s="20"/>
      <c r="N124" s="20"/>
      <c r="O124" s="20"/>
      <c r="P124" s="20"/>
      <c r="Q124" s="20"/>
      <c r="R124" s="20"/>
      <c r="S124" s="60"/>
      <c r="T124" s="60"/>
      <c r="U124" s="60"/>
      <c r="V124" s="60"/>
    </row>
    <row r="125" spans="1:24" x14ac:dyDescent="0.25">
      <c r="R125" s="60"/>
      <c r="S125" s="60"/>
      <c r="T125" s="60"/>
      <c r="U125" s="60"/>
      <c r="V125" s="60"/>
    </row>
    <row r="126" spans="1:24" x14ac:dyDescent="0.25">
      <c r="H126" s="22">
        <f>SUBTOTAL(9,D2:D123)</f>
        <v>0</v>
      </c>
      <c r="I126" s="22">
        <f>SUBTOTAL(9,E2:E123)</f>
        <v>3367726</v>
      </c>
      <c r="J126" s="22">
        <f>SUBTOTAL(9,F2:F123)</f>
        <v>2500000</v>
      </c>
      <c r="R126" s="60"/>
      <c r="S126" s="60"/>
      <c r="T126" s="60"/>
      <c r="U126" s="60"/>
      <c r="V126" s="60"/>
    </row>
    <row r="127" spans="1:24" x14ac:dyDescent="0.25">
      <c r="Q127" s="22"/>
      <c r="R127" s="22"/>
      <c r="S127" s="22"/>
      <c r="T127" s="22"/>
      <c r="U127" s="22"/>
      <c r="V127" s="22"/>
      <c r="W127" s="22"/>
      <c r="X127" s="22"/>
    </row>
    <row r="128" spans="1:24" x14ac:dyDescent="0.25">
      <c r="N128" s="20"/>
      <c r="O128" s="20"/>
      <c r="P128" s="20"/>
      <c r="Q128" s="20"/>
      <c r="R128" s="20"/>
      <c r="S128" s="20"/>
      <c r="T128" s="22"/>
      <c r="U128" s="22"/>
      <c r="V128" s="22"/>
      <c r="W128" s="22"/>
      <c r="X128" s="22"/>
    </row>
    <row r="129" spans="2:24" x14ac:dyDescent="0.25">
      <c r="C129" s="24" t="s">
        <v>249</v>
      </c>
      <c r="D129" s="24">
        <v>150000</v>
      </c>
      <c r="N129" s="20"/>
      <c r="O129" s="20"/>
      <c r="P129" s="20"/>
      <c r="Q129" s="20"/>
      <c r="R129" s="20"/>
      <c r="S129" s="20"/>
      <c r="T129" s="20"/>
      <c r="U129" s="20"/>
      <c r="V129" s="22"/>
      <c r="W129" s="22"/>
      <c r="X129" s="22"/>
    </row>
    <row r="130" spans="2:24" x14ac:dyDescent="0.25">
      <c r="N130" s="20"/>
      <c r="O130" s="20"/>
      <c r="P130" s="20"/>
      <c r="Q130" s="20"/>
      <c r="R130" s="20"/>
      <c r="S130" s="20"/>
      <c r="T130" s="20"/>
      <c r="U130" s="20"/>
      <c r="V130" s="22"/>
      <c r="W130" s="22"/>
      <c r="X130" s="22"/>
    </row>
    <row r="131" spans="2:24" x14ac:dyDescent="0.25">
      <c r="B131" s="32" t="s">
        <v>4</v>
      </c>
      <c r="C131" s="32" t="s">
        <v>107</v>
      </c>
      <c r="D131" s="33" t="s">
        <v>179</v>
      </c>
      <c r="E131" s="32" t="s">
        <v>180</v>
      </c>
      <c r="F131" s="32" t="s">
        <v>181</v>
      </c>
      <c r="G131" s="33" t="s">
        <v>139</v>
      </c>
      <c r="H131" s="33"/>
      <c r="N131" s="20"/>
      <c r="O131" s="20"/>
      <c r="P131" s="20"/>
      <c r="Q131" s="20"/>
      <c r="R131" s="20"/>
      <c r="S131" s="20"/>
      <c r="T131" s="20"/>
      <c r="U131" s="20"/>
      <c r="V131" s="22"/>
      <c r="W131" s="22"/>
      <c r="X131" s="22"/>
    </row>
    <row r="132" spans="2:24" x14ac:dyDescent="0.25">
      <c r="B132" s="49" t="s">
        <v>255</v>
      </c>
      <c r="C132" s="49">
        <f>'BCI '!H158</f>
        <v>60123</v>
      </c>
      <c r="D132" s="52">
        <f>Security!F67</f>
        <v>1593</v>
      </c>
      <c r="E132" s="49"/>
      <c r="F132" s="49">
        <f>C132+D132</f>
        <v>61716</v>
      </c>
      <c r="G132" s="52"/>
      <c r="H132" s="52"/>
      <c r="J132" s="23"/>
      <c r="K132" s="51" t="s">
        <v>167</v>
      </c>
      <c r="N132" s="20"/>
      <c r="O132" s="20"/>
      <c r="P132" s="20"/>
      <c r="Q132" s="20"/>
      <c r="R132" s="20"/>
      <c r="S132" s="20"/>
      <c r="T132" s="20"/>
      <c r="U132" s="20"/>
      <c r="V132" s="22"/>
      <c r="W132" s="22"/>
      <c r="X132" s="22"/>
    </row>
    <row r="133" spans="2:24" x14ac:dyDescent="0.25">
      <c r="B133" s="49" t="s">
        <v>51</v>
      </c>
      <c r="C133" s="49">
        <f>'BCI '!H159</f>
        <v>3679568</v>
      </c>
      <c r="D133" s="52">
        <f>Security!F68</f>
        <v>0</v>
      </c>
      <c r="E133" s="49"/>
      <c r="F133" s="49">
        <f t="shared" ref="F133:F148" si="2">C133+D133</f>
        <v>3679568</v>
      </c>
      <c r="G133" s="52"/>
      <c r="H133" s="52"/>
      <c r="J133" s="23">
        <v>582162</v>
      </c>
      <c r="K133" s="167" t="s">
        <v>122</v>
      </c>
      <c r="N133" s="20"/>
      <c r="O133" s="20"/>
      <c r="P133" s="20"/>
      <c r="Q133" s="20"/>
      <c r="R133" s="20"/>
      <c r="S133" s="20"/>
      <c r="T133" s="20"/>
      <c r="U133" s="20"/>
      <c r="V133" s="22"/>
      <c r="W133" s="22"/>
      <c r="X133" s="22"/>
    </row>
    <row r="134" spans="2:24" x14ac:dyDescent="0.25">
      <c r="B134" s="49" t="s">
        <v>156</v>
      </c>
      <c r="C134" s="49">
        <f>'BCI '!H160</f>
        <v>644258</v>
      </c>
      <c r="D134" s="52">
        <f>Security!F69</f>
        <v>0</v>
      </c>
      <c r="E134" s="49"/>
      <c r="F134" s="49">
        <f t="shared" si="2"/>
        <v>644258</v>
      </c>
      <c r="G134" s="52"/>
      <c r="H134" s="52"/>
      <c r="J134" s="23">
        <f>SUM(F2:F123)</f>
        <v>2500000</v>
      </c>
      <c r="K134" s="51" t="s">
        <v>124</v>
      </c>
      <c r="L134" s="20"/>
      <c r="N134" s="20"/>
      <c r="O134" s="20"/>
      <c r="P134" s="20"/>
      <c r="Q134" s="20"/>
      <c r="R134" s="20"/>
      <c r="S134" s="20"/>
      <c r="T134" s="20"/>
      <c r="U134" s="20"/>
      <c r="V134" s="22"/>
    </row>
    <row r="135" spans="2:24" x14ac:dyDescent="0.25">
      <c r="B135" s="49" t="s">
        <v>254</v>
      </c>
      <c r="C135" s="49">
        <f>'BCI '!H161</f>
        <v>387975</v>
      </c>
      <c r="D135" s="52">
        <f>Security!F70</f>
        <v>0</v>
      </c>
      <c r="E135" s="49"/>
      <c r="F135" s="49">
        <f t="shared" si="2"/>
        <v>387975</v>
      </c>
      <c r="G135" s="52"/>
      <c r="H135" s="52"/>
      <c r="J135" s="23">
        <f>J134+J133-J147</f>
        <v>155337</v>
      </c>
      <c r="K135" s="51" t="s">
        <v>123</v>
      </c>
      <c r="L135" s="20"/>
      <c r="N135" s="20"/>
      <c r="O135" s="20"/>
      <c r="P135" s="20"/>
      <c r="Q135" s="20"/>
      <c r="R135" s="20"/>
      <c r="S135" s="20"/>
      <c r="T135" s="20"/>
      <c r="U135" s="20"/>
      <c r="V135" s="22"/>
    </row>
    <row r="136" spans="2:24" x14ac:dyDescent="0.25">
      <c r="B136" s="49" t="s">
        <v>9</v>
      </c>
      <c r="C136" s="49">
        <f>'BCI '!H162</f>
        <v>1487964</v>
      </c>
      <c r="D136" s="52">
        <f>Security!F71</f>
        <v>0</v>
      </c>
      <c r="E136" s="49"/>
      <c r="F136" s="49">
        <f t="shared" si="2"/>
        <v>1487964</v>
      </c>
      <c r="G136" s="52">
        <f t="shared" ref="G136:G141" si="3">F136*0.19</f>
        <v>282713.15999999997</v>
      </c>
      <c r="H136" s="52"/>
      <c r="J136" s="23"/>
      <c r="K136" s="51"/>
      <c r="L136" s="20"/>
      <c r="N136" s="20"/>
      <c r="O136" s="20"/>
      <c r="P136" s="20"/>
      <c r="Q136" s="20"/>
      <c r="R136" s="20"/>
      <c r="S136" s="20"/>
      <c r="T136" s="20"/>
      <c r="U136" s="20"/>
      <c r="V136" s="22"/>
    </row>
    <row r="137" spans="2:24" x14ac:dyDescent="0.25">
      <c r="B137" s="49" t="s">
        <v>256</v>
      </c>
      <c r="C137" s="49">
        <f>'BCI '!H163</f>
        <v>2500000</v>
      </c>
      <c r="D137" s="52">
        <f>Security!F72</f>
        <v>0</v>
      </c>
      <c r="E137" s="49"/>
      <c r="F137" s="49">
        <f t="shared" si="2"/>
        <v>2500000</v>
      </c>
      <c r="G137" s="52">
        <f t="shared" si="3"/>
        <v>475000</v>
      </c>
      <c r="H137" s="52"/>
      <c r="J137" s="58" t="s">
        <v>83</v>
      </c>
      <c r="K137" s="57" t="s">
        <v>82</v>
      </c>
      <c r="L137" s="20"/>
      <c r="N137" s="20"/>
      <c r="O137" s="20"/>
      <c r="P137" s="20"/>
      <c r="Q137" s="20"/>
      <c r="R137" s="20"/>
      <c r="S137" s="20"/>
      <c r="T137" s="20"/>
      <c r="U137" s="20"/>
      <c r="V137" s="22"/>
    </row>
    <row r="138" spans="2:24" x14ac:dyDescent="0.25">
      <c r="B138" s="49" t="s">
        <v>258</v>
      </c>
      <c r="C138" s="49">
        <f>'BCI '!H164</f>
        <v>615328</v>
      </c>
      <c r="D138" s="52">
        <f>Security!F73</f>
        <v>0</v>
      </c>
      <c r="E138" s="49"/>
      <c r="F138" s="49">
        <f t="shared" si="2"/>
        <v>615328</v>
      </c>
      <c r="G138" s="52"/>
      <c r="H138" s="52"/>
      <c r="J138" s="274">
        <f>SUMIF($I$2:$I$123,K138,$E$2:$E$123)</f>
        <v>317609</v>
      </c>
      <c r="K138" s="56" t="s">
        <v>273</v>
      </c>
      <c r="L138" s="194">
        <f>-J138</f>
        <v>-317609</v>
      </c>
      <c r="N138" s="20"/>
      <c r="O138" s="20"/>
      <c r="P138" s="20"/>
      <c r="Q138" s="20"/>
      <c r="R138" s="20"/>
      <c r="S138" s="20"/>
      <c r="T138" s="20"/>
      <c r="U138" s="20"/>
      <c r="V138" s="22"/>
    </row>
    <row r="139" spans="2:24" x14ac:dyDescent="0.25">
      <c r="B139" s="49" t="s">
        <v>257</v>
      </c>
      <c r="C139" s="49">
        <f>'BCI '!H165</f>
        <v>2473942</v>
      </c>
      <c r="D139" s="52">
        <f>Security!F74</f>
        <v>0</v>
      </c>
      <c r="E139" s="49"/>
      <c r="F139" s="49">
        <f t="shared" si="2"/>
        <v>2473942</v>
      </c>
      <c r="G139" s="52">
        <f t="shared" si="3"/>
        <v>470048.98</v>
      </c>
      <c r="H139" s="52"/>
      <c r="J139" s="274">
        <f t="shared" ref="J139:J146" si="4">SUMIF($I$2:$I$123,K139,$E$2:$E$123)</f>
        <v>146736</v>
      </c>
      <c r="K139" s="56" t="s">
        <v>271</v>
      </c>
      <c r="L139" s="194">
        <f t="shared" ref="L139:L146" si="5">-J139</f>
        <v>-146736</v>
      </c>
      <c r="N139" s="20"/>
      <c r="O139" s="20"/>
      <c r="P139" s="20"/>
      <c r="Q139" s="20"/>
      <c r="R139" s="20"/>
      <c r="S139" s="20"/>
      <c r="T139" s="20"/>
      <c r="U139" s="20"/>
      <c r="V139" s="22"/>
    </row>
    <row r="140" spans="2:24" x14ac:dyDescent="0.25">
      <c r="B140" s="49" t="s">
        <v>43</v>
      </c>
      <c r="C140" s="49">
        <f>'BCI '!H166</f>
        <v>0</v>
      </c>
      <c r="D140" s="52">
        <f>Security!F75</f>
        <v>2519098</v>
      </c>
      <c r="E140" s="49"/>
      <c r="F140" s="49">
        <f t="shared" si="2"/>
        <v>2519098</v>
      </c>
      <c r="G140" s="52"/>
      <c r="H140" s="52"/>
      <c r="J140" s="52">
        <f t="shared" si="4"/>
        <v>409806</v>
      </c>
      <c r="K140" s="56" t="s">
        <v>285</v>
      </c>
      <c r="L140" s="194">
        <f t="shared" si="5"/>
        <v>-409806</v>
      </c>
      <c r="N140" s="20"/>
      <c r="O140" s="20"/>
      <c r="P140" s="20"/>
      <c r="Q140" s="20"/>
      <c r="R140" s="20"/>
      <c r="S140" s="20"/>
      <c r="T140" s="20"/>
      <c r="U140" s="20"/>
      <c r="V140" s="22"/>
    </row>
    <row r="141" spans="2:24" x14ac:dyDescent="0.25">
      <c r="B141" s="49" t="s">
        <v>12</v>
      </c>
      <c r="C141" s="49">
        <f>'BCI '!H167</f>
        <v>1555782</v>
      </c>
      <c r="D141" s="52">
        <f>Security!F76</f>
        <v>0</v>
      </c>
      <c r="E141" s="49"/>
      <c r="F141" s="49">
        <f t="shared" si="2"/>
        <v>1555782</v>
      </c>
      <c r="G141" s="52">
        <f t="shared" si="3"/>
        <v>295598.58</v>
      </c>
      <c r="H141" s="52"/>
      <c r="J141" s="274">
        <f t="shared" si="4"/>
        <v>80001</v>
      </c>
      <c r="K141" s="56" t="s">
        <v>269</v>
      </c>
      <c r="L141" s="194">
        <f t="shared" si="5"/>
        <v>-80001</v>
      </c>
      <c r="N141" s="20"/>
      <c r="O141" s="20"/>
      <c r="P141" s="20"/>
      <c r="Q141" s="20"/>
      <c r="R141" s="20"/>
      <c r="S141" s="20"/>
      <c r="T141" s="20"/>
      <c r="U141" s="20"/>
      <c r="V141" s="22"/>
    </row>
    <row r="142" spans="2:24" x14ac:dyDescent="0.25">
      <c r="B142" s="49" t="s">
        <v>22</v>
      </c>
      <c r="C142" s="49">
        <f>'BCI '!H168</f>
        <v>4134684</v>
      </c>
      <c r="D142" s="52">
        <f>Security!F77</f>
        <v>0</v>
      </c>
      <c r="E142" s="49"/>
      <c r="F142" s="49">
        <f t="shared" si="2"/>
        <v>4134684</v>
      </c>
      <c r="G142" s="52"/>
      <c r="H142" s="52"/>
      <c r="J142" s="274">
        <f t="shared" si="4"/>
        <v>1305047</v>
      </c>
      <c r="K142" s="56" t="s">
        <v>272</v>
      </c>
      <c r="L142" s="194">
        <f t="shared" si="5"/>
        <v>-1305047</v>
      </c>
      <c r="N142" s="20"/>
      <c r="O142" s="20"/>
      <c r="P142" s="20"/>
      <c r="Q142" s="20"/>
      <c r="R142" s="20"/>
      <c r="S142" s="20"/>
      <c r="T142" s="20"/>
      <c r="U142" s="20"/>
      <c r="V142" s="22"/>
      <c r="W142" s="22"/>
      <c r="X142" s="22"/>
    </row>
    <row r="143" spans="2:24" x14ac:dyDescent="0.25">
      <c r="B143" s="49" t="s">
        <v>259</v>
      </c>
      <c r="C143" s="49">
        <f>'BCI '!H169</f>
        <v>2624725</v>
      </c>
      <c r="D143" s="52">
        <f>Security!F78</f>
        <v>0</v>
      </c>
      <c r="E143" s="49"/>
      <c r="F143" s="49">
        <f t="shared" si="2"/>
        <v>2624725</v>
      </c>
      <c r="G143" s="52">
        <f>F143*0.19</f>
        <v>498697.75</v>
      </c>
      <c r="H143" s="52"/>
      <c r="J143" s="274">
        <f t="shared" si="4"/>
        <v>523972</v>
      </c>
      <c r="K143" s="56" t="s">
        <v>89</v>
      </c>
      <c r="L143" s="194">
        <f t="shared" si="5"/>
        <v>-523972</v>
      </c>
      <c r="M143" s="90"/>
      <c r="N143" s="20"/>
      <c r="O143" s="20"/>
      <c r="P143" s="20"/>
      <c r="Q143" s="20"/>
      <c r="R143" s="20"/>
      <c r="S143" s="20"/>
      <c r="T143" s="20"/>
      <c r="U143" s="20"/>
      <c r="V143" s="22"/>
      <c r="W143" s="22"/>
      <c r="X143" s="22"/>
    </row>
    <row r="144" spans="2:24" x14ac:dyDescent="0.25">
      <c r="B144" s="49" t="s">
        <v>50</v>
      </c>
      <c r="C144" s="49">
        <f>'BCI '!H170</f>
        <v>6738840</v>
      </c>
      <c r="D144" s="52">
        <f>Security!F79</f>
        <v>1383236</v>
      </c>
      <c r="E144" s="49"/>
      <c r="F144" s="49">
        <f t="shared" si="2"/>
        <v>8122076</v>
      </c>
      <c r="G144" s="52"/>
      <c r="H144" s="52"/>
      <c r="J144" s="274">
        <f t="shared" si="4"/>
        <v>15510</v>
      </c>
      <c r="K144" s="56" t="s">
        <v>275</v>
      </c>
      <c r="L144" s="194">
        <f t="shared" si="5"/>
        <v>-15510</v>
      </c>
      <c r="Q144" s="20"/>
      <c r="R144" s="20"/>
      <c r="S144" s="20"/>
      <c r="T144" s="20"/>
      <c r="U144" s="22"/>
      <c r="V144" s="22"/>
      <c r="W144" s="22"/>
      <c r="X144" s="22"/>
    </row>
    <row r="145" spans="1:24" x14ac:dyDescent="0.25">
      <c r="B145" s="49" t="s">
        <v>197</v>
      </c>
      <c r="C145" s="49">
        <f>'BCI '!H171</f>
        <v>-9000000</v>
      </c>
      <c r="D145" s="52">
        <f>Security!F80</f>
        <v>19000000</v>
      </c>
      <c r="E145" s="49"/>
      <c r="F145" s="49">
        <f t="shared" si="2"/>
        <v>10000000</v>
      </c>
      <c r="G145" s="52"/>
      <c r="H145" s="52"/>
      <c r="J145" s="274">
        <f t="shared" si="4"/>
        <v>0</v>
      </c>
      <c r="K145" s="56" t="s">
        <v>121</v>
      </c>
      <c r="L145" s="194">
        <f t="shared" si="5"/>
        <v>0</v>
      </c>
      <c r="O145" s="22"/>
      <c r="Q145" s="20"/>
      <c r="R145" s="20"/>
      <c r="S145" s="20"/>
      <c r="T145" s="20"/>
      <c r="U145" s="22"/>
      <c r="V145" s="22"/>
      <c r="W145" s="22"/>
      <c r="X145" s="22"/>
    </row>
    <row r="146" spans="1:24" x14ac:dyDescent="0.25">
      <c r="B146" s="49" t="s">
        <v>198</v>
      </c>
      <c r="C146" s="49">
        <f>'BCI '!H172</f>
        <v>-20318333</v>
      </c>
      <c r="D146" s="52">
        <f>Security!F81</f>
        <v>-25700916</v>
      </c>
      <c r="E146" s="49"/>
      <c r="F146" s="49">
        <f t="shared" si="2"/>
        <v>-46019249</v>
      </c>
      <c r="G146" s="52"/>
      <c r="H146" s="52"/>
      <c r="J146" s="274">
        <f t="shared" si="4"/>
        <v>128144</v>
      </c>
      <c r="K146" s="56" t="s">
        <v>217</v>
      </c>
      <c r="L146" s="194">
        <f t="shared" si="5"/>
        <v>-128144</v>
      </c>
      <c r="N146" s="20"/>
      <c r="O146" s="22"/>
      <c r="Q146" s="20"/>
      <c r="R146" s="20"/>
      <c r="S146" s="20"/>
      <c r="T146" s="20"/>
      <c r="U146" s="22"/>
      <c r="V146" s="22"/>
      <c r="W146" s="22"/>
      <c r="X146" s="22"/>
    </row>
    <row r="147" spans="1:24" x14ac:dyDescent="0.25">
      <c r="B147" s="49" t="s">
        <v>260</v>
      </c>
      <c r="C147" s="49">
        <f>'BCI '!H173</f>
        <v>-858700</v>
      </c>
      <c r="D147" s="52">
        <f>Security!F82</f>
        <v>0</v>
      </c>
      <c r="E147" s="49"/>
      <c r="F147" s="49">
        <f t="shared" si="2"/>
        <v>-858700</v>
      </c>
      <c r="G147" s="52"/>
      <c r="H147" s="52"/>
      <c r="J147" s="76">
        <f>SUM(J138:J146)</f>
        <v>2926825</v>
      </c>
      <c r="K147" s="75"/>
      <c r="L147" s="20"/>
      <c r="N147" s="20"/>
      <c r="O147" s="22"/>
      <c r="Q147" s="20"/>
      <c r="R147" s="20"/>
      <c r="S147" s="20"/>
      <c r="T147" s="20"/>
      <c r="U147" s="22"/>
      <c r="V147" s="22"/>
      <c r="W147" s="22"/>
      <c r="X147" s="22"/>
    </row>
    <row r="148" spans="1:24" x14ac:dyDescent="0.25">
      <c r="B148" s="49" t="s">
        <v>261</v>
      </c>
      <c r="C148" s="49">
        <f>'BCI '!H174</f>
        <v>-11873</v>
      </c>
      <c r="D148" s="52">
        <f>Security!F83</f>
        <v>0</v>
      </c>
      <c r="E148" s="49"/>
      <c r="F148" s="49">
        <f t="shared" si="2"/>
        <v>-11873</v>
      </c>
      <c r="G148" s="52"/>
      <c r="H148" s="52"/>
      <c r="J148" s="20"/>
      <c r="K148" s="20"/>
      <c r="L148" s="20"/>
      <c r="N148" s="20"/>
      <c r="O148" s="22"/>
      <c r="Q148" s="20"/>
      <c r="R148" s="20"/>
      <c r="S148" s="20"/>
      <c r="T148" s="20"/>
      <c r="U148" s="22"/>
      <c r="V148" s="22"/>
      <c r="W148" s="22"/>
      <c r="X148" s="22"/>
    </row>
    <row r="149" spans="1:24" x14ac:dyDescent="0.25">
      <c r="B149" s="154" t="s">
        <v>26</v>
      </c>
      <c r="C149" s="154">
        <f>SUM(C132:C148)</f>
        <v>-3285717</v>
      </c>
      <c r="D149" s="155">
        <f>SUM(D132:D148)</f>
        <v>-2796989</v>
      </c>
      <c r="E149" s="154"/>
      <c r="F149" s="154">
        <f>SUM(F132:F148)</f>
        <v>-6082706</v>
      </c>
      <c r="G149" s="155">
        <f>SUM(G132:G148)</f>
        <v>2022058.47</v>
      </c>
      <c r="H149" s="155"/>
      <c r="J149" s="20"/>
      <c r="K149" s="20"/>
      <c r="L149" s="20"/>
      <c r="N149" s="20"/>
      <c r="O149" s="22"/>
      <c r="Q149" s="22"/>
      <c r="R149" s="22"/>
      <c r="S149" s="22"/>
      <c r="T149" s="22"/>
      <c r="U149" s="22"/>
      <c r="V149" s="22"/>
      <c r="W149" s="22"/>
      <c r="X149" s="22"/>
    </row>
    <row r="150" spans="1:24" x14ac:dyDescent="0.25">
      <c r="B150" s="49"/>
      <c r="C150" s="49"/>
      <c r="D150" s="52"/>
      <c r="E150" s="49"/>
      <c r="F150" s="49"/>
      <c r="K150" s="20"/>
      <c r="L150" s="20"/>
      <c r="N150" s="20"/>
      <c r="O150" s="22"/>
      <c r="Q150" s="22"/>
      <c r="R150" s="22"/>
      <c r="S150" s="22"/>
      <c r="T150" s="22"/>
      <c r="U150" s="22"/>
      <c r="V150" s="22"/>
      <c r="W150" s="22"/>
      <c r="X150" s="22"/>
    </row>
    <row r="151" spans="1:24" ht="18.75" x14ac:dyDescent="0.3">
      <c r="B151" s="49"/>
      <c r="C151" s="49"/>
      <c r="D151" s="52"/>
      <c r="E151" s="49"/>
      <c r="F151" s="159"/>
      <c r="G151" s="159"/>
      <c r="H151" s="160"/>
      <c r="K151" s="20"/>
      <c r="L151" s="20"/>
      <c r="N151" s="20"/>
      <c r="O151" s="22"/>
      <c r="Q151" s="22"/>
      <c r="R151" s="22"/>
      <c r="S151" s="22"/>
      <c r="T151" s="22"/>
      <c r="U151" s="22"/>
      <c r="V151" s="22"/>
      <c r="W151" s="22"/>
      <c r="X151" s="22"/>
    </row>
    <row r="152" spans="1:24" ht="18.75" x14ac:dyDescent="0.3">
      <c r="A152" s="22"/>
      <c r="B152" s="49"/>
      <c r="C152" s="49"/>
      <c r="D152" s="52"/>
      <c r="E152" s="52"/>
      <c r="F152" s="159"/>
      <c r="G152" s="159"/>
      <c r="H152" s="160"/>
      <c r="K152" s="20"/>
      <c r="L152" s="20"/>
      <c r="O152" s="22"/>
      <c r="Q152" s="22"/>
      <c r="R152" s="22"/>
      <c r="S152" s="22"/>
      <c r="T152" s="22"/>
      <c r="U152" s="22"/>
      <c r="V152" s="22"/>
      <c r="W152" s="22"/>
      <c r="X152" s="22"/>
    </row>
    <row r="153" spans="1:24" ht="18.75" x14ac:dyDescent="0.3">
      <c r="A153" s="22"/>
      <c r="B153" s="154" t="s">
        <v>26</v>
      </c>
      <c r="C153" s="154"/>
      <c r="D153" s="155"/>
      <c r="E153" s="32"/>
      <c r="F153" s="32"/>
      <c r="G153" s="32"/>
      <c r="H153" s="161">
        <f>SUM(H151:H152)</f>
        <v>0</v>
      </c>
      <c r="K153" s="20"/>
      <c r="L153" s="20"/>
      <c r="O153" s="22"/>
      <c r="Q153" s="22"/>
      <c r="R153" s="22"/>
      <c r="S153" s="22"/>
      <c r="T153" s="22"/>
      <c r="U153" s="22"/>
      <c r="V153" s="22"/>
      <c r="W153" s="22"/>
      <c r="X153" s="22"/>
    </row>
    <row r="154" spans="1:24" x14ac:dyDescent="0.25">
      <c r="A154" s="22"/>
      <c r="D154" s="22"/>
      <c r="K154" s="20"/>
      <c r="L154" s="20"/>
      <c r="N154" s="20"/>
      <c r="O154" s="22"/>
      <c r="Q154" s="22"/>
      <c r="R154" s="22"/>
      <c r="S154" s="22"/>
      <c r="T154" s="22"/>
      <c r="U154" s="22"/>
      <c r="V154" s="22"/>
      <c r="W154" s="22"/>
      <c r="X154" s="22"/>
    </row>
    <row r="155" spans="1:24" x14ac:dyDescent="0.25">
      <c r="D155" s="22"/>
      <c r="K155" s="20"/>
      <c r="L155" s="20"/>
      <c r="N155" s="20"/>
      <c r="O155" s="22"/>
      <c r="Q155" s="22"/>
      <c r="R155" s="22"/>
      <c r="S155" s="22"/>
      <c r="T155" s="22"/>
      <c r="U155" s="22"/>
      <c r="V155" s="22"/>
      <c r="W155" s="22"/>
      <c r="X155" s="22"/>
    </row>
    <row r="156" spans="1:24" x14ac:dyDescent="0.25">
      <c r="N156" s="20"/>
      <c r="O156" s="22"/>
      <c r="Q156" s="22"/>
      <c r="R156" s="22"/>
      <c r="S156" s="22"/>
      <c r="T156" s="22"/>
      <c r="U156" s="22"/>
      <c r="V156" s="22"/>
      <c r="W156" s="22"/>
      <c r="X156" s="22"/>
    </row>
    <row r="157" spans="1:24" x14ac:dyDescent="0.25">
      <c r="N157" s="20"/>
      <c r="O157" s="22"/>
      <c r="Q157" s="22"/>
      <c r="R157" s="22"/>
      <c r="S157" s="22"/>
      <c r="T157" s="22"/>
      <c r="U157" s="22"/>
      <c r="V157" s="22"/>
      <c r="W157" s="22"/>
      <c r="X157" s="22"/>
    </row>
    <row r="158" spans="1:24" x14ac:dyDescent="0.25">
      <c r="N158" s="20"/>
      <c r="O158" s="22"/>
      <c r="Q158" s="22"/>
      <c r="R158" s="22"/>
      <c r="S158" s="22"/>
      <c r="T158" s="22"/>
      <c r="U158" s="22"/>
      <c r="V158" s="22"/>
      <c r="W158" s="22"/>
      <c r="X158" s="22"/>
    </row>
    <row r="159" spans="1:24" x14ac:dyDescent="0.25">
      <c r="N159" s="20"/>
      <c r="O159" s="22"/>
      <c r="Q159" s="22"/>
      <c r="R159" s="22"/>
      <c r="S159" s="22"/>
      <c r="T159" s="22"/>
      <c r="U159" s="22"/>
      <c r="V159" s="22"/>
      <c r="W159" s="22"/>
      <c r="X159" s="22"/>
    </row>
    <row r="160" spans="1:24" x14ac:dyDescent="0.25">
      <c r="N160" s="20"/>
      <c r="O160" s="22"/>
      <c r="Q160" s="22"/>
      <c r="R160" s="22"/>
      <c r="S160" s="22"/>
      <c r="T160" s="22"/>
      <c r="U160" s="22"/>
      <c r="V160" s="22"/>
      <c r="W160" s="22"/>
      <c r="X160" s="22"/>
    </row>
    <row r="161" spans="14:24" x14ac:dyDescent="0.25">
      <c r="N161" s="20"/>
      <c r="O161" s="22"/>
      <c r="Q161" s="22"/>
      <c r="R161" s="22"/>
      <c r="S161" s="22"/>
      <c r="T161" s="22"/>
      <c r="U161" s="22"/>
      <c r="V161" s="22"/>
      <c r="W161" s="22"/>
      <c r="X161" s="22"/>
    </row>
    <row r="162" spans="14:24" x14ac:dyDescent="0.25">
      <c r="N162" s="20"/>
      <c r="O162" s="22"/>
      <c r="Q162" s="22"/>
      <c r="R162" s="22"/>
      <c r="S162" s="22"/>
      <c r="T162" s="22"/>
      <c r="U162" s="22"/>
      <c r="V162" s="22"/>
      <c r="W162" s="22"/>
      <c r="X162" s="22"/>
    </row>
    <row r="163" spans="14:24" x14ac:dyDescent="0.25">
      <c r="N163" s="20"/>
      <c r="O163" s="22"/>
      <c r="Q163" s="22"/>
      <c r="R163" s="22"/>
      <c r="S163" s="22"/>
      <c r="T163" s="22"/>
      <c r="U163" s="22"/>
      <c r="V163" s="22"/>
      <c r="W163" s="22"/>
      <c r="X163" s="22"/>
    </row>
    <row r="164" spans="14:24" x14ac:dyDescent="0.25">
      <c r="O164" s="22"/>
      <c r="Q164" s="22"/>
      <c r="R164" s="22"/>
      <c r="S164" s="22"/>
      <c r="T164" s="22"/>
      <c r="U164" s="22"/>
      <c r="V164" s="22"/>
      <c r="W164" s="22"/>
      <c r="X164" s="22"/>
    </row>
    <row r="165" spans="14:24" x14ac:dyDescent="0.25">
      <c r="O165" s="22"/>
      <c r="Q165" s="22"/>
      <c r="R165" s="22"/>
      <c r="S165" s="22"/>
      <c r="T165" s="22"/>
      <c r="U165" s="22"/>
      <c r="V165" s="22"/>
      <c r="W165" s="22"/>
      <c r="X165" s="22"/>
    </row>
    <row r="166" spans="14:24" x14ac:dyDescent="0.25">
      <c r="Q166" s="22"/>
      <c r="R166" s="22"/>
      <c r="S166" s="22"/>
      <c r="T166" s="22"/>
      <c r="U166" s="22"/>
      <c r="V166" s="22"/>
      <c r="W166" s="22"/>
      <c r="X166" s="22"/>
    </row>
    <row r="167" spans="14:24" x14ac:dyDescent="0.25">
      <c r="Q167" s="22"/>
      <c r="R167" s="22"/>
      <c r="S167" s="22"/>
      <c r="T167" s="22"/>
      <c r="U167" s="22"/>
      <c r="V167" s="22"/>
      <c r="W167" s="22"/>
      <c r="X167" s="22"/>
    </row>
    <row r="168" spans="14:24" x14ac:dyDescent="0.25">
      <c r="Q168" s="22"/>
      <c r="R168" s="22"/>
      <c r="S168" s="22"/>
      <c r="T168" s="22"/>
      <c r="U168" s="22"/>
      <c r="V168" s="22"/>
      <c r="W168" s="22"/>
      <c r="X168" s="22"/>
    </row>
    <row r="169" spans="14:24" x14ac:dyDescent="0.25">
      <c r="Q169" s="22"/>
      <c r="R169" s="22"/>
      <c r="S169" s="22"/>
      <c r="T169" s="22"/>
      <c r="U169" s="22"/>
      <c r="V169" s="22"/>
      <c r="W169" s="22"/>
      <c r="X169" s="22"/>
    </row>
    <row r="170" spans="14:24" x14ac:dyDescent="0.25">
      <c r="Q170" s="22"/>
      <c r="R170" s="22"/>
      <c r="S170" s="22"/>
      <c r="T170" s="22"/>
      <c r="U170" s="22"/>
      <c r="V170" s="22"/>
      <c r="W170" s="22"/>
      <c r="X170" s="22"/>
    </row>
    <row r="171" spans="14:24" x14ac:dyDescent="0.25">
      <c r="Q171" s="22"/>
      <c r="R171" s="22"/>
      <c r="S171" s="22"/>
      <c r="T171" s="22"/>
      <c r="U171" s="22"/>
      <c r="V171" s="22"/>
      <c r="W171" s="22"/>
      <c r="X171" s="22"/>
    </row>
    <row r="172" spans="14:24" x14ac:dyDescent="0.25">
      <c r="Q172" s="22"/>
      <c r="R172" s="22"/>
      <c r="S172" s="22"/>
      <c r="T172" s="22"/>
      <c r="U172" s="22"/>
      <c r="V172" s="22"/>
      <c r="W172" s="22"/>
      <c r="X172" s="22"/>
    </row>
    <row r="173" spans="14:24" x14ac:dyDescent="0.25">
      <c r="Q173" s="22"/>
      <c r="R173" s="22"/>
      <c r="S173" s="22"/>
      <c r="T173" s="22"/>
      <c r="U173" s="22"/>
      <c r="V173" s="22"/>
      <c r="W173" s="22"/>
      <c r="X173" s="22"/>
    </row>
    <row r="174" spans="14:24" x14ac:dyDescent="0.25">
      <c r="Q174" s="22"/>
      <c r="R174" s="22"/>
      <c r="S174" s="22"/>
      <c r="T174" s="22"/>
      <c r="U174" s="22"/>
      <c r="V174" s="22"/>
      <c r="W174" s="22"/>
      <c r="X174" s="22"/>
    </row>
    <row r="175" spans="14:24" x14ac:dyDescent="0.25">
      <c r="Q175" s="22"/>
      <c r="R175" s="22"/>
      <c r="S175" s="22"/>
      <c r="T175" s="22"/>
      <c r="U175" s="22"/>
      <c r="V175" s="22"/>
      <c r="W175" s="22"/>
      <c r="X175" s="22"/>
    </row>
    <row r="176" spans="14:24" x14ac:dyDescent="0.25">
      <c r="Q176" s="22"/>
      <c r="R176" s="22"/>
      <c r="S176" s="22"/>
      <c r="T176" s="22"/>
      <c r="U176" s="22"/>
      <c r="V176" s="22"/>
      <c r="W176" s="22"/>
      <c r="X176" s="22"/>
    </row>
    <row r="177" spans="17:24" x14ac:dyDescent="0.25">
      <c r="Q177" s="22"/>
      <c r="R177" s="22"/>
      <c r="S177" s="22"/>
      <c r="T177" s="22"/>
      <c r="U177" s="22"/>
      <c r="V177" s="22"/>
      <c r="W177" s="22"/>
      <c r="X177" s="22"/>
    </row>
    <row r="178" spans="17:24" x14ac:dyDescent="0.25">
      <c r="Q178" s="22"/>
      <c r="R178" s="22"/>
      <c r="S178" s="22"/>
      <c r="T178" s="22"/>
      <c r="U178" s="22"/>
      <c r="V178" s="22"/>
      <c r="W178" s="22"/>
      <c r="X178" s="22"/>
    </row>
    <row r="179" spans="17:24" x14ac:dyDescent="0.25">
      <c r="Q179" s="22"/>
      <c r="R179" s="22"/>
      <c r="S179" s="22"/>
      <c r="T179" s="22"/>
      <c r="U179" s="22"/>
      <c r="V179" s="22"/>
      <c r="W179" s="22"/>
      <c r="X179" s="22"/>
    </row>
    <row r="180" spans="17:24" x14ac:dyDescent="0.25">
      <c r="Q180" s="22"/>
      <c r="R180" s="22"/>
      <c r="S180" s="22"/>
      <c r="T180" s="22"/>
      <c r="U180" s="22"/>
      <c r="V180" s="22"/>
      <c r="W180" s="22"/>
      <c r="X180" s="22"/>
    </row>
    <row r="181" spans="17:24" x14ac:dyDescent="0.25">
      <c r="Q181" s="22"/>
      <c r="R181" s="22"/>
      <c r="S181" s="22"/>
      <c r="T181" s="22"/>
      <c r="U181" s="22"/>
      <c r="V181" s="22"/>
      <c r="W181" s="22"/>
      <c r="X181" s="22"/>
    </row>
    <row r="182" spans="17:24" x14ac:dyDescent="0.25">
      <c r="Q182" s="22"/>
      <c r="R182" s="22"/>
      <c r="S182" s="22"/>
      <c r="T182" s="22"/>
      <c r="U182" s="22"/>
      <c r="V182" s="22"/>
      <c r="W182" s="22"/>
      <c r="X182" s="22"/>
    </row>
    <row r="183" spans="17:24" x14ac:dyDescent="0.25">
      <c r="Q183" s="22"/>
      <c r="R183" s="22"/>
      <c r="S183" s="22"/>
      <c r="T183" s="22"/>
      <c r="U183" s="22"/>
      <c r="V183" s="22"/>
      <c r="W183" s="22"/>
      <c r="X183" s="22"/>
    </row>
    <row r="184" spans="17:24" x14ac:dyDescent="0.25">
      <c r="Q184" s="22"/>
      <c r="R184" s="22"/>
      <c r="S184" s="22"/>
      <c r="T184" s="22"/>
      <c r="U184" s="22"/>
      <c r="V184" s="22"/>
      <c r="W184" s="22"/>
      <c r="X184" s="22"/>
    </row>
    <row r="185" spans="17:24" x14ac:dyDescent="0.25">
      <c r="Q185" s="22"/>
      <c r="R185" s="22"/>
      <c r="S185" s="22"/>
      <c r="T185" s="22"/>
      <c r="U185" s="22"/>
      <c r="V185" s="22"/>
      <c r="W185" s="22"/>
      <c r="X185" s="22"/>
    </row>
    <row r="186" spans="17:24" x14ac:dyDescent="0.25">
      <c r="Q186" s="22"/>
      <c r="R186" s="22"/>
      <c r="S186" s="22"/>
      <c r="T186" s="22"/>
      <c r="U186" s="22"/>
      <c r="V186" s="22"/>
      <c r="W186" s="22"/>
      <c r="X186" s="22"/>
    </row>
    <row r="187" spans="17:24" x14ac:dyDescent="0.25">
      <c r="Q187" s="22"/>
      <c r="R187" s="22"/>
      <c r="S187" s="22"/>
      <c r="T187" s="22"/>
      <c r="U187" s="22"/>
      <c r="V187" s="22"/>
      <c r="W187" s="22"/>
      <c r="X187" s="22"/>
    </row>
    <row r="188" spans="17:24" x14ac:dyDescent="0.25">
      <c r="Q188" s="22"/>
      <c r="R188" s="22"/>
      <c r="S188" s="22"/>
      <c r="T188" s="22"/>
      <c r="U188" s="22"/>
      <c r="V188" s="22"/>
      <c r="W188" s="22"/>
      <c r="X188" s="22"/>
    </row>
    <row r="189" spans="17:24" x14ac:dyDescent="0.25">
      <c r="Q189" s="22"/>
      <c r="R189" s="22"/>
      <c r="S189" s="22"/>
      <c r="T189" s="22"/>
      <c r="U189" s="22"/>
      <c r="V189" s="22"/>
      <c r="W189" s="22"/>
      <c r="X189" s="22"/>
    </row>
    <row r="190" spans="17:24" x14ac:dyDescent="0.25">
      <c r="Q190" s="22"/>
      <c r="R190" s="22"/>
      <c r="S190" s="22"/>
      <c r="T190" s="22"/>
      <c r="U190" s="22"/>
      <c r="V190" s="22"/>
      <c r="W190" s="22"/>
      <c r="X190" s="22"/>
    </row>
    <row r="191" spans="17:24" x14ac:dyDescent="0.25">
      <c r="Q191" s="22"/>
      <c r="R191" s="22"/>
      <c r="S191" s="22"/>
      <c r="T191" s="22"/>
      <c r="U191" s="22"/>
      <c r="V191" s="22"/>
      <c r="W191" s="22"/>
      <c r="X191" s="22"/>
    </row>
    <row r="192" spans="17:24" x14ac:dyDescent="0.25">
      <c r="Q192" s="22"/>
      <c r="R192" s="22"/>
      <c r="S192" s="22"/>
      <c r="T192" s="22"/>
      <c r="U192" s="22"/>
      <c r="V192" s="22"/>
      <c r="W192" s="22"/>
      <c r="X192" s="22"/>
    </row>
    <row r="193" spans="17:24" x14ac:dyDescent="0.25">
      <c r="Q193" s="22"/>
      <c r="R193" s="22"/>
      <c r="S193" s="22"/>
      <c r="T193" s="22"/>
      <c r="U193" s="22"/>
      <c r="V193" s="22"/>
      <c r="W193" s="22"/>
      <c r="X193" s="22"/>
    </row>
    <row r="194" spans="17:24" x14ac:dyDescent="0.25">
      <c r="Q194" s="22"/>
      <c r="R194" s="22"/>
      <c r="S194" s="22"/>
      <c r="T194" s="22"/>
      <c r="U194" s="22"/>
      <c r="V194" s="22"/>
      <c r="W194" s="22"/>
      <c r="X194" s="22"/>
    </row>
    <row r="195" spans="17:24" x14ac:dyDescent="0.25">
      <c r="Q195" s="22"/>
      <c r="R195" s="22"/>
      <c r="S195" s="22"/>
      <c r="T195" s="22"/>
      <c r="U195" s="22"/>
      <c r="V195" s="22"/>
      <c r="W195" s="22"/>
      <c r="X195" s="22"/>
    </row>
    <row r="196" spans="17:24" x14ac:dyDescent="0.25">
      <c r="Q196" s="22"/>
      <c r="R196" s="22"/>
      <c r="S196" s="22"/>
      <c r="T196" s="22"/>
      <c r="U196" s="22"/>
      <c r="V196" s="22"/>
      <c r="W196" s="22"/>
      <c r="X196" s="22"/>
    </row>
    <row r="197" spans="17:24" x14ac:dyDescent="0.25">
      <c r="Q197" s="22"/>
      <c r="R197" s="22"/>
      <c r="S197" s="22"/>
      <c r="T197" s="22"/>
      <c r="U197" s="22"/>
      <c r="V197" s="22"/>
      <c r="W197" s="22"/>
      <c r="X197" s="22"/>
    </row>
    <row r="198" spans="17:24" x14ac:dyDescent="0.25">
      <c r="Q198" s="22"/>
      <c r="R198" s="22"/>
      <c r="S198" s="22"/>
      <c r="T198" s="22"/>
      <c r="U198" s="22"/>
      <c r="V198" s="22"/>
      <c r="W198" s="22"/>
      <c r="X198" s="22"/>
    </row>
    <row r="199" spans="17:24" x14ac:dyDescent="0.25">
      <c r="Q199" s="22"/>
      <c r="R199" s="22"/>
      <c r="S199" s="22"/>
      <c r="T199" s="22"/>
      <c r="U199" s="22"/>
      <c r="V199" s="22"/>
      <c r="W199" s="22"/>
      <c r="X199" s="22"/>
    </row>
    <row r="200" spans="17:24" x14ac:dyDescent="0.25">
      <c r="Q200" s="22"/>
      <c r="R200" s="22"/>
      <c r="S200" s="22"/>
      <c r="T200" s="22"/>
      <c r="U200" s="22"/>
      <c r="V200" s="22"/>
      <c r="W200" s="22"/>
      <c r="X200" s="22"/>
    </row>
    <row r="201" spans="17:24" x14ac:dyDescent="0.25">
      <c r="Q201" s="22"/>
      <c r="R201" s="22"/>
      <c r="S201" s="22"/>
      <c r="T201" s="22"/>
      <c r="U201" s="22"/>
      <c r="V201" s="22"/>
      <c r="W201" s="22"/>
      <c r="X201" s="22"/>
    </row>
    <row r="202" spans="17:24" x14ac:dyDescent="0.25">
      <c r="Q202" s="22"/>
      <c r="R202" s="22"/>
      <c r="S202" s="22"/>
      <c r="T202" s="22"/>
      <c r="U202" s="22"/>
      <c r="V202" s="22"/>
      <c r="W202" s="22"/>
      <c r="X202" s="22"/>
    </row>
    <row r="203" spans="17:24" x14ac:dyDescent="0.25">
      <c r="Q203" s="22"/>
      <c r="R203" s="22"/>
      <c r="S203" s="22"/>
      <c r="T203" s="22"/>
      <c r="U203" s="22"/>
      <c r="V203" s="22"/>
      <c r="W203" s="22"/>
      <c r="X203" s="22"/>
    </row>
    <row r="204" spans="17:24" x14ac:dyDescent="0.25">
      <c r="Q204" s="22"/>
      <c r="R204" s="22"/>
      <c r="S204" s="22"/>
      <c r="T204" s="22"/>
      <c r="U204" s="22"/>
      <c r="V204" s="22"/>
      <c r="W204" s="22"/>
      <c r="X204" s="22"/>
    </row>
    <row r="205" spans="17:24" x14ac:dyDescent="0.25">
      <c r="Q205" s="22"/>
      <c r="R205" s="22"/>
      <c r="S205" s="22"/>
      <c r="T205" s="22"/>
      <c r="U205" s="22"/>
      <c r="V205" s="22"/>
      <c r="W205" s="22"/>
      <c r="X205" s="22"/>
    </row>
    <row r="206" spans="17:24" x14ac:dyDescent="0.25">
      <c r="Q206" s="22"/>
      <c r="R206" s="22"/>
      <c r="S206" s="22"/>
      <c r="T206" s="22"/>
      <c r="U206" s="22"/>
      <c r="V206" s="22"/>
      <c r="W206" s="22"/>
      <c r="X206" s="22"/>
    </row>
    <row r="207" spans="17:24" x14ac:dyDescent="0.25">
      <c r="Q207" s="22"/>
      <c r="R207" s="22"/>
      <c r="S207" s="22"/>
      <c r="T207" s="22"/>
      <c r="U207" s="22"/>
      <c r="V207" s="22"/>
      <c r="W207" s="22"/>
      <c r="X207" s="22"/>
    </row>
    <row r="208" spans="17:24" x14ac:dyDescent="0.25">
      <c r="Q208" s="22"/>
      <c r="R208" s="22"/>
      <c r="S208" s="22"/>
      <c r="T208" s="22"/>
      <c r="U208" s="22"/>
      <c r="V208" s="22"/>
      <c r="W208" s="22"/>
      <c r="X208" s="22"/>
    </row>
    <row r="209" spans="17:24" x14ac:dyDescent="0.25">
      <c r="Q209" s="22"/>
      <c r="R209" s="22"/>
      <c r="S209" s="22"/>
      <c r="T209" s="22"/>
      <c r="U209" s="22"/>
      <c r="V209" s="22"/>
      <c r="W209" s="22"/>
      <c r="X209" s="22"/>
    </row>
    <row r="210" spans="17:24" x14ac:dyDescent="0.25">
      <c r="Q210" s="22"/>
      <c r="R210" s="22"/>
      <c r="S210" s="22"/>
      <c r="T210" s="22"/>
      <c r="U210" s="22"/>
      <c r="V210" s="22"/>
      <c r="W210" s="22"/>
      <c r="X210" s="22"/>
    </row>
    <row r="211" spans="17:24" x14ac:dyDescent="0.25">
      <c r="Q211" s="22"/>
      <c r="R211" s="22"/>
      <c r="S211" s="22"/>
      <c r="T211" s="22"/>
      <c r="U211" s="22"/>
      <c r="V211" s="22"/>
      <c r="W211" s="22"/>
      <c r="X211" s="22"/>
    </row>
    <row r="212" spans="17:24" x14ac:dyDescent="0.25">
      <c r="Q212" s="22"/>
      <c r="R212" s="22"/>
      <c r="S212" s="22"/>
      <c r="T212" s="22"/>
      <c r="U212" s="22"/>
      <c r="V212" s="22"/>
      <c r="W212" s="22"/>
      <c r="X212" s="22"/>
    </row>
    <row r="213" spans="17:24" x14ac:dyDescent="0.25">
      <c r="Q213" s="22"/>
      <c r="R213" s="22"/>
      <c r="S213" s="22"/>
      <c r="T213" s="22"/>
      <c r="U213" s="22"/>
      <c r="V213" s="22"/>
      <c r="W213" s="22"/>
      <c r="X213" s="22"/>
    </row>
    <row r="214" spans="17:24" x14ac:dyDescent="0.25">
      <c r="Q214" s="22"/>
      <c r="R214" s="22"/>
      <c r="S214" s="22"/>
      <c r="T214" s="22"/>
      <c r="U214" s="22"/>
      <c r="V214" s="22"/>
      <c r="W214" s="22"/>
      <c r="X214" s="22"/>
    </row>
    <row r="215" spans="17:24" x14ac:dyDescent="0.25">
      <c r="Q215" s="22"/>
      <c r="R215" s="22"/>
      <c r="S215" s="22"/>
      <c r="T215" s="22"/>
      <c r="U215" s="22"/>
      <c r="V215" s="22"/>
      <c r="W215" s="22"/>
      <c r="X215" s="22"/>
    </row>
    <row r="216" spans="17:24" x14ac:dyDescent="0.25">
      <c r="Q216" s="22"/>
      <c r="R216" s="22"/>
      <c r="S216" s="22"/>
      <c r="T216" s="22"/>
      <c r="U216" s="22"/>
      <c r="V216" s="22"/>
      <c r="W216" s="22"/>
      <c r="X216" s="22"/>
    </row>
    <row r="217" spans="17:24" x14ac:dyDescent="0.25">
      <c r="Q217" s="22"/>
      <c r="R217" s="22"/>
      <c r="S217" s="22"/>
      <c r="T217" s="22"/>
      <c r="U217" s="22"/>
      <c r="V217" s="22"/>
      <c r="W217" s="22"/>
      <c r="X217" s="22"/>
    </row>
    <row r="218" spans="17:24" x14ac:dyDescent="0.25">
      <c r="Q218" s="22"/>
      <c r="R218" s="22"/>
      <c r="S218" s="22"/>
      <c r="T218" s="22"/>
      <c r="U218" s="22"/>
      <c r="V218" s="22"/>
      <c r="W218" s="22"/>
      <c r="X218" s="22"/>
    </row>
    <row r="219" spans="17:24" x14ac:dyDescent="0.25">
      <c r="Q219" s="22"/>
      <c r="R219" s="22"/>
      <c r="S219" s="22"/>
      <c r="T219" s="22"/>
      <c r="U219" s="22"/>
      <c r="V219" s="22"/>
      <c r="W219" s="22"/>
      <c r="X219" s="22"/>
    </row>
    <row r="220" spans="17:24" x14ac:dyDescent="0.25">
      <c r="Q220" s="22"/>
      <c r="R220" s="22"/>
      <c r="S220" s="22"/>
      <c r="T220" s="22"/>
      <c r="U220" s="22"/>
      <c r="V220" s="22"/>
      <c r="W220" s="22"/>
      <c r="X220" s="22"/>
    </row>
    <row r="221" spans="17:24" x14ac:dyDescent="0.25">
      <c r="Q221" s="22"/>
      <c r="R221" s="22"/>
      <c r="S221" s="22"/>
      <c r="T221" s="22"/>
      <c r="U221" s="22"/>
      <c r="V221" s="22"/>
      <c r="W221" s="22"/>
      <c r="X221" s="22"/>
    </row>
    <row r="222" spans="17:24" x14ac:dyDescent="0.25">
      <c r="Q222" s="22"/>
      <c r="R222" s="22"/>
      <c r="S222" s="22"/>
      <c r="T222" s="22"/>
      <c r="U222" s="22"/>
      <c r="V222" s="22"/>
      <c r="W222" s="22"/>
      <c r="X222" s="22"/>
    </row>
    <row r="223" spans="17:24" x14ac:dyDescent="0.25">
      <c r="Q223" s="22"/>
      <c r="R223" s="22"/>
      <c r="S223" s="22"/>
      <c r="T223" s="22"/>
      <c r="U223" s="22"/>
      <c r="V223" s="22"/>
      <c r="W223" s="22"/>
      <c r="X223" s="22"/>
    </row>
    <row r="224" spans="17:24" x14ac:dyDescent="0.25">
      <c r="Q224" s="22"/>
      <c r="R224" s="22"/>
      <c r="S224" s="22"/>
      <c r="T224" s="22"/>
      <c r="U224" s="22"/>
      <c r="V224" s="22"/>
      <c r="W224" s="22"/>
      <c r="X224" s="22"/>
    </row>
    <row r="225" spans="17:24" x14ac:dyDescent="0.25">
      <c r="Q225" s="22"/>
      <c r="R225" s="22"/>
      <c r="S225" s="22"/>
      <c r="T225" s="22"/>
      <c r="U225" s="22"/>
      <c r="V225" s="22"/>
      <c r="W225" s="22"/>
      <c r="X225" s="22"/>
    </row>
    <row r="226" spans="17:24" x14ac:dyDescent="0.25">
      <c r="Q226" s="22"/>
      <c r="R226" s="22"/>
      <c r="S226" s="22"/>
      <c r="T226" s="22"/>
      <c r="U226" s="22"/>
      <c r="V226" s="22"/>
      <c r="W226" s="22"/>
      <c r="X226" s="22"/>
    </row>
    <row r="227" spans="17:24" x14ac:dyDescent="0.25">
      <c r="Q227" s="22"/>
      <c r="R227" s="22"/>
      <c r="S227" s="22"/>
      <c r="T227" s="22"/>
      <c r="U227" s="22"/>
      <c r="V227" s="22"/>
      <c r="W227" s="22"/>
      <c r="X227" s="22"/>
    </row>
    <row r="228" spans="17:24" x14ac:dyDescent="0.25">
      <c r="Q228" s="22"/>
      <c r="R228" s="22"/>
      <c r="S228" s="22"/>
      <c r="T228" s="22"/>
      <c r="U228" s="22"/>
      <c r="V228" s="22"/>
      <c r="W228" s="22"/>
      <c r="X228" s="22"/>
    </row>
    <row r="229" spans="17:24" x14ac:dyDescent="0.25">
      <c r="Q229" s="22"/>
      <c r="R229" s="22"/>
      <c r="S229" s="22"/>
      <c r="T229" s="22"/>
      <c r="U229" s="22"/>
      <c r="V229" s="22"/>
      <c r="W229" s="22"/>
      <c r="X229" s="22"/>
    </row>
    <row r="230" spans="17:24" x14ac:dyDescent="0.25">
      <c r="Q230" s="22"/>
      <c r="R230" s="22"/>
      <c r="S230" s="22"/>
      <c r="T230" s="22"/>
      <c r="U230" s="22"/>
      <c r="V230" s="22"/>
      <c r="W230" s="22"/>
      <c r="X230" s="22"/>
    </row>
    <row r="231" spans="17:24" x14ac:dyDescent="0.25">
      <c r="Q231" s="22"/>
      <c r="R231" s="22"/>
      <c r="S231" s="22"/>
      <c r="T231" s="22"/>
      <c r="U231" s="22"/>
      <c r="V231" s="22"/>
      <c r="W231" s="22"/>
      <c r="X231" s="22"/>
    </row>
    <row r="232" spans="17:24" x14ac:dyDescent="0.25">
      <c r="Q232" s="22"/>
      <c r="R232" s="22"/>
      <c r="S232" s="22"/>
      <c r="T232" s="22"/>
      <c r="U232" s="22"/>
      <c r="V232" s="22"/>
      <c r="W232" s="22"/>
      <c r="X232" s="22"/>
    </row>
    <row r="233" spans="17:24" x14ac:dyDescent="0.25">
      <c r="Q233" s="22"/>
      <c r="R233" s="22"/>
      <c r="S233" s="22"/>
      <c r="T233" s="22"/>
      <c r="U233" s="22"/>
      <c r="V233" s="22"/>
      <c r="W233" s="22"/>
      <c r="X233" s="22"/>
    </row>
    <row r="234" spans="17:24" x14ac:dyDescent="0.25">
      <c r="Q234" s="22"/>
      <c r="R234" s="22"/>
      <c r="S234" s="22"/>
      <c r="T234" s="22"/>
      <c r="U234" s="22"/>
      <c r="V234" s="22"/>
      <c r="W234" s="22"/>
      <c r="X234" s="22"/>
    </row>
    <row r="235" spans="17:24" x14ac:dyDescent="0.25">
      <c r="Q235" s="22"/>
      <c r="R235" s="22"/>
      <c r="S235" s="22"/>
      <c r="T235" s="22"/>
      <c r="U235" s="22"/>
      <c r="V235" s="22"/>
      <c r="W235" s="22"/>
      <c r="X235" s="22"/>
    </row>
    <row r="236" spans="17:24" x14ac:dyDescent="0.25">
      <c r="Q236" s="22"/>
      <c r="R236" s="22"/>
      <c r="S236" s="22"/>
      <c r="T236" s="22"/>
      <c r="U236" s="22"/>
      <c r="V236" s="22"/>
      <c r="W236" s="22"/>
      <c r="X236" s="22"/>
    </row>
    <row r="237" spans="17:24" x14ac:dyDescent="0.25">
      <c r="Q237" s="22"/>
      <c r="R237" s="22"/>
      <c r="S237" s="22"/>
      <c r="T237" s="22"/>
      <c r="U237" s="22"/>
      <c r="V237" s="22"/>
      <c r="W237" s="22"/>
      <c r="X237" s="22"/>
    </row>
    <row r="238" spans="17:24" x14ac:dyDescent="0.25">
      <c r="Q238" s="22"/>
      <c r="R238" s="22"/>
      <c r="S238" s="22"/>
      <c r="T238" s="22"/>
      <c r="U238" s="22"/>
      <c r="V238" s="22"/>
      <c r="W238" s="22"/>
      <c r="X238" s="22"/>
    </row>
    <row r="239" spans="17:24" x14ac:dyDescent="0.25">
      <c r="Q239" s="22"/>
      <c r="R239" s="22"/>
      <c r="S239" s="22"/>
      <c r="T239" s="22"/>
      <c r="U239" s="22"/>
      <c r="V239" s="22"/>
      <c r="W239" s="22"/>
      <c r="X239" s="22"/>
    </row>
    <row r="240" spans="17:24" x14ac:dyDescent="0.25">
      <c r="Q240" s="22"/>
      <c r="R240" s="22"/>
      <c r="S240" s="22"/>
      <c r="T240" s="22"/>
      <c r="U240" s="22"/>
      <c r="V240" s="22"/>
      <c r="W240" s="22"/>
      <c r="X240" s="22"/>
    </row>
    <row r="241" spans="17:24" x14ac:dyDescent="0.25">
      <c r="Q241" s="22"/>
      <c r="R241" s="22"/>
      <c r="S241" s="22"/>
      <c r="T241" s="22"/>
      <c r="U241" s="22"/>
      <c r="V241" s="22"/>
      <c r="W241" s="22"/>
      <c r="X241" s="22"/>
    </row>
    <row r="242" spans="17:24" x14ac:dyDescent="0.25">
      <c r="Q242" s="22"/>
      <c r="R242" s="22"/>
      <c r="S242" s="22"/>
      <c r="T242" s="22"/>
      <c r="U242" s="22"/>
      <c r="V242" s="22"/>
      <c r="W242" s="22"/>
      <c r="X242" s="22"/>
    </row>
    <row r="243" spans="17:24" x14ac:dyDescent="0.25">
      <c r="Q243" s="22"/>
      <c r="R243" s="22"/>
      <c r="S243" s="22"/>
      <c r="T243" s="22"/>
      <c r="U243" s="22"/>
      <c r="V243" s="22"/>
      <c r="W243" s="22"/>
      <c r="X243" s="22"/>
    </row>
    <row r="244" spans="17:24" x14ac:dyDescent="0.25">
      <c r="Q244" s="22"/>
      <c r="R244" s="22"/>
      <c r="S244" s="22"/>
      <c r="T244" s="22"/>
      <c r="U244" s="22"/>
      <c r="V244" s="22"/>
      <c r="W244" s="22"/>
      <c r="X244" s="22"/>
    </row>
    <row r="245" spans="17:24" x14ac:dyDescent="0.25">
      <c r="Q245" s="22"/>
      <c r="R245" s="22"/>
      <c r="S245" s="22"/>
      <c r="T245" s="22"/>
      <c r="U245" s="22"/>
      <c r="V245" s="22"/>
      <c r="W245" s="22"/>
      <c r="X245" s="22"/>
    </row>
    <row r="246" spans="17:24" x14ac:dyDescent="0.25">
      <c r="Q246" s="22"/>
      <c r="R246" s="22"/>
      <c r="S246" s="22"/>
      <c r="T246" s="22"/>
      <c r="U246" s="22"/>
      <c r="V246" s="22"/>
      <c r="W246" s="22"/>
      <c r="X246" s="22"/>
    </row>
    <row r="247" spans="17:24" x14ac:dyDescent="0.25">
      <c r="Q247" s="22"/>
      <c r="R247" s="22"/>
      <c r="S247" s="22"/>
      <c r="T247" s="22"/>
      <c r="U247" s="22"/>
      <c r="V247" s="22"/>
      <c r="W247" s="22"/>
      <c r="X247" s="22"/>
    </row>
    <row r="248" spans="17:24" x14ac:dyDescent="0.25">
      <c r="Q248" s="22"/>
      <c r="R248" s="22"/>
      <c r="S248" s="22"/>
      <c r="T248" s="22"/>
      <c r="U248" s="22"/>
      <c r="V248" s="22"/>
      <c r="W248" s="22"/>
      <c r="X248" s="22"/>
    </row>
    <row r="249" spans="17:24" x14ac:dyDescent="0.25">
      <c r="Q249" s="22"/>
      <c r="R249" s="22"/>
      <c r="S249" s="22"/>
      <c r="T249" s="22"/>
      <c r="U249" s="22"/>
      <c r="V249" s="22"/>
      <c r="W249" s="22"/>
      <c r="X249" s="22"/>
    </row>
    <row r="250" spans="17:24" x14ac:dyDescent="0.25">
      <c r="Q250" s="22"/>
      <c r="R250" s="22"/>
      <c r="S250" s="22"/>
      <c r="T250" s="22"/>
      <c r="U250" s="22"/>
      <c r="V250" s="22"/>
      <c r="W250" s="22"/>
      <c r="X250" s="22"/>
    </row>
    <row r="251" spans="17:24" x14ac:dyDescent="0.25">
      <c r="Q251" s="22"/>
      <c r="R251" s="22"/>
      <c r="S251" s="22"/>
      <c r="T251" s="22"/>
      <c r="U251" s="22"/>
      <c r="V251" s="22"/>
      <c r="W251" s="22"/>
      <c r="X251" s="22"/>
    </row>
    <row r="252" spans="17:24" x14ac:dyDescent="0.25">
      <c r="Q252" s="22"/>
      <c r="R252" s="22"/>
      <c r="S252" s="22"/>
      <c r="T252" s="22"/>
      <c r="U252" s="22"/>
      <c r="V252" s="22"/>
      <c r="W252" s="22"/>
      <c r="X252" s="22"/>
    </row>
    <row r="253" spans="17:24" x14ac:dyDescent="0.25">
      <c r="Q253" s="22"/>
      <c r="R253" s="22"/>
      <c r="S253" s="22"/>
      <c r="T253" s="22"/>
      <c r="U253" s="22"/>
      <c r="V253" s="22"/>
      <c r="W253" s="22"/>
      <c r="X253" s="22"/>
    </row>
    <row r="254" spans="17:24" x14ac:dyDescent="0.25">
      <c r="Q254" s="22"/>
      <c r="R254" s="22"/>
      <c r="S254" s="22"/>
      <c r="T254" s="22"/>
      <c r="U254" s="22"/>
      <c r="V254" s="22"/>
      <c r="W254" s="22"/>
      <c r="X254" s="22"/>
    </row>
    <row r="255" spans="17:24" x14ac:dyDescent="0.25">
      <c r="Q255" s="22"/>
      <c r="R255" s="22"/>
      <c r="S255" s="22"/>
      <c r="T255" s="22"/>
      <c r="U255" s="22"/>
      <c r="V255" s="22"/>
      <c r="W255" s="22"/>
      <c r="X255" s="22"/>
    </row>
    <row r="256" spans="17:24" x14ac:dyDescent="0.25">
      <c r="Q256" s="22"/>
      <c r="R256" s="22"/>
      <c r="S256" s="22"/>
      <c r="T256" s="22"/>
      <c r="U256" s="22"/>
      <c r="V256" s="22"/>
      <c r="W256" s="22"/>
      <c r="X256" s="22"/>
    </row>
    <row r="257" spans="17:24" x14ac:dyDescent="0.25">
      <c r="Q257" s="22"/>
      <c r="R257" s="22"/>
      <c r="S257" s="22"/>
      <c r="T257" s="22"/>
      <c r="U257" s="22"/>
      <c r="V257" s="22"/>
      <c r="W257" s="22"/>
      <c r="X257" s="22"/>
    </row>
    <row r="258" spans="17:24" x14ac:dyDescent="0.25">
      <c r="Q258" s="22"/>
      <c r="R258" s="22"/>
      <c r="S258" s="22"/>
      <c r="T258" s="22"/>
      <c r="U258" s="22"/>
      <c r="V258" s="22"/>
      <c r="W258" s="22"/>
      <c r="X258" s="22"/>
    </row>
    <row r="259" spans="17:24" x14ac:dyDescent="0.25">
      <c r="Q259" s="22"/>
      <c r="R259" s="22"/>
      <c r="S259" s="22"/>
      <c r="T259" s="22"/>
      <c r="U259" s="22"/>
      <c r="V259" s="22"/>
      <c r="W259" s="22"/>
      <c r="X259" s="22"/>
    </row>
    <row r="260" spans="17:24" x14ac:dyDescent="0.25">
      <c r="Q260" s="22"/>
      <c r="R260" s="22"/>
      <c r="S260" s="22"/>
      <c r="T260" s="22"/>
      <c r="U260" s="22"/>
      <c r="V260" s="22"/>
      <c r="W260" s="22"/>
      <c r="X260" s="22"/>
    </row>
    <row r="261" spans="17:24" x14ac:dyDescent="0.25">
      <c r="Q261" s="22"/>
      <c r="R261" s="22"/>
      <c r="S261" s="22"/>
      <c r="T261" s="22"/>
      <c r="U261" s="22"/>
      <c r="V261" s="22"/>
      <c r="W261" s="22"/>
      <c r="X261" s="22"/>
    </row>
    <row r="262" spans="17:24" x14ac:dyDescent="0.25">
      <c r="Q262" s="22"/>
      <c r="R262" s="22"/>
      <c r="S262" s="22"/>
      <c r="T262" s="22"/>
      <c r="U262" s="22"/>
      <c r="V262" s="22"/>
      <c r="W262" s="22"/>
      <c r="X262" s="22"/>
    </row>
    <row r="263" spans="17:24" x14ac:dyDescent="0.25">
      <c r="Q263" s="22"/>
      <c r="R263" s="22"/>
      <c r="S263" s="22"/>
      <c r="T263" s="22"/>
      <c r="U263" s="22"/>
      <c r="V263" s="22"/>
      <c r="W263" s="22"/>
      <c r="X263" s="22"/>
    </row>
    <row r="264" spans="17:24" x14ac:dyDescent="0.25">
      <c r="Q264" s="22"/>
      <c r="R264" s="22"/>
      <c r="S264" s="22"/>
      <c r="T264" s="22"/>
      <c r="U264" s="22"/>
      <c r="V264" s="22"/>
      <c r="W264" s="22"/>
      <c r="X264" s="22"/>
    </row>
    <row r="265" spans="17:24" x14ac:dyDescent="0.25">
      <c r="Q265" s="22"/>
      <c r="R265" s="22"/>
      <c r="S265" s="22"/>
      <c r="T265" s="22"/>
      <c r="U265" s="22"/>
      <c r="V265" s="22"/>
      <c r="W265" s="22"/>
      <c r="X265" s="22"/>
    </row>
    <row r="266" spans="17:24" x14ac:dyDescent="0.25">
      <c r="Q266" s="22"/>
      <c r="R266" s="22"/>
      <c r="S266" s="22"/>
      <c r="T266" s="22"/>
      <c r="U266" s="22"/>
      <c r="V266" s="22"/>
      <c r="W266" s="22"/>
      <c r="X266" s="22"/>
    </row>
    <row r="267" spans="17:24" x14ac:dyDescent="0.25">
      <c r="Q267" s="22"/>
      <c r="R267" s="22"/>
      <c r="S267" s="22"/>
      <c r="T267" s="22"/>
      <c r="U267" s="22"/>
      <c r="V267" s="22"/>
      <c r="W267" s="22"/>
      <c r="X267" s="22"/>
    </row>
    <row r="268" spans="17:24" x14ac:dyDescent="0.25">
      <c r="Q268" s="22"/>
      <c r="R268" s="22"/>
      <c r="S268" s="22"/>
      <c r="T268" s="22"/>
      <c r="U268" s="22"/>
      <c r="V268" s="22"/>
      <c r="W268" s="22"/>
      <c r="X268" s="22"/>
    </row>
    <row r="269" spans="17:24" x14ac:dyDescent="0.25">
      <c r="Q269" s="22"/>
      <c r="R269" s="22"/>
      <c r="S269" s="22"/>
      <c r="T269" s="22"/>
      <c r="U269" s="22"/>
      <c r="V269" s="22"/>
      <c r="W269" s="22"/>
      <c r="X269" s="22"/>
    </row>
    <row r="270" spans="17:24" x14ac:dyDescent="0.25">
      <c r="Q270" s="22"/>
      <c r="R270" s="22"/>
      <c r="S270" s="22"/>
      <c r="T270" s="22"/>
      <c r="U270" s="22"/>
      <c r="V270" s="22"/>
      <c r="W270" s="22"/>
      <c r="X270" s="22"/>
    </row>
    <row r="271" spans="17:24" x14ac:dyDescent="0.25">
      <c r="Q271" s="22"/>
      <c r="R271" s="22"/>
      <c r="S271" s="22"/>
      <c r="T271" s="22"/>
      <c r="U271" s="22"/>
      <c r="V271" s="22"/>
      <c r="W271" s="22"/>
      <c r="X271" s="22"/>
    </row>
    <row r="272" spans="17:24" x14ac:dyDescent="0.25">
      <c r="Q272" s="22"/>
      <c r="R272" s="22"/>
      <c r="S272" s="22"/>
      <c r="T272" s="22"/>
      <c r="U272" s="22"/>
      <c r="V272" s="22"/>
      <c r="W272" s="22"/>
      <c r="X272" s="22"/>
    </row>
    <row r="273" spans="17:24" x14ac:dyDescent="0.25">
      <c r="Q273" s="22"/>
      <c r="R273" s="22"/>
      <c r="S273" s="22"/>
      <c r="T273" s="22"/>
      <c r="U273" s="22"/>
      <c r="V273" s="22"/>
      <c r="W273" s="22"/>
      <c r="X273" s="22"/>
    </row>
    <row r="274" spans="17:24" x14ac:dyDescent="0.25">
      <c r="Q274" s="22"/>
      <c r="R274" s="22"/>
      <c r="S274" s="22"/>
      <c r="T274" s="22"/>
      <c r="U274" s="22"/>
      <c r="V274" s="22"/>
      <c r="W274" s="22"/>
      <c r="X274" s="22"/>
    </row>
    <row r="275" spans="17:24" x14ac:dyDescent="0.25">
      <c r="Q275" s="22"/>
      <c r="R275" s="22"/>
      <c r="S275" s="22"/>
      <c r="T275" s="22"/>
      <c r="U275" s="22"/>
      <c r="V275" s="22"/>
      <c r="W275" s="22"/>
      <c r="X275" s="22"/>
    </row>
    <row r="276" spans="17:24" x14ac:dyDescent="0.25">
      <c r="Q276" s="22"/>
      <c r="R276" s="22"/>
      <c r="S276" s="22"/>
      <c r="T276" s="22"/>
      <c r="U276" s="22"/>
      <c r="V276" s="22"/>
      <c r="W276" s="22"/>
      <c r="X276" s="22"/>
    </row>
    <row r="277" spans="17:24" x14ac:dyDescent="0.25">
      <c r="Q277" s="22"/>
      <c r="R277" s="22"/>
      <c r="S277" s="22"/>
      <c r="T277" s="22"/>
      <c r="U277" s="22"/>
      <c r="V277" s="22"/>
      <c r="W277" s="22"/>
      <c r="X277" s="22"/>
    </row>
    <row r="278" spans="17:24" x14ac:dyDescent="0.25">
      <c r="Q278" s="22"/>
      <c r="R278" s="22"/>
      <c r="S278" s="22"/>
      <c r="T278" s="22"/>
      <c r="U278" s="22"/>
      <c r="V278" s="22"/>
      <c r="W278" s="22"/>
      <c r="X278" s="22"/>
    </row>
    <row r="279" spans="17:24" x14ac:dyDescent="0.25">
      <c r="Q279" s="22"/>
      <c r="R279" s="22"/>
      <c r="S279" s="22"/>
      <c r="T279" s="22"/>
      <c r="U279" s="22"/>
      <c r="V279" s="22"/>
      <c r="W279" s="22"/>
      <c r="X279" s="22"/>
    </row>
    <row r="280" spans="17:24" x14ac:dyDescent="0.25">
      <c r="Q280" s="22"/>
      <c r="R280" s="22"/>
      <c r="S280" s="22"/>
      <c r="T280" s="22"/>
      <c r="U280" s="22"/>
      <c r="V280" s="22"/>
      <c r="W280" s="22"/>
      <c r="X280" s="22"/>
    </row>
    <row r="281" spans="17:24" x14ac:dyDescent="0.25">
      <c r="Q281" s="22"/>
      <c r="R281" s="22"/>
      <c r="S281" s="22"/>
      <c r="T281" s="22"/>
      <c r="U281" s="22"/>
      <c r="V281" s="22"/>
      <c r="W281" s="22"/>
      <c r="X281" s="22"/>
    </row>
    <row r="282" spans="17:24" x14ac:dyDescent="0.25">
      <c r="Q282" s="22"/>
      <c r="R282" s="22"/>
      <c r="S282" s="22"/>
      <c r="T282" s="22"/>
      <c r="U282" s="22"/>
      <c r="V282" s="22"/>
      <c r="W282" s="22"/>
      <c r="X282" s="22"/>
    </row>
    <row r="283" spans="17:24" x14ac:dyDescent="0.25">
      <c r="Q283" s="22"/>
      <c r="R283" s="22"/>
      <c r="S283" s="22"/>
      <c r="T283" s="22"/>
      <c r="U283" s="22"/>
      <c r="V283" s="22"/>
      <c r="W283" s="22"/>
      <c r="X283" s="22"/>
    </row>
    <row r="284" spans="17:24" x14ac:dyDescent="0.25">
      <c r="Q284" s="22"/>
      <c r="R284" s="22"/>
      <c r="S284" s="22"/>
      <c r="T284" s="22"/>
      <c r="U284" s="22"/>
      <c r="V284" s="22"/>
      <c r="W284" s="22"/>
      <c r="X284" s="22"/>
    </row>
    <row r="285" spans="17:24" x14ac:dyDescent="0.25">
      <c r="Q285" s="22"/>
      <c r="R285" s="22"/>
      <c r="S285" s="22"/>
      <c r="T285" s="22"/>
      <c r="U285" s="22"/>
      <c r="V285" s="22"/>
      <c r="W285" s="22"/>
      <c r="X285" s="22"/>
    </row>
    <row r="286" spans="17:24" x14ac:dyDescent="0.25">
      <c r="Q286" s="22"/>
      <c r="R286" s="22"/>
      <c r="S286" s="22"/>
      <c r="T286" s="22"/>
      <c r="U286" s="22"/>
      <c r="V286" s="22"/>
      <c r="W286" s="22"/>
      <c r="X286" s="22"/>
    </row>
    <row r="287" spans="17:24" x14ac:dyDescent="0.25">
      <c r="Q287" s="22"/>
      <c r="R287" s="22"/>
      <c r="S287" s="22"/>
      <c r="T287" s="22"/>
      <c r="U287" s="22"/>
      <c r="V287" s="22"/>
      <c r="W287" s="22"/>
      <c r="X287" s="22"/>
    </row>
    <row r="288" spans="17:24" x14ac:dyDescent="0.25">
      <c r="Q288" s="22"/>
      <c r="R288" s="22"/>
      <c r="S288" s="22"/>
      <c r="T288" s="22"/>
      <c r="U288" s="22"/>
      <c r="V288" s="22"/>
      <c r="W288" s="22"/>
      <c r="X288" s="22"/>
    </row>
    <row r="289" spans="17:24" x14ac:dyDescent="0.25">
      <c r="Q289" s="22"/>
      <c r="R289" s="22"/>
      <c r="S289" s="22"/>
      <c r="T289" s="22"/>
      <c r="U289" s="22"/>
      <c r="V289" s="22"/>
      <c r="W289" s="22"/>
      <c r="X289" s="22"/>
    </row>
    <row r="290" spans="17:24" x14ac:dyDescent="0.25">
      <c r="Q290" s="22"/>
      <c r="R290" s="22"/>
      <c r="S290" s="22"/>
      <c r="T290" s="22"/>
      <c r="U290" s="22"/>
      <c r="V290" s="22"/>
      <c r="W290" s="22"/>
      <c r="X290" s="22"/>
    </row>
    <row r="291" spans="17:24" x14ac:dyDescent="0.25">
      <c r="Q291" s="22"/>
      <c r="R291" s="22"/>
      <c r="S291" s="22"/>
      <c r="T291" s="22"/>
      <c r="U291" s="22"/>
      <c r="V291" s="22"/>
      <c r="W291" s="22"/>
      <c r="X291" s="22"/>
    </row>
    <row r="292" spans="17:24" x14ac:dyDescent="0.25">
      <c r="Q292" s="22"/>
      <c r="R292" s="22"/>
      <c r="S292" s="22"/>
      <c r="T292" s="22"/>
      <c r="U292" s="22"/>
      <c r="V292" s="22"/>
      <c r="W292" s="22"/>
      <c r="X292" s="22"/>
    </row>
    <row r="293" spans="17:24" x14ac:dyDescent="0.25">
      <c r="Q293" s="22"/>
      <c r="R293" s="22"/>
      <c r="S293" s="22"/>
      <c r="T293" s="22"/>
      <c r="U293" s="22"/>
      <c r="V293" s="22"/>
      <c r="W293" s="22"/>
      <c r="X293" s="22"/>
    </row>
    <row r="294" spans="17:24" x14ac:dyDescent="0.25">
      <c r="Q294" s="22"/>
      <c r="R294" s="22"/>
      <c r="S294" s="22"/>
      <c r="T294" s="22"/>
      <c r="U294" s="22"/>
      <c r="V294" s="22"/>
      <c r="W294" s="22"/>
      <c r="X294" s="22"/>
    </row>
    <row r="295" spans="17:24" x14ac:dyDescent="0.25">
      <c r="Q295" s="22"/>
      <c r="R295" s="22"/>
      <c r="S295" s="22"/>
      <c r="T295" s="22"/>
      <c r="U295" s="22"/>
      <c r="V295" s="22"/>
      <c r="W295" s="22"/>
      <c r="X295" s="22"/>
    </row>
    <row r="296" spans="17:24" x14ac:dyDescent="0.25">
      <c r="Q296" s="22"/>
      <c r="R296" s="22"/>
      <c r="S296" s="22"/>
      <c r="T296" s="22"/>
      <c r="U296" s="22"/>
      <c r="V296" s="22"/>
      <c r="W296" s="22"/>
      <c r="X296" s="22"/>
    </row>
    <row r="297" spans="17:24" x14ac:dyDescent="0.25">
      <c r="Q297" s="22"/>
      <c r="R297" s="22"/>
      <c r="S297" s="22"/>
      <c r="T297" s="22"/>
      <c r="U297" s="22"/>
      <c r="V297" s="22"/>
      <c r="W297" s="22"/>
      <c r="X297" s="22"/>
    </row>
    <row r="298" spans="17:24" x14ac:dyDescent="0.25">
      <c r="Q298" s="22"/>
      <c r="R298" s="22"/>
      <c r="S298" s="22"/>
      <c r="T298" s="22"/>
      <c r="U298" s="22"/>
      <c r="V298" s="22"/>
      <c r="W298" s="22"/>
      <c r="X298" s="22"/>
    </row>
    <row r="299" spans="17:24" x14ac:dyDescent="0.25">
      <c r="Q299" s="22"/>
      <c r="R299" s="22"/>
      <c r="S299" s="22"/>
      <c r="T299" s="22"/>
      <c r="U299" s="22"/>
      <c r="V299" s="22"/>
      <c r="W299" s="22"/>
      <c r="X299" s="22"/>
    </row>
    <row r="300" spans="17:24" x14ac:dyDescent="0.25">
      <c r="Q300" s="22"/>
      <c r="R300" s="22"/>
      <c r="S300" s="22"/>
      <c r="T300" s="22"/>
      <c r="U300" s="22"/>
      <c r="V300" s="22"/>
      <c r="W300" s="22"/>
      <c r="X300" s="22"/>
    </row>
    <row r="301" spans="17:24" x14ac:dyDescent="0.25">
      <c r="Q301" s="22"/>
      <c r="R301" s="22"/>
      <c r="S301" s="22"/>
      <c r="T301" s="22"/>
      <c r="U301" s="22"/>
      <c r="V301" s="22"/>
      <c r="W301" s="22"/>
      <c r="X301" s="22"/>
    </row>
    <row r="302" spans="17:24" x14ac:dyDescent="0.25">
      <c r="Q302" s="22"/>
      <c r="R302" s="22"/>
      <c r="S302" s="22"/>
      <c r="T302" s="22"/>
      <c r="U302" s="22"/>
      <c r="V302" s="22"/>
      <c r="W302" s="22"/>
      <c r="X302" s="22"/>
    </row>
    <row r="303" spans="17:24" x14ac:dyDescent="0.25">
      <c r="Q303" s="22"/>
      <c r="R303" s="22"/>
      <c r="S303" s="22"/>
      <c r="T303" s="22"/>
      <c r="U303" s="22"/>
      <c r="V303" s="22"/>
      <c r="W303" s="22"/>
      <c r="X303" s="22"/>
    </row>
    <row r="304" spans="17:24" x14ac:dyDescent="0.25">
      <c r="Q304" s="22"/>
      <c r="R304" s="22"/>
      <c r="S304" s="22"/>
      <c r="T304" s="22"/>
      <c r="U304" s="22"/>
      <c r="V304" s="22"/>
      <c r="W304" s="22"/>
      <c r="X304" s="22"/>
    </row>
    <row r="305" spans="17:24" x14ac:dyDescent="0.25">
      <c r="Q305" s="22"/>
      <c r="R305" s="22"/>
      <c r="S305" s="22"/>
      <c r="T305" s="22"/>
      <c r="U305" s="22"/>
      <c r="V305" s="22"/>
      <c r="W305" s="22"/>
      <c r="X305" s="22"/>
    </row>
    <row r="306" spans="17:24" x14ac:dyDescent="0.25">
      <c r="Q306" s="22"/>
      <c r="R306" s="22"/>
      <c r="S306" s="22"/>
      <c r="T306" s="22"/>
      <c r="U306" s="22"/>
      <c r="V306" s="22"/>
      <c r="W306" s="22"/>
      <c r="X306" s="22"/>
    </row>
    <row r="307" spans="17:24" x14ac:dyDescent="0.25">
      <c r="Q307" s="22"/>
      <c r="R307" s="22"/>
      <c r="S307" s="22"/>
      <c r="T307" s="22"/>
      <c r="U307" s="22"/>
      <c r="V307" s="22"/>
      <c r="W307" s="22"/>
      <c r="X307" s="22"/>
    </row>
    <row r="308" spans="17:24" x14ac:dyDescent="0.25">
      <c r="Q308" s="22"/>
      <c r="R308" s="22"/>
      <c r="S308" s="22"/>
      <c r="T308" s="22"/>
      <c r="U308" s="22"/>
      <c r="V308" s="22"/>
      <c r="W308" s="22"/>
      <c r="X308" s="22"/>
    </row>
    <row r="309" spans="17:24" x14ac:dyDescent="0.25">
      <c r="Q309" s="22"/>
      <c r="R309" s="22"/>
      <c r="S309" s="22"/>
      <c r="T309" s="22"/>
      <c r="U309" s="22"/>
      <c r="V309" s="22"/>
      <c r="W309" s="22"/>
      <c r="X309" s="22"/>
    </row>
    <row r="310" spans="17:24" x14ac:dyDescent="0.25">
      <c r="Q310" s="22"/>
      <c r="R310" s="22"/>
      <c r="S310" s="22"/>
      <c r="T310" s="22"/>
      <c r="U310" s="22"/>
      <c r="V310" s="22"/>
      <c r="W310" s="22"/>
      <c r="X310" s="22"/>
    </row>
    <row r="311" spans="17:24" x14ac:dyDescent="0.25">
      <c r="Q311" s="22"/>
      <c r="R311" s="22"/>
      <c r="S311" s="22"/>
      <c r="T311" s="22"/>
      <c r="U311" s="22"/>
      <c r="V311" s="22"/>
      <c r="W311" s="22"/>
      <c r="X311" s="22"/>
    </row>
    <row r="312" spans="17:24" x14ac:dyDescent="0.25">
      <c r="Q312" s="22"/>
      <c r="R312" s="22"/>
      <c r="S312" s="22"/>
      <c r="T312" s="22"/>
      <c r="U312" s="22"/>
      <c r="V312" s="22"/>
      <c r="W312" s="22"/>
      <c r="X312" s="22"/>
    </row>
    <row r="313" spans="17:24" x14ac:dyDescent="0.25">
      <c r="Q313" s="22"/>
      <c r="R313" s="22"/>
      <c r="S313" s="22"/>
      <c r="T313" s="22"/>
      <c r="U313" s="22"/>
      <c r="V313" s="22"/>
      <c r="W313" s="22"/>
      <c r="X313" s="22"/>
    </row>
    <row r="314" spans="17:24" x14ac:dyDescent="0.25">
      <c r="Q314" s="22"/>
      <c r="R314" s="22"/>
      <c r="S314" s="22"/>
      <c r="T314" s="22"/>
      <c r="U314" s="22"/>
      <c r="V314" s="22"/>
      <c r="W314" s="22"/>
      <c r="X314" s="22"/>
    </row>
    <row r="315" spans="17:24" x14ac:dyDescent="0.25">
      <c r="Q315" s="22"/>
      <c r="R315" s="22"/>
      <c r="S315" s="22"/>
      <c r="T315" s="22"/>
      <c r="U315" s="22"/>
      <c r="V315" s="22"/>
      <c r="W315" s="22"/>
      <c r="X315" s="22"/>
    </row>
    <row r="316" spans="17:24" x14ac:dyDescent="0.25">
      <c r="Q316" s="22"/>
      <c r="R316" s="22"/>
      <c r="S316" s="22"/>
      <c r="T316" s="22"/>
      <c r="U316" s="22"/>
      <c r="V316" s="22"/>
      <c r="W316" s="22"/>
      <c r="X316" s="22"/>
    </row>
    <row r="317" spans="17:24" x14ac:dyDescent="0.25">
      <c r="Q317" s="22"/>
      <c r="R317" s="22"/>
      <c r="S317" s="22"/>
      <c r="T317" s="22"/>
      <c r="U317" s="22"/>
      <c r="V317" s="22"/>
      <c r="W317" s="22"/>
      <c r="X317" s="22"/>
    </row>
    <row r="318" spans="17:24" x14ac:dyDescent="0.25">
      <c r="Q318" s="22"/>
      <c r="R318" s="22"/>
      <c r="S318" s="22"/>
      <c r="T318" s="22"/>
      <c r="U318" s="22"/>
      <c r="V318" s="22"/>
      <c r="W318" s="22"/>
      <c r="X318" s="22"/>
    </row>
    <row r="319" spans="17:24" x14ac:dyDescent="0.25">
      <c r="Q319" s="22"/>
      <c r="R319" s="22"/>
      <c r="S319" s="22"/>
      <c r="T319" s="22"/>
      <c r="U319" s="22"/>
      <c r="V319" s="22"/>
      <c r="W319" s="22"/>
      <c r="X319" s="22"/>
    </row>
    <row r="320" spans="17:24" x14ac:dyDescent="0.25">
      <c r="Q320" s="22"/>
      <c r="R320" s="22"/>
      <c r="S320" s="22"/>
      <c r="T320" s="22"/>
      <c r="U320" s="22"/>
      <c r="V320" s="22"/>
      <c r="W320" s="22"/>
      <c r="X320" s="22"/>
    </row>
    <row r="321" spans="17:24" x14ac:dyDescent="0.25">
      <c r="Q321" s="22"/>
      <c r="R321" s="22"/>
      <c r="S321" s="22"/>
      <c r="T321" s="22"/>
      <c r="U321" s="22"/>
      <c r="V321" s="22"/>
      <c r="W321" s="22"/>
      <c r="X321" s="22"/>
    </row>
    <row r="322" spans="17:24" x14ac:dyDescent="0.25">
      <c r="Q322" s="22"/>
      <c r="R322" s="22"/>
      <c r="S322" s="22"/>
      <c r="T322" s="22"/>
      <c r="U322" s="22"/>
      <c r="V322" s="22"/>
      <c r="W322" s="22"/>
      <c r="X322" s="22"/>
    </row>
    <row r="323" spans="17:24" x14ac:dyDescent="0.25">
      <c r="Q323" s="22"/>
      <c r="R323" s="22"/>
      <c r="S323" s="22"/>
      <c r="T323" s="22"/>
      <c r="U323" s="22"/>
      <c r="V323" s="22"/>
      <c r="W323" s="22"/>
      <c r="X323" s="22"/>
    </row>
    <row r="324" spans="17:24" x14ac:dyDescent="0.25">
      <c r="Q324" s="22"/>
      <c r="R324" s="22"/>
      <c r="S324" s="22"/>
      <c r="T324" s="22"/>
      <c r="U324" s="22"/>
      <c r="V324" s="22"/>
      <c r="W324" s="22"/>
      <c r="X324" s="22"/>
    </row>
    <row r="325" spans="17:24" x14ac:dyDescent="0.25">
      <c r="Q325" s="22"/>
      <c r="R325" s="22"/>
      <c r="S325" s="22"/>
      <c r="T325" s="22"/>
      <c r="U325" s="22"/>
      <c r="V325" s="22"/>
      <c r="W325" s="22"/>
      <c r="X325" s="22"/>
    </row>
    <row r="326" spans="17:24" x14ac:dyDescent="0.25">
      <c r="Q326" s="22"/>
      <c r="R326" s="22"/>
      <c r="S326" s="22"/>
      <c r="T326" s="22"/>
      <c r="U326" s="22"/>
      <c r="V326" s="22"/>
      <c r="W326" s="22"/>
      <c r="X326" s="22"/>
    </row>
    <row r="327" spans="17:24" x14ac:dyDescent="0.25">
      <c r="Q327" s="22"/>
      <c r="R327" s="22"/>
      <c r="S327" s="22"/>
      <c r="T327" s="22"/>
      <c r="U327" s="22"/>
      <c r="V327" s="22"/>
      <c r="W327" s="22"/>
      <c r="X327" s="22"/>
    </row>
    <row r="328" spans="17:24" x14ac:dyDescent="0.25">
      <c r="Q328" s="22"/>
      <c r="R328" s="22"/>
      <c r="S328" s="22"/>
      <c r="T328" s="22"/>
      <c r="U328" s="22"/>
      <c r="V328" s="22"/>
      <c r="W328" s="22"/>
      <c r="X328" s="22"/>
    </row>
    <row r="329" spans="17:24" x14ac:dyDescent="0.25">
      <c r="Q329" s="22"/>
      <c r="R329" s="22"/>
      <c r="S329" s="22"/>
      <c r="T329" s="22"/>
      <c r="U329" s="22"/>
      <c r="V329" s="22"/>
      <c r="W329" s="22"/>
      <c r="X329" s="22"/>
    </row>
    <row r="330" spans="17:24" x14ac:dyDescent="0.25">
      <c r="Q330" s="22"/>
      <c r="R330" s="22"/>
      <c r="S330" s="22"/>
      <c r="T330" s="22"/>
      <c r="U330" s="22"/>
      <c r="V330" s="22"/>
      <c r="W330" s="22"/>
      <c r="X330" s="22"/>
    </row>
    <row r="331" spans="17:24" x14ac:dyDescent="0.25">
      <c r="Q331" s="22"/>
      <c r="R331" s="22"/>
      <c r="S331" s="22"/>
      <c r="T331" s="22"/>
      <c r="U331" s="22"/>
      <c r="V331" s="22"/>
      <c r="W331" s="22"/>
      <c r="X331" s="22"/>
    </row>
    <row r="332" spans="17:24" x14ac:dyDescent="0.25">
      <c r="Q332" s="22"/>
      <c r="R332" s="22"/>
      <c r="S332" s="22"/>
      <c r="T332" s="22"/>
      <c r="U332" s="22"/>
      <c r="V332" s="22"/>
      <c r="W332" s="22"/>
      <c r="X332" s="22"/>
    </row>
    <row r="333" spans="17:24" x14ac:dyDescent="0.25">
      <c r="Q333" s="22"/>
      <c r="R333" s="22"/>
      <c r="S333" s="22"/>
      <c r="T333" s="22"/>
      <c r="U333" s="22"/>
      <c r="V333" s="22"/>
      <c r="W333" s="22"/>
      <c r="X333" s="22"/>
    </row>
    <row r="334" spans="17:24" x14ac:dyDescent="0.25">
      <c r="Q334" s="22"/>
      <c r="R334" s="22"/>
      <c r="S334" s="22"/>
      <c r="T334" s="22"/>
      <c r="U334" s="22"/>
      <c r="V334" s="22"/>
      <c r="W334" s="22"/>
      <c r="X334" s="22"/>
    </row>
    <row r="335" spans="17:24" x14ac:dyDescent="0.25">
      <c r="Q335" s="22"/>
      <c r="R335" s="22"/>
      <c r="S335" s="22"/>
      <c r="T335" s="22"/>
      <c r="U335" s="22"/>
      <c r="V335" s="22"/>
      <c r="W335" s="22"/>
      <c r="X335" s="22"/>
    </row>
    <row r="336" spans="17:24" x14ac:dyDescent="0.25">
      <c r="Q336" s="22"/>
      <c r="R336" s="22"/>
      <c r="S336" s="22"/>
      <c r="T336" s="22"/>
      <c r="U336" s="22"/>
      <c r="V336" s="22"/>
      <c r="W336" s="22"/>
      <c r="X336" s="22"/>
    </row>
    <row r="337" spans="17:24" x14ac:dyDescent="0.25">
      <c r="Q337" s="22"/>
      <c r="R337" s="22"/>
      <c r="S337" s="22"/>
      <c r="T337" s="22"/>
      <c r="U337" s="22"/>
      <c r="V337" s="22"/>
      <c r="W337" s="22"/>
      <c r="X337" s="22"/>
    </row>
    <row r="338" spans="17:24" x14ac:dyDescent="0.25">
      <c r="Q338" s="22"/>
      <c r="R338" s="22"/>
      <c r="S338" s="22"/>
      <c r="T338" s="22"/>
      <c r="U338" s="22"/>
      <c r="V338" s="22"/>
      <c r="W338" s="22"/>
      <c r="X338" s="22"/>
    </row>
    <row r="339" spans="17:24" x14ac:dyDescent="0.25">
      <c r="Q339" s="22"/>
      <c r="R339" s="22"/>
      <c r="S339" s="22"/>
      <c r="T339" s="22"/>
      <c r="U339" s="22"/>
      <c r="V339" s="22"/>
      <c r="W339" s="22"/>
      <c r="X339" s="22"/>
    </row>
    <row r="340" spans="17:24" x14ac:dyDescent="0.25">
      <c r="Q340" s="22"/>
      <c r="R340" s="22"/>
      <c r="S340" s="22"/>
      <c r="T340" s="22"/>
      <c r="U340" s="22"/>
      <c r="V340" s="22"/>
      <c r="W340" s="22"/>
      <c r="X340" s="22"/>
    </row>
    <row r="341" spans="17:24" x14ac:dyDescent="0.25">
      <c r="Q341" s="22"/>
      <c r="R341" s="22"/>
      <c r="S341" s="22"/>
      <c r="T341" s="22"/>
      <c r="U341" s="22"/>
      <c r="V341" s="22"/>
      <c r="W341" s="22"/>
      <c r="X341" s="22"/>
    </row>
    <row r="342" spans="17:24" x14ac:dyDescent="0.25">
      <c r="Q342" s="22"/>
      <c r="R342" s="22"/>
      <c r="S342" s="22"/>
      <c r="T342" s="22"/>
      <c r="U342" s="22"/>
      <c r="V342" s="22"/>
      <c r="W342" s="22"/>
      <c r="X342" s="22"/>
    </row>
    <row r="343" spans="17:24" x14ac:dyDescent="0.25">
      <c r="Q343" s="22"/>
      <c r="R343" s="22"/>
      <c r="S343" s="22"/>
      <c r="T343" s="22"/>
      <c r="U343" s="22"/>
      <c r="V343" s="22"/>
      <c r="W343" s="22"/>
      <c r="X343" s="22"/>
    </row>
    <row r="344" spans="17:24" x14ac:dyDescent="0.25">
      <c r="Q344" s="22"/>
      <c r="R344" s="22"/>
      <c r="S344" s="22"/>
      <c r="T344" s="22"/>
      <c r="U344" s="22"/>
      <c r="V344" s="22"/>
      <c r="W344" s="22"/>
      <c r="X344" s="22"/>
    </row>
    <row r="345" spans="17:24" x14ac:dyDescent="0.25">
      <c r="Q345" s="22"/>
      <c r="R345" s="22"/>
      <c r="S345" s="22"/>
      <c r="T345" s="22"/>
      <c r="U345" s="22"/>
      <c r="V345" s="22"/>
      <c r="W345" s="22"/>
      <c r="X345" s="22"/>
    </row>
    <row r="346" spans="17:24" x14ac:dyDescent="0.25">
      <c r="Q346" s="22"/>
      <c r="R346" s="22"/>
      <c r="S346" s="22"/>
      <c r="T346" s="22"/>
      <c r="U346" s="22"/>
      <c r="V346" s="22"/>
      <c r="W346" s="22"/>
      <c r="X346" s="22"/>
    </row>
    <row r="347" spans="17:24" x14ac:dyDescent="0.25">
      <c r="Q347" s="22"/>
      <c r="R347" s="22"/>
      <c r="S347" s="22"/>
      <c r="T347" s="22"/>
      <c r="U347" s="22"/>
      <c r="V347" s="22"/>
      <c r="W347" s="22"/>
      <c r="X347" s="22"/>
    </row>
    <row r="348" spans="17:24" x14ac:dyDescent="0.25">
      <c r="Q348" s="22"/>
      <c r="R348" s="22"/>
      <c r="S348" s="22"/>
      <c r="T348" s="22"/>
      <c r="U348" s="22"/>
      <c r="V348" s="22"/>
      <c r="W348" s="22"/>
      <c r="X348" s="22"/>
    </row>
    <row r="349" spans="17:24" x14ac:dyDescent="0.25">
      <c r="Q349" s="22"/>
      <c r="R349" s="22"/>
      <c r="S349" s="22"/>
      <c r="T349" s="22"/>
      <c r="U349" s="22"/>
      <c r="V349" s="22"/>
      <c r="W349" s="22"/>
      <c r="X349" s="22"/>
    </row>
    <row r="350" spans="17:24" x14ac:dyDescent="0.25">
      <c r="Q350" s="22"/>
      <c r="R350" s="22"/>
      <c r="S350" s="22"/>
      <c r="T350" s="22"/>
      <c r="U350" s="22"/>
      <c r="V350" s="22"/>
      <c r="W350" s="22"/>
      <c r="X350" s="22"/>
    </row>
    <row r="351" spans="17:24" x14ac:dyDescent="0.25">
      <c r="Q351" s="22"/>
      <c r="R351" s="22"/>
      <c r="S351" s="22"/>
      <c r="T351" s="22"/>
      <c r="U351" s="22"/>
      <c r="V351" s="22"/>
      <c r="W351" s="22"/>
      <c r="X351" s="22"/>
    </row>
    <row r="352" spans="17:24" x14ac:dyDescent="0.25">
      <c r="Q352" s="22"/>
      <c r="R352" s="22"/>
      <c r="S352" s="22"/>
      <c r="T352" s="22"/>
      <c r="U352" s="22"/>
      <c r="V352" s="22"/>
      <c r="W352" s="22"/>
      <c r="X352" s="22"/>
    </row>
    <row r="353" spans="17:24" x14ac:dyDescent="0.25">
      <c r="Q353" s="22"/>
      <c r="R353" s="22"/>
      <c r="S353" s="22"/>
      <c r="T353" s="22"/>
      <c r="U353" s="22"/>
      <c r="V353" s="22"/>
      <c r="W353" s="22"/>
      <c r="X353" s="22"/>
    </row>
    <row r="354" spans="17:24" x14ac:dyDescent="0.25">
      <c r="Q354" s="22"/>
      <c r="R354" s="22"/>
      <c r="S354" s="22"/>
      <c r="T354" s="22"/>
      <c r="U354" s="22"/>
      <c r="V354" s="22"/>
      <c r="W354" s="22"/>
      <c r="X354" s="22"/>
    </row>
    <row r="355" spans="17:24" x14ac:dyDescent="0.25">
      <c r="Q355" s="22"/>
      <c r="R355" s="22"/>
      <c r="S355" s="22"/>
      <c r="T355" s="22"/>
      <c r="U355" s="22"/>
      <c r="V355" s="22"/>
      <c r="W355" s="22"/>
      <c r="X355" s="22"/>
    </row>
    <row r="356" spans="17:24" x14ac:dyDescent="0.25">
      <c r="Q356" s="22"/>
      <c r="R356" s="22"/>
      <c r="S356" s="22"/>
      <c r="T356" s="22"/>
      <c r="U356" s="22"/>
      <c r="V356" s="22"/>
      <c r="W356" s="22"/>
      <c r="X356" s="22"/>
    </row>
    <row r="357" spans="17:24" x14ac:dyDescent="0.25">
      <c r="Q357" s="22"/>
      <c r="R357" s="22"/>
      <c r="S357" s="22"/>
      <c r="T357" s="22"/>
      <c r="U357" s="22"/>
      <c r="V357" s="22"/>
      <c r="W357" s="22"/>
      <c r="X357" s="22"/>
    </row>
    <row r="358" spans="17:24" x14ac:dyDescent="0.25">
      <c r="Q358" s="22"/>
      <c r="R358" s="22"/>
      <c r="S358" s="22"/>
      <c r="T358" s="22"/>
      <c r="U358" s="22"/>
      <c r="V358" s="22"/>
      <c r="W358" s="22"/>
      <c r="X358" s="22"/>
    </row>
    <row r="359" spans="17:24" x14ac:dyDescent="0.25">
      <c r="Q359" s="22"/>
      <c r="R359" s="22"/>
      <c r="S359" s="22"/>
      <c r="T359" s="22"/>
      <c r="U359" s="22"/>
      <c r="V359" s="22"/>
      <c r="W359" s="22"/>
      <c r="X359" s="22"/>
    </row>
    <row r="360" spans="17:24" x14ac:dyDescent="0.25">
      <c r="Q360" s="22"/>
      <c r="R360" s="22"/>
      <c r="S360" s="22"/>
      <c r="T360" s="22"/>
      <c r="U360" s="22"/>
      <c r="V360" s="22"/>
      <c r="W360" s="22"/>
      <c r="X360" s="22"/>
    </row>
    <row r="361" spans="17:24" x14ac:dyDescent="0.25">
      <c r="Q361" s="22"/>
      <c r="R361" s="22"/>
      <c r="S361" s="22"/>
      <c r="T361" s="22"/>
      <c r="U361" s="22"/>
      <c r="V361" s="22"/>
      <c r="W361" s="22"/>
      <c r="X361" s="22"/>
    </row>
    <row r="362" spans="17:24" x14ac:dyDescent="0.25">
      <c r="Q362" s="22"/>
      <c r="R362" s="22"/>
      <c r="S362" s="22"/>
      <c r="T362" s="22"/>
      <c r="U362" s="22"/>
      <c r="V362" s="22"/>
      <c r="W362" s="22"/>
      <c r="X362" s="22"/>
    </row>
    <row r="363" spans="17:24" x14ac:dyDescent="0.25">
      <c r="Q363" s="22"/>
      <c r="R363" s="22"/>
      <c r="S363" s="22"/>
      <c r="T363" s="22"/>
      <c r="U363" s="22"/>
      <c r="V363" s="22"/>
      <c r="W363" s="22"/>
      <c r="X363" s="22"/>
    </row>
    <row r="364" spans="17:24" x14ac:dyDescent="0.25">
      <c r="Q364" s="22"/>
      <c r="R364" s="22"/>
      <c r="S364" s="22"/>
      <c r="T364" s="22"/>
      <c r="U364" s="22"/>
      <c r="V364" s="22"/>
      <c r="W364" s="22"/>
      <c r="X364" s="22"/>
    </row>
    <row r="365" spans="17:24" x14ac:dyDescent="0.25">
      <c r="Q365" s="22"/>
      <c r="R365" s="22"/>
      <c r="S365" s="22"/>
      <c r="T365" s="22"/>
      <c r="U365" s="22"/>
      <c r="V365" s="22"/>
      <c r="W365" s="22"/>
      <c r="X365" s="22"/>
    </row>
    <row r="366" spans="17:24" x14ac:dyDescent="0.25">
      <c r="Q366" s="22"/>
      <c r="R366" s="22"/>
      <c r="S366" s="22"/>
      <c r="T366" s="22"/>
      <c r="U366" s="22"/>
      <c r="V366" s="22"/>
      <c r="W366" s="22"/>
      <c r="X366" s="22"/>
    </row>
    <row r="367" spans="17:24" x14ac:dyDescent="0.25">
      <c r="Q367" s="22"/>
      <c r="R367" s="22"/>
      <c r="S367" s="22"/>
      <c r="T367" s="22"/>
      <c r="U367" s="22"/>
      <c r="V367" s="22"/>
      <c r="W367" s="22"/>
      <c r="X367" s="22"/>
    </row>
    <row r="368" spans="17:24" x14ac:dyDescent="0.25">
      <c r="Q368" s="22"/>
      <c r="R368" s="22"/>
      <c r="S368" s="22"/>
      <c r="T368" s="22"/>
      <c r="U368" s="22"/>
      <c r="V368" s="22"/>
      <c r="W368" s="22"/>
      <c r="X368" s="22"/>
    </row>
    <row r="369" spans="17:24" x14ac:dyDescent="0.25">
      <c r="Q369" s="22"/>
      <c r="R369" s="22"/>
      <c r="S369" s="22"/>
      <c r="T369" s="22"/>
      <c r="U369" s="22"/>
      <c r="V369" s="22"/>
      <c r="W369" s="22"/>
      <c r="X369" s="22"/>
    </row>
    <row r="370" spans="17:24" x14ac:dyDescent="0.25">
      <c r="Q370" s="22"/>
      <c r="R370" s="22"/>
      <c r="S370" s="22"/>
      <c r="T370" s="22"/>
      <c r="U370" s="22"/>
      <c r="V370" s="22"/>
      <c r="W370" s="22"/>
      <c r="X370" s="22"/>
    </row>
    <row r="371" spans="17:24" x14ac:dyDescent="0.25">
      <c r="Q371" s="22"/>
      <c r="R371" s="22"/>
      <c r="S371" s="22"/>
      <c r="T371" s="22"/>
      <c r="U371" s="22"/>
      <c r="V371" s="22"/>
      <c r="W371" s="22"/>
      <c r="X371" s="22"/>
    </row>
    <row r="372" spans="17:24" x14ac:dyDescent="0.25">
      <c r="Q372" s="22"/>
      <c r="R372" s="22"/>
      <c r="S372" s="22"/>
      <c r="T372" s="22"/>
      <c r="U372" s="22"/>
      <c r="V372" s="22"/>
      <c r="W372" s="22"/>
      <c r="X372" s="22"/>
    </row>
    <row r="373" spans="17:24" x14ac:dyDescent="0.25">
      <c r="Q373" s="22"/>
      <c r="R373" s="22"/>
      <c r="S373" s="22"/>
      <c r="T373" s="22"/>
      <c r="U373" s="22"/>
      <c r="V373" s="22"/>
      <c r="W373" s="22"/>
      <c r="X373" s="22"/>
    </row>
    <row r="374" spans="17:24" x14ac:dyDescent="0.25">
      <c r="Q374" s="22"/>
      <c r="R374" s="22"/>
      <c r="S374" s="22"/>
      <c r="T374" s="22"/>
      <c r="U374" s="22"/>
      <c r="V374" s="22"/>
      <c r="W374" s="22"/>
      <c r="X374" s="22"/>
    </row>
    <row r="375" spans="17:24" x14ac:dyDescent="0.25">
      <c r="Q375" s="22"/>
      <c r="R375" s="22"/>
      <c r="S375" s="22"/>
      <c r="T375" s="22"/>
      <c r="U375" s="22"/>
      <c r="V375" s="22"/>
      <c r="W375" s="22"/>
      <c r="X375" s="22"/>
    </row>
    <row r="376" spans="17:24" x14ac:dyDescent="0.25">
      <c r="Q376" s="22"/>
      <c r="R376" s="22"/>
      <c r="S376" s="22"/>
      <c r="T376" s="22"/>
      <c r="U376" s="22"/>
      <c r="V376" s="22"/>
      <c r="W376" s="22"/>
      <c r="X376" s="22"/>
    </row>
    <row r="377" spans="17:24" x14ac:dyDescent="0.25">
      <c r="Q377" s="22"/>
      <c r="R377" s="22"/>
      <c r="S377" s="22"/>
      <c r="T377" s="22"/>
      <c r="U377" s="22"/>
      <c r="V377" s="22"/>
      <c r="W377" s="22"/>
      <c r="X377" s="22"/>
    </row>
    <row r="378" spans="17:24" x14ac:dyDescent="0.25">
      <c r="Q378" s="22"/>
      <c r="R378" s="22"/>
      <c r="S378" s="22"/>
      <c r="T378" s="22"/>
      <c r="U378" s="22"/>
      <c r="V378" s="22"/>
      <c r="W378" s="22"/>
      <c r="X378" s="22"/>
    </row>
    <row r="379" spans="17:24" x14ac:dyDescent="0.25">
      <c r="Q379" s="22"/>
      <c r="R379" s="22"/>
      <c r="S379" s="22"/>
      <c r="T379" s="22"/>
      <c r="U379" s="22"/>
      <c r="V379" s="22"/>
      <c r="W379" s="22"/>
      <c r="X379" s="22"/>
    </row>
    <row r="380" spans="17:24" x14ac:dyDescent="0.25">
      <c r="Q380" s="22"/>
      <c r="R380" s="22"/>
      <c r="S380" s="22"/>
      <c r="T380" s="22"/>
      <c r="U380" s="22"/>
      <c r="V380" s="22"/>
      <c r="W380" s="22"/>
      <c r="X380" s="22"/>
    </row>
    <row r="381" spans="17:24" x14ac:dyDescent="0.25">
      <c r="Q381" s="22"/>
      <c r="R381" s="22"/>
      <c r="S381" s="22"/>
      <c r="T381" s="22"/>
      <c r="U381" s="22"/>
      <c r="V381" s="22"/>
      <c r="W381" s="22"/>
      <c r="X381" s="22"/>
    </row>
    <row r="382" spans="17:24" x14ac:dyDescent="0.25">
      <c r="Q382" s="22"/>
      <c r="R382" s="22"/>
      <c r="S382" s="22"/>
      <c r="T382" s="22"/>
      <c r="U382" s="22"/>
      <c r="V382" s="22"/>
      <c r="W382" s="22"/>
      <c r="X382" s="22"/>
    </row>
    <row r="383" spans="17:24" x14ac:dyDescent="0.25">
      <c r="Q383" s="22"/>
      <c r="R383" s="22"/>
      <c r="S383" s="22"/>
      <c r="T383" s="22"/>
      <c r="U383" s="22"/>
      <c r="V383" s="22"/>
      <c r="W383" s="22"/>
      <c r="X383" s="22"/>
    </row>
    <row r="384" spans="17:24" x14ac:dyDescent="0.25">
      <c r="Q384" s="22"/>
      <c r="R384" s="22"/>
      <c r="S384" s="22"/>
      <c r="T384" s="22"/>
      <c r="U384" s="22"/>
      <c r="V384" s="22"/>
      <c r="W384" s="22"/>
      <c r="X384" s="22"/>
    </row>
    <row r="385" spans="17:24" x14ac:dyDescent="0.25">
      <c r="Q385" s="22"/>
      <c r="R385" s="22"/>
      <c r="S385" s="22"/>
      <c r="T385" s="22"/>
      <c r="U385" s="22"/>
      <c r="V385" s="22"/>
      <c r="W385" s="22"/>
      <c r="X385" s="22"/>
    </row>
    <row r="386" spans="17:24" x14ac:dyDescent="0.25">
      <c r="Q386" s="22"/>
      <c r="R386" s="22"/>
      <c r="S386" s="22"/>
      <c r="T386" s="22"/>
      <c r="U386" s="22"/>
      <c r="V386" s="22"/>
      <c r="W386" s="22"/>
      <c r="X386" s="22"/>
    </row>
    <row r="387" spans="17:24" x14ac:dyDescent="0.25">
      <c r="Q387" s="22"/>
      <c r="R387" s="22"/>
      <c r="S387" s="22"/>
      <c r="T387" s="22"/>
      <c r="U387" s="22"/>
      <c r="V387" s="22"/>
      <c r="W387" s="22"/>
      <c r="X387" s="22"/>
    </row>
    <row r="388" spans="17:24" x14ac:dyDescent="0.25">
      <c r="Q388" s="22"/>
      <c r="R388" s="22"/>
      <c r="S388" s="22"/>
      <c r="T388" s="22"/>
      <c r="U388" s="22"/>
      <c r="V388" s="22"/>
      <c r="W388" s="22"/>
      <c r="X388" s="22"/>
    </row>
    <row r="389" spans="17:24" x14ac:dyDescent="0.25">
      <c r="Q389" s="22"/>
      <c r="R389" s="22"/>
      <c r="S389" s="22"/>
      <c r="T389" s="22"/>
      <c r="U389" s="22"/>
      <c r="V389" s="22"/>
      <c r="W389" s="22"/>
      <c r="X389" s="22"/>
    </row>
    <row r="390" spans="17:24" x14ac:dyDescent="0.25">
      <c r="Q390" s="22"/>
      <c r="R390" s="22"/>
      <c r="S390" s="22"/>
      <c r="T390" s="22"/>
      <c r="U390" s="22"/>
      <c r="V390" s="22"/>
      <c r="W390" s="22"/>
      <c r="X390" s="22"/>
    </row>
    <row r="391" spans="17:24" x14ac:dyDescent="0.25">
      <c r="Q391" s="22"/>
      <c r="R391" s="22"/>
      <c r="S391" s="22"/>
      <c r="T391" s="22"/>
      <c r="U391" s="22"/>
      <c r="V391" s="22"/>
      <c r="W391" s="22"/>
      <c r="X391" s="22"/>
    </row>
    <row r="392" spans="17:24" x14ac:dyDescent="0.25">
      <c r="Q392" s="22"/>
      <c r="R392" s="22"/>
      <c r="S392" s="22"/>
      <c r="T392" s="22"/>
      <c r="U392" s="22"/>
      <c r="V392" s="22"/>
      <c r="W392" s="22"/>
      <c r="X392" s="22"/>
    </row>
    <row r="393" spans="17:24" x14ac:dyDescent="0.25">
      <c r="Q393" s="22"/>
      <c r="R393" s="22"/>
      <c r="S393" s="22"/>
      <c r="T393" s="22"/>
      <c r="U393" s="22"/>
      <c r="V393" s="22"/>
      <c r="W393" s="22"/>
      <c r="X393" s="22"/>
    </row>
    <row r="394" spans="17:24" x14ac:dyDescent="0.25">
      <c r="Q394" s="22"/>
      <c r="R394" s="22"/>
      <c r="S394" s="22"/>
      <c r="T394" s="22"/>
      <c r="U394" s="22"/>
      <c r="V394" s="22"/>
      <c r="W394" s="22"/>
      <c r="X394" s="22"/>
    </row>
    <row r="395" spans="17:24" x14ac:dyDescent="0.25">
      <c r="Q395" s="22"/>
      <c r="R395" s="22"/>
      <c r="S395" s="22"/>
      <c r="T395" s="22"/>
      <c r="U395" s="22"/>
      <c r="V395" s="22"/>
      <c r="W395" s="22"/>
      <c r="X395" s="22"/>
    </row>
    <row r="396" spans="17:24" x14ac:dyDescent="0.25">
      <c r="Q396" s="22"/>
      <c r="R396" s="22"/>
      <c r="S396" s="22"/>
      <c r="T396" s="22"/>
      <c r="U396" s="22"/>
      <c r="V396" s="22"/>
      <c r="W396" s="22"/>
      <c r="X396" s="22"/>
    </row>
    <row r="397" spans="17:24" x14ac:dyDescent="0.25">
      <c r="Q397" s="22"/>
      <c r="R397" s="22"/>
      <c r="S397" s="22"/>
      <c r="T397" s="22"/>
      <c r="U397" s="22"/>
      <c r="V397" s="22"/>
      <c r="W397" s="22"/>
      <c r="X397" s="22"/>
    </row>
    <row r="398" spans="17:24" x14ac:dyDescent="0.25">
      <c r="Q398" s="22"/>
      <c r="R398" s="22"/>
      <c r="S398" s="22"/>
      <c r="T398" s="22"/>
      <c r="U398" s="22"/>
      <c r="V398" s="22"/>
      <c r="W398" s="22"/>
      <c r="X398" s="22"/>
    </row>
    <row r="399" spans="17:24" x14ac:dyDescent="0.25">
      <c r="Q399" s="22"/>
      <c r="R399" s="22"/>
      <c r="S399" s="22"/>
      <c r="T399" s="22"/>
      <c r="U399" s="22"/>
      <c r="V399" s="22"/>
      <c r="W399" s="22"/>
      <c r="X399" s="22"/>
    </row>
    <row r="400" spans="17:24" x14ac:dyDescent="0.25">
      <c r="Q400" s="22"/>
      <c r="R400" s="22"/>
      <c r="S400" s="22"/>
      <c r="T400" s="22"/>
      <c r="U400" s="22"/>
      <c r="V400" s="22"/>
      <c r="W400" s="22"/>
      <c r="X400" s="22"/>
    </row>
    <row r="401" spans="17:24" x14ac:dyDescent="0.25">
      <c r="Q401" s="22"/>
      <c r="R401" s="22"/>
      <c r="S401" s="22"/>
      <c r="T401" s="22"/>
      <c r="U401" s="22"/>
      <c r="V401" s="22"/>
      <c r="W401" s="22"/>
      <c r="X401" s="22"/>
    </row>
    <row r="402" spans="17:24" x14ac:dyDescent="0.25">
      <c r="Q402" s="22"/>
      <c r="R402" s="22"/>
      <c r="S402" s="22"/>
      <c r="T402" s="22"/>
      <c r="U402" s="22"/>
      <c r="V402" s="22"/>
      <c r="W402" s="22"/>
      <c r="X402" s="22"/>
    </row>
    <row r="403" spans="17:24" x14ac:dyDescent="0.25">
      <c r="Q403" s="22"/>
      <c r="R403" s="22"/>
      <c r="S403" s="22"/>
      <c r="T403" s="22"/>
      <c r="U403" s="22"/>
      <c r="V403" s="22"/>
      <c r="W403" s="22"/>
      <c r="X403" s="22"/>
    </row>
    <row r="404" spans="17:24" x14ac:dyDescent="0.25">
      <c r="Q404" s="22"/>
      <c r="R404" s="22"/>
      <c r="S404" s="22"/>
      <c r="T404" s="22"/>
      <c r="U404" s="22"/>
      <c r="V404" s="22"/>
      <c r="W404" s="22"/>
      <c r="X404" s="22"/>
    </row>
    <row r="405" spans="17:24" x14ac:dyDescent="0.25">
      <c r="Q405" s="22"/>
      <c r="R405" s="22"/>
      <c r="S405" s="22"/>
      <c r="T405" s="22"/>
      <c r="U405" s="22"/>
      <c r="V405" s="22"/>
      <c r="W405" s="22"/>
      <c r="X405" s="22"/>
    </row>
    <row r="406" spans="17:24" x14ac:dyDescent="0.25">
      <c r="Q406" s="22"/>
      <c r="R406" s="22"/>
      <c r="S406" s="22"/>
      <c r="T406" s="22"/>
      <c r="U406" s="22"/>
      <c r="V406" s="22"/>
      <c r="W406" s="22"/>
      <c r="X406" s="22"/>
    </row>
    <row r="407" spans="17:24" x14ac:dyDescent="0.25">
      <c r="Q407" s="22"/>
      <c r="R407" s="22"/>
      <c r="S407" s="22"/>
      <c r="T407" s="22"/>
      <c r="U407" s="22"/>
      <c r="V407" s="22"/>
      <c r="W407" s="22"/>
      <c r="X407" s="22"/>
    </row>
    <row r="408" spans="17:24" x14ac:dyDescent="0.25">
      <c r="Q408" s="22"/>
      <c r="R408" s="22"/>
      <c r="S408" s="22"/>
      <c r="T408" s="22"/>
      <c r="U408" s="22"/>
      <c r="V408" s="22"/>
      <c r="W408" s="22"/>
      <c r="X408" s="22"/>
    </row>
    <row r="409" spans="17:24" x14ac:dyDescent="0.25">
      <c r="Q409" s="22"/>
      <c r="R409" s="22"/>
      <c r="S409" s="22"/>
      <c r="T409" s="22"/>
      <c r="U409" s="22"/>
      <c r="V409" s="22"/>
      <c r="W409" s="22"/>
      <c r="X409" s="22"/>
    </row>
    <row r="410" spans="17:24" x14ac:dyDescent="0.25">
      <c r="Q410" s="22"/>
      <c r="R410" s="22"/>
      <c r="S410" s="22"/>
      <c r="T410" s="22"/>
      <c r="U410" s="22"/>
      <c r="V410" s="22"/>
      <c r="W410" s="22"/>
      <c r="X410" s="22"/>
    </row>
    <row r="411" spans="17:24" x14ac:dyDescent="0.25">
      <c r="Q411" s="22"/>
      <c r="R411" s="22"/>
      <c r="S411" s="22"/>
      <c r="T411" s="22"/>
      <c r="U411" s="22"/>
      <c r="V411" s="22"/>
      <c r="W411" s="22"/>
      <c r="X411" s="22"/>
    </row>
    <row r="412" spans="17:24" x14ac:dyDescent="0.25">
      <c r="Q412" s="22"/>
      <c r="R412" s="22"/>
      <c r="S412" s="22"/>
      <c r="T412" s="22"/>
      <c r="U412" s="22"/>
      <c r="V412" s="22"/>
      <c r="W412" s="22"/>
      <c r="X412" s="22"/>
    </row>
    <row r="413" spans="17:24" x14ac:dyDescent="0.25">
      <c r="Q413" s="22"/>
      <c r="R413" s="22"/>
      <c r="S413" s="22"/>
      <c r="T413" s="22"/>
      <c r="U413" s="22"/>
      <c r="V413" s="22"/>
      <c r="W413" s="22"/>
      <c r="X413" s="22"/>
    </row>
    <row r="414" spans="17:24" x14ac:dyDescent="0.25">
      <c r="Q414" s="22"/>
      <c r="R414" s="22"/>
      <c r="S414" s="22"/>
      <c r="T414" s="22"/>
      <c r="U414" s="22"/>
      <c r="V414" s="22"/>
      <c r="W414" s="22"/>
      <c r="X414" s="22"/>
    </row>
    <row r="415" spans="17:24" x14ac:dyDescent="0.25">
      <c r="Q415" s="22"/>
      <c r="R415" s="22"/>
      <c r="S415" s="22"/>
      <c r="T415" s="22"/>
      <c r="U415" s="22"/>
      <c r="V415" s="22"/>
      <c r="W415" s="22"/>
      <c r="X415" s="22"/>
    </row>
    <row r="416" spans="17:24" x14ac:dyDescent="0.25">
      <c r="Q416" s="22"/>
      <c r="R416" s="22"/>
      <c r="S416" s="22"/>
      <c r="T416" s="22"/>
      <c r="U416" s="22"/>
      <c r="V416" s="22"/>
      <c r="W416" s="22"/>
      <c r="X416" s="22"/>
    </row>
    <row r="417" spans="17:24" x14ac:dyDescent="0.25">
      <c r="Q417" s="22"/>
      <c r="R417" s="22"/>
      <c r="S417" s="22"/>
      <c r="T417" s="22"/>
      <c r="U417" s="22"/>
      <c r="V417" s="22"/>
      <c r="W417" s="22"/>
      <c r="X417" s="22"/>
    </row>
    <row r="418" spans="17:24" x14ac:dyDescent="0.25">
      <c r="Q418" s="22"/>
      <c r="R418" s="22"/>
      <c r="S418" s="22"/>
      <c r="T418" s="22"/>
      <c r="U418" s="22"/>
      <c r="V418" s="22"/>
      <c r="W418" s="22"/>
      <c r="X418" s="22"/>
    </row>
    <row r="419" spans="17:24" x14ac:dyDescent="0.25">
      <c r="Q419" s="22"/>
      <c r="R419" s="22"/>
      <c r="S419" s="22"/>
      <c r="T419" s="22"/>
      <c r="U419" s="22"/>
      <c r="V419" s="22"/>
      <c r="W419" s="22"/>
      <c r="X419" s="22"/>
    </row>
    <row r="420" spans="17:24" x14ac:dyDescent="0.25">
      <c r="Q420" s="22"/>
      <c r="R420" s="22"/>
      <c r="S420" s="22"/>
      <c r="T420" s="22"/>
      <c r="U420" s="22"/>
      <c r="V420" s="22"/>
      <c r="W420" s="22"/>
      <c r="X420" s="22"/>
    </row>
    <row r="421" spans="17:24" x14ac:dyDescent="0.25">
      <c r="Q421" s="22"/>
      <c r="R421" s="22"/>
      <c r="S421" s="22"/>
      <c r="T421" s="22"/>
      <c r="U421" s="22"/>
      <c r="V421" s="22"/>
      <c r="W421" s="22"/>
      <c r="X421" s="22"/>
    </row>
    <row r="422" spans="17:24" x14ac:dyDescent="0.25">
      <c r="Q422" s="22"/>
      <c r="R422" s="22"/>
      <c r="S422" s="22"/>
      <c r="T422" s="22"/>
      <c r="U422" s="22"/>
      <c r="V422" s="22"/>
      <c r="W422" s="22"/>
      <c r="X422" s="22"/>
    </row>
    <row r="423" spans="17:24" x14ac:dyDescent="0.25">
      <c r="Q423" s="22"/>
      <c r="R423" s="22"/>
      <c r="S423" s="22"/>
      <c r="T423" s="22"/>
      <c r="U423" s="22"/>
      <c r="V423" s="22"/>
      <c r="W423" s="22"/>
      <c r="X423" s="22"/>
    </row>
    <row r="424" spans="17:24" x14ac:dyDescent="0.25">
      <c r="Q424" s="22"/>
      <c r="R424" s="22"/>
      <c r="S424" s="22"/>
      <c r="T424" s="22"/>
      <c r="U424" s="22"/>
      <c r="V424" s="22"/>
      <c r="W424" s="22"/>
      <c r="X424" s="22"/>
    </row>
    <row r="425" spans="17:24" x14ac:dyDescent="0.25">
      <c r="Q425" s="22"/>
      <c r="R425" s="22"/>
      <c r="S425" s="22"/>
      <c r="T425" s="22"/>
      <c r="U425" s="22"/>
      <c r="V425" s="22"/>
      <c r="W425" s="22"/>
      <c r="X425" s="22"/>
    </row>
    <row r="426" spans="17:24" x14ac:dyDescent="0.25">
      <c r="Q426" s="22"/>
      <c r="R426" s="22"/>
      <c r="S426" s="22"/>
      <c r="T426" s="22"/>
      <c r="U426" s="22"/>
      <c r="V426" s="22"/>
      <c r="W426" s="22"/>
      <c r="X426" s="22"/>
    </row>
    <row r="427" spans="17:24" x14ac:dyDescent="0.25">
      <c r="Q427" s="22"/>
      <c r="R427" s="22"/>
      <c r="S427" s="22"/>
      <c r="T427" s="22"/>
      <c r="U427" s="22"/>
      <c r="V427" s="22"/>
      <c r="W427" s="22"/>
      <c r="X427" s="22"/>
    </row>
    <row r="428" spans="17:24" x14ac:dyDescent="0.25">
      <c r="Q428" s="22"/>
      <c r="R428" s="22"/>
      <c r="S428" s="22"/>
      <c r="T428" s="22"/>
      <c r="U428" s="22"/>
      <c r="V428" s="22"/>
      <c r="W428" s="22"/>
      <c r="X428" s="22"/>
    </row>
    <row r="429" spans="17:24" x14ac:dyDescent="0.25">
      <c r="Q429" s="22"/>
      <c r="R429" s="22"/>
      <c r="S429" s="22"/>
      <c r="T429" s="22"/>
      <c r="U429" s="22"/>
      <c r="V429" s="22"/>
      <c r="W429" s="22"/>
      <c r="X429" s="22"/>
    </row>
    <row r="430" spans="17:24" x14ac:dyDescent="0.25">
      <c r="Q430" s="22"/>
      <c r="R430" s="22"/>
      <c r="S430" s="22"/>
      <c r="T430" s="22"/>
      <c r="U430" s="22"/>
      <c r="V430" s="22"/>
      <c r="W430" s="22"/>
      <c r="X430" s="22"/>
    </row>
    <row r="431" spans="17:24" x14ac:dyDescent="0.25">
      <c r="Q431" s="22"/>
      <c r="R431" s="22"/>
      <c r="S431" s="22"/>
      <c r="T431" s="22"/>
      <c r="U431" s="22"/>
      <c r="V431" s="22"/>
      <c r="W431" s="22"/>
      <c r="X431" s="22"/>
    </row>
    <row r="432" spans="17:24" x14ac:dyDescent="0.25">
      <c r="Q432" s="22"/>
      <c r="R432" s="22"/>
      <c r="S432" s="22"/>
      <c r="T432" s="22"/>
      <c r="U432" s="22"/>
      <c r="V432" s="22"/>
      <c r="W432" s="22"/>
      <c r="X432" s="22"/>
    </row>
    <row r="433" spans="17:24" x14ac:dyDescent="0.25">
      <c r="Q433" s="22"/>
      <c r="R433" s="22"/>
      <c r="S433" s="22"/>
      <c r="T433" s="22"/>
      <c r="U433" s="22"/>
      <c r="V433" s="22"/>
      <c r="W433" s="22"/>
      <c r="X433" s="22"/>
    </row>
    <row r="434" spans="17:24" x14ac:dyDescent="0.25">
      <c r="Q434" s="22"/>
      <c r="R434" s="22"/>
      <c r="S434" s="22"/>
      <c r="T434" s="22"/>
      <c r="U434" s="22"/>
      <c r="V434" s="22"/>
      <c r="W434" s="22"/>
      <c r="X434" s="22"/>
    </row>
    <row r="435" spans="17:24" x14ac:dyDescent="0.25">
      <c r="Q435" s="22"/>
      <c r="R435" s="22"/>
      <c r="S435" s="22"/>
      <c r="T435" s="22"/>
      <c r="U435" s="22"/>
      <c r="V435" s="22"/>
      <c r="W435" s="22"/>
      <c r="X435" s="22"/>
    </row>
    <row r="436" spans="17:24" x14ac:dyDescent="0.25">
      <c r="Q436" s="22"/>
      <c r="R436" s="22"/>
      <c r="S436" s="22"/>
      <c r="T436" s="22"/>
      <c r="U436" s="22"/>
      <c r="V436" s="22"/>
      <c r="W436" s="22"/>
      <c r="X436" s="22"/>
    </row>
    <row r="437" spans="17:24" x14ac:dyDescent="0.25">
      <c r="Q437" s="22"/>
      <c r="R437" s="22"/>
      <c r="S437" s="22"/>
      <c r="T437" s="22"/>
      <c r="U437" s="22"/>
      <c r="V437" s="22"/>
      <c r="W437" s="22"/>
      <c r="X437" s="22"/>
    </row>
    <row r="438" spans="17:24" x14ac:dyDescent="0.25">
      <c r="Q438" s="22"/>
      <c r="R438" s="22"/>
      <c r="S438" s="22"/>
      <c r="T438" s="22"/>
      <c r="U438" s="22"/>
      <c r="V438" s="22"/>
      <c r="W438" s="22"/>
      <c r="X438" s="22"/>
    </row>
    <row r="439" spans="17:24" x14ac:dyDescent="0.25">
      <c r="Q439" s="22"/>
      <c r="R439" s="22"/>
      <c r="S439" s="22"/>
      <c r="T439" s="22"/>
      <c r="U439" s="22"/>
      <c r="V439" s="22"/>
      <c r="W439" s="22"/>
      <c r="X439" s="22"/>
    </row>
    <row r="440" spans="17:24" x14ac:dyDescent="0.25">
      <c r="Q440" s="22"/>
      <c r="R440" s="22"/>
      <c r="S440" s="22"/>
      <c r="T440" s="22"/>
      <c r="U440" s="22"/>
      <c r="V440" s="22"/>
      <c r="W440" s="22"/>
      <c r="X440" s="22"/>
    </row>
    <row r="441" spans="17:24" x14ac:dyDescent="0.25">
      <c r="Q441" s="22"/>
      <c r="R441" s="22"/>
      <c r="S441" s="22"/>
      <c r="T441" s="22"/>
      <c r="U441" s="22"/>
      <c r="V441" s="22"/>
      <c r="W441" s="22"/>
      <c r="X441" s="22"/>
    </row>
    <row r="442" spans="17:24" x14ac:dyDescent="0.25">
      <c r="Q442" s="22"/>
      <c r="R442" s="22"/>
      <c r="S442" s="22"/>
      <c r="T442" s="22"/>
      <c r="U442" s="22"/>
      <c r="V442" s="22"/>
      <c r="W442" s="22"/>
      <c r="X442" s="22"/>
    </row>
    <row r="443" spans="17:24" x14ac:dyDescent="0.25">
      <c r="Q443" s="22"/>
      <c r="R443" s="22"/>
      <c r="S443" s="22"/>
      <c r="T443" s="22"/>
      <c r="U443" s="22"/>
      <c r="V443" s="22"/>
      <c r="W443" s="22"/>
      <c r="X443" s="22"/>
    </row>
    <row r="444" spans="17:24" x14ac:dyDescent="0.25">
      <c r="Q444" s="22"/>
      <c r="R444" s="22"/>
      <c r="S444" s="22"/>
      <c r="T444" s="22"/>
      <c r="U444" s="22"/>
      <c r="V444" s="22"/>
      <c r="W444" s="22"/>
      <c r="X444" s="22"/>
    </row>
    <row r="445" spans="17:24" x14ac:dyDescent="0.25">
      <c r="Q445" s="22"/>
      <c r="R445" s="22"/>
      <c r="S445" s="22"/>
      <c r="T445" s="22"/>
      <c r="U445" s="22"/>
      <c r="V445" s="22"/>
      <c r="W445" s="22"/>
      <c r="X445" s="22"/>
    </row>
    <row r="446" spans="17:24" x14ac:dyDescent="0.25">
      <c r="Q446" s="22"/>
      <c r="R446" s="22"/>
      <c r="S446" s="22"/>
      <c r="T446" s="22"/>
      <c r="U446" s="22"/>
      <c r="V446" s="22"/>
      <c r="W446" s="22"/>
      <c r="X446" s="22"/>
    </row>
    <row r="447" spans="17:24" x14ac:dyDescent="0.25">
      <c r="Q447" s="22"/>
      <c r="R447" s="22"/>
      <c r="S447" s="22"/>
      <c r="T447" s="22"/>
      <c r="U447" s="22"/>
      <c r="V447" s="22"/>
      <c r="W447" s="22"/>
      <c r="X447" s="22"/>
    </row>
    <row r="448" spans="17:24" x14ac:dyDescent="0.25">
      <c r="Q448" s="22"/>
      <c r="R448" s="22"/>
      <c r="S448" s="22"/>
      <c r="T448" s="22"/>
      <c r="U448" s="22"/>
      <c r="V448" s="22"/>
      <c r="W448" s="22"/>
      <c r="X448" s="22"/>
    </row>
    <row r="449" spans="17:24" x14ac:dyDescent="0.25">
      <c r="Q449" s="22"/>
      <c r="R449" s="22"/>
      <c r="S449" s="22"/>
      <c r="T449" s="22"/>
      <c r="U449" s="22"/>
      <c r="V449" s="22"/>
      <c r="W449" s="22"/>
      <c r="X449" s="22"/>
    </row>
    <row r="450" spans="17:24" x14ac:dyDescent="0.25">
      <c r="Q450" s="22"/>
      <c r="R450" s="22"/>
      <c r="S450" s="22"/>
      <c r="T450" s="22"/>
      <c r="U450" s="22"/>
      <c r="V450" s="22"/>
      <c r="W450" s="22"/>
      <c r="X450" s="22"/>
    </row>
    <row r="451" spans="17:24" x14ac:dyDescent="0.25">
      <c r="Q451" s="22"/>
      <c r="R451" s="22"/>
      <c r="S451" s="22"/>
      <c r="T451" s="22"/>
      <c r="U451" s="22"/>
      <c r="V451" s="22"/>
      <c r="W451" s="22"/>
      <c r="X451" s="22"/>
    </row>
    <row r="452" spans="17:24" x14ac:dyDescent="0.25">
      <c r="Q452" s="22"/>
      <c r="R452" s="22"/>
      <c r="S452" s="22"/>
      <c r="T452" s="22"/>
      <c r="U452" s="22"/>
      <c r="V452" s="22"/>
      <c r="W452" s="22"/>
      <c r="X452" s="22"/>
    </row>
    <row r="453" spans="17:24" x14ac:dyDescent="0.25">
      <c r="Q453" s="22"/>
      <c r="R453" s="22"/>
      <c r="S453" s="22"/>
      <c r="T453" s="22"/>
      <c r="U453" s="22"/>
      <c r="V453" s="22"/>
      <c r="W453" s="22"/>
      <c r="X453" s="22"/>
    </row>
    <row r="454" spans="17:24" x14ac:dyDescent="0.25">
      <c r="Q454" s="22"/>
      <c r="R454" s="22"/>
      <c r="S454" s="22"/>
      <c r="T454" s="22"/>
      <c r="U454" s="22"/>
      <c r="V454" s="22"/>
      <c r="W454" s="22"/>
      <c r="X454" s="22"/>
    </row>
    <row r="455" spans="17:24" x14ac:dyDescent="0.25">
      <c r="Q455" s="22"/>
      <c r="R455" s="22"/>
      <c r="S455" s="22"/>
      <c r="T455" s="22"/>
      <c r="U455" s="22"/>
      <c r="V455" s="22"/>
      <c r="W455" s="22"/>
      <c r="X455" s="22"/>
    </row>
    <row r="456" spans="17:24" x14ac:dyDescent="0.25">
      <c r="Q456" s="22"/>
      <c r="R456" s="22"/>
      <c r="S456" s="22"/>
      <c r="T456" s="22"/>
      <c r="U456" s="22"/>
      <c r="V456" s="22"/>
      <c r="W456" s="22"/>
      <c r="X456" s="22"/>
    </row>
    <row r="457" spans="17:24" x14ac:dyDescent="0.25">
      <c r="Q457" s="22"/>
      <c r="R457" s="22"/>
      <c r="S457" s="22"/>
      <c r="T457" s="22"/>
      <c r="U457" s="22"/>
      <c r="V457" s="22"/>
      <c r="W457" s="22"/>
      <c r="X457" s="22"/>
    </row>
    <row r="458" spans="17:24" x14ac:dyDescent="0.25">
      <c r="Q458" s="22"/>
      <c r="R458" s="22"/>
      <c r="S458" s="22"/>
      <c r="T458" s="22"/>
      <c r="U458" s="22"/>
      <c r="V458" s="22"/>
      <c r="W458" s="22"/>
      <c r="X458" s="22"/>
    </row>
    <row r="459" spans="17:24" x14ac:dyDescent="0.25">
      <c r="Q459" s="22"/>
      <c r="R459" s="22"/>
      <c r="S459" s="22"/>
      <c r="T459" s="22"/>
      <c r="U459" s="22"/>
      <c r="V459" s="22"/>
      <c r="W459" s="22"/>
      <c r="X459" s="22"/>
    </row>
    <row r="460" spans="17:24" x14ac:dyDescent="0.25">
      <c r="Q460" s="22"/>
      <c r="R460" s="22"/>
      <c r="S460" s="22"/>
      <c r="T460" s="22"/>
      <c r="U460" s="22"/>
      <c r="V460" s="22"/>
      <c r="W460" s="22"/>
      <c r="X460" s="22"/>
    </row>
    <row r="461" spans="17:24" x14ac:dyDescent="0.25">
      <c r="Q461" s="22"/>
      <c r="R461" s="22"/>
      <c r="S461" s="22"/>
      <c r="T461" s="22"/>
      <c r="U461" s="22"/>
      <c r="V461" s="22"/>
      <c r="W461" s="22"/>
      <c r="X461" s="22"/>
    </row>
    <row r="462" spans="17:24" x14ac:dyDescent="0.25">
      <c r="Q462" s="22"/>
      <c r="R462" s="22"/>
      <c r="S462" s="22"/>
      <c r="T462" s="22"/>
      <c r="U462" s="22"/>
      <c r="V462" s="22"/>
      <c r="W462" s="22"/>
      <c r="X462" s="22"/>
    </row>
    <row r="463" spans="17:24" x14ac:dyDescent="0.25">
      <c r="Q463" s="22"/>
      <c r="R463" s="22"/>
      <c r="S463" s="22"/>
      <c r="T463" s="22"/>
      <c r="U463" s="22"/>
      <c r="V463" s="22"/>
      <c r="W463" s="22"/>
      <c r="X463" s="22"/>
    </row>
    <row r="464" spans="17:24" x14ac:dyDescent="0.25">
      <c r="Q464" s="22"/>
      <c r="R464" s="22"/>
      <c r="S464" s="22"/>
      <c r="T464" s="22"/>
      <c r="U464" s="22"/>
      <c r="V464" s="22"/>
      <c r="W464" s="22"/>
      <c r="X464" s="22"/>
    </row>
    <row r="465" spans="17:24" x14ac:dyDescent="0.25">
      <c r="Q465" s="22"/>
      <c r="R465" s="22"/>
      <c r="S465" s="22"/>
      <c r="T465" s="22"/>
      <c r="U465" s="22"/>
      <c r="V465" s="22"/>
      <c r="W465" s="22"/>
      <c r="X465" s="22"/>
    </row>
    <row r="466" spans="17:24" x14ac:dyDescent="0.25">
      <c r="Q466" s="22"/>
      <c r="R466" s="22"/>
      <c r="S466" s="22"/>
      <c r="T466" s="22"/>
      <c r="U466" s="22"/>
      <c r="V466" s="22"/>
      <c r="W466" s="22"/>
      <c r="X466" s="22"/>
    </row>
    <row r="467" spans="17:24" x14ac:dyDescent="0.25">
      <c r="Q467" s="22"/>
      <c r="R467" s="22"/>
      <c r="S467" s="22"/>
      <c r="T467" s="22"/>
      <c r="U467" s="22"/>
      <c r="V467" s="22"/>
      <c r="W467" s="22"/>
      <c r="X467" s="22"/>
    </row>
    <row r="468" spans="17:24" x14ac:dyDescent="0.25">
      <c r="Q468" s="22"/>
      <c r="R468" s="22"/>
      <c r="S468" s="22"/>
      <c r="T468" s="22"/>
      <c r="U468" s="22"/>
      <c r="V468" s="22"/>
      <c r="W468" s="22"/>
      <c r="X468" s="22"/>
    </row>
    <row r="469" spans="17:24" x14ac:dyDescent="0.25">
      <c r="Q469" s="22"/>
      <c r="R469" s="22"/>
      <c r="S469" s="22"/>
      <c r="T469" s="22"/>
      <c r="U469" s="22"/>
      <c r="V469" s="22"/>
      <c r="W469" s="22"/>
      <c r="X469" s="22"/>
    </row>
    <row r="470" spans="17:24" x14ac:dyDescent="0.25">
      <c r="Q470" s="22"/>
      <c r="R470" s="22"/>
      <c r="S470" s="22"/>
      <c r="T470" s="22"/>
      <c r="U470" s="22"/>
      <c r="V470" s="22"/>
      <c r="W470" s="22"/>
      <c r="X470" s="22"/>
    </row>
    <row r="471" spans="17:24" x14ac:dyDescent="0.25">
      <c r="Q471" s="22"/>
      <c r="R471" s="22"/>
      <c r="S471" s="22"/>
      <c r="T471" s="22"/>
      <c r="U471" s="22"/>
      <c r="V471" s="22"/>
      <c r="W471" s="22"/>
      <c r="X471" s="22"/>
    </row>
    <row r="472" spans="17:24" x14ac:dyDescent="0.25">
      <c r="Q472" s="22"/>
      <c r="R472" s="22"/>
      <c r="S472" s="22"/>
      <c r="T472" s="22"/>
      <c r="U472" s="22"/>
      <c r="V472" s="22"/>
      <c r="W472" s="22"/>
      <c r="X472" s="22"/>
    </row>
    <row r="473" spans="17:24" x14ac:dyDescent="0.25">
      <c r="Q473" s="22"/>
      <c r="R473" s="22"/>
      <c r="S473" s="22"/>
      <c r="T473" s="22"/>
      <c r="U473" s="22"/>
      <c r="V473" s="22"/>
      <c r="W473" s="22"/>
      <c r="X473" s="22"/>
    </row>
    <row r="474" spans="17:24" x14ac:dyDescent="0.25">
      <c r="Q474" s="22"/>
      <c r="R474" s="22"/>
      <c r="S474" s="22"/>
      <c r="T474" s="22"/>
      <c r="U474" s="22"/>
      <c r="V474" s="22"/>
      <c r="W474" s="22"/>
      <c r="X474" s="22"/>
    </row>
    <row r="475" spans="17:24" x14ac:dyDescent="0.25">
      <c r="Q475" s="22"/>
      <c r="R475" s="22"/>
      <c r="S475" s="22"/>
      <c r="T475" s="22"/>
      <c r="U475" s="22"/>
      <c r="V475" s="22"/>
      <c r="W475" s="22"/>
      <c r="X475" s="22"/>
    </row>
    <row r="476" spans="17:24" x14ac:dyDescent="0.25">
      <c r="Q476" s="22"/>
      <c r="R476" s="22"/>
      <c r="S476" s="22"/>
      <c r="T476" s="22"/>
      <c r="U476" s="22"/>
      <c r="V476" s="22"/>
      <c r="W476" s="22"/>
      <c r="X476" s="22"/>
    </row>
    <row r="477" spans="17:24" x14ac:dyDescent="0.25">
      <c r="Q477" s="22"/>
      <c r="R477" s="22"/>
      <c r="S477" s="22"/>
      <c r="T477" s="22"/>
      <c r="U477" s="22"/>
      <c r="V477" s="22"/>
      <c r="W477" s="22"/>
      <c r="X477" s="22"/>
    </row>
    <row r="478" spans="17:24" x14ac:dyDescent="0.25">
      <c r="Q478" s="22"/>
      <c r="R478" s="22"/>
      <c r="S478" s="22"/>
      <c r="T478" s="22"/>
      <c r="U478" s="22"/>
      <c r="V478" s="22"/>
      <c r="W478" s="22"/>
      <c r="X478" s="22"/>
    </row>
    <row r="479" spans="17:24" x14ac:dyDescent="0.25">
      <c r="Q479" s="22"/>
      <c r="R479" s="22"/>
      <c r="S479" s="22"/>
      <c r="T479" s="22"/>
      <c r="U479" s="22"/>
      <c r="V479" s="22"/>
      <c r="W479" s="22"/>
      <c r="X479" s="22"/>
    </row>
    <row r="480" spans="17:24" x14ac:dyDescent="0.25">
      <c r="Q480" s="22"/>
      <c r="R480" s="22"/>
      <c r="S480" s="22"/>
      <c r="T480" s="22"/>
      <c r="U480" s="22"/>
      <c r="V480" s="22"/>
      <c r="W480" s="22"/>
      <c r="X480" s="22"/>
    </row>
    <row r="481" spans="17:24" x14ac:dyDescent="0.25">
      <c r="Q481" s="22"/>
      <c r="R481" s="22"/>
      <c r="S481" s="22"/>
      <c r="T481" s="22"/>
      <c r="U481" s="22"/>
      <c r="V481" s="22"/>
      <c r="W481" s="22"/>
      <c r="X481" s="22"/>
    </row>
    <row r="482" spans="17:24" x14ac:dyDescent="0.25">
      <c r="Q482" s="22"/>
      <c r="R482" s="22"/>
      <c r="S482" s="22"/>
      <c r="T482" s="22"/>
      <c r="U482" s="22"/>
      <c r="V482" s="22"/>
      <c r="W482" s="22"/>
      <c r="X482" s="22"/>
    </row>
    <row r="483" spans="17:24" x14ac:dyDescent="0.25">
      <c r="Q483" s="22"/>
      <c r="R483" s="22"/>
      <c r="S483" s="22"/>
      <c r="T483" s="22"/>
      <c r="U483" s="22"/>
      <c r="V483" s="22"/>
      <c r="W483" s="22"/>
      <c r="X483" s="22"/>
    </row>
    <row r="484" spans="17:24" x14ac:dyDescent="0.25">
      <c r="Q484" s="22"/>
      <c r="R484" s="22"/>
      <c r="S484" s="22"/>
      <c r="T484" s="22"/>
      <c r="U484" s="22"/>
      <c r="V484" s="22"/>
      <c r="W484" s="22"/>
      <c r="X484" s="22"/>
    </row>
    <row r="485" spans="17:24" x14ac:dyDescent="0.25">
      <c r="Q485" s="22"/>
      <c r="R485" s="22"/>
      <c r="S485" s="22"/>
      <c r="T485" s="22"/>
      <c r="U485" s="22"/>
      <c r="V485" s="22"/>
      <c r="W485" s="22"/>
      <c r="X485" s="22"/>
    </row>
    <row r="486" spans="17:24" x14ac:dyDescent="0.25">
      <c r="Q486" s="22"/>
      <c r="R486" s="22"/>
      <c r="S486" s="22"/>
      <c r="T486" s="22"/>
      <c r="U486" s="22"/>
      <c r="V486" s="22"/>
      <c r="W486" s="22"/>
      <c r="X486" s="22"/>
    </row>
    <row r="487" spans="17:24" x14ac:dyDescent="0.25">
      <c r="Q487" s="22"/>
      <c r="R487" s="22"/>
      <c r="S487" s="22"/>
      <c r="T487" s="22"/>
      <c r="U487" s="22"/>
      <c r="V487" s="22"/>
      <c r="W487" s="22"/>
      <c r="X487" s="22"/>
    </row>
    <row r="488" spans="17:24" x14ac:dyDescent="0.25">
      <c r="Q488" s="22"/>
      <c r="R488" s="22"/>
      <c r="S488" s="22"/>
      <c r="T488" s="22"/>
      <c r="U488" s="22"/>
      <c r="V488" s="22"/>
      <c r="W488" s="22"/>
      <c r="X488" s="22"/>
    </row>
    <row r="489" spans="17:24" x14ac:dyDescent="0.25">
      <c r="Q489" s="22"/>
      <c r="R489" s="22"/>
      <c r="S489" s="22"/>
      <c r="T489" s="22"/>
      <c r="U489" s="22"/>
      <c r="V489" s="22"/>
      <c r="W489" s="22"/>
      <c r="X489" s="22"/>
    </row>
    <row r="490" spans="17:24" x14ac:dyDescent="0.25">
      <c r="Q490" s="22"/>
      <c r="R490" s="22"/>
      <c r="S490" s="22"/>
      <c r="T490" s="22"/>
      <c r="U490" s="22"/>
      <c r="V490" s="22"/>
      <c r="W490" s="22"/>
      <c r="X490" s="22"/>
    </row>
    <row r="491" spans="17:24" x14ac:dyDescent="0.25">
      <c r="Q491" s="22"/>
      <c r="R491" s="22"/>
      <c r="S491" s="22"/>
      <c r="T491" s="22"/>
      <c r="U491" s="22"/>
      <c r="V491" s="22"/>
      <c r="W491" s="22"/>
      <c r="X491" s="22"/>
    </row>
    <row r="492" spans="17:24" x14ac:dyDescent="0.25">
      <c r="Q492" s="22"/>
      <c r="R492" s="22"/>
      <c r="S492" s="22"/>
      <c r="T492" s="22"/>
      <c r="U492" s="22"/>
      <c r="V492" s="22"/>
      <c r="W492" s="22"/>
      <c r="X492" s="22"/>
    </row>
    <row r="493" spans="17:24" x14ac:dyDescent="0.25">
      <c r="Q493" s="22"/>
      <c r="R493" s="22"/>
      <c r="S493" s="22"/>
      <c r="T493" s="22"/>
      <c r="U493" s="22"/>
      <c r="V493" s="22"/>
      <c r="W493" s="22"/>
      <c r="X493" s="22"/>
    </row>
    <row r="494" spans="17:24" x14ac:dyDescent="0.25">
      <c r="Q494" s="22"/>
      <c r="R494" s="22"/>
      <c r="S494" s="22"/>
      <c r="T494" s="22"/>
      <c r="U494" s="22"/>
      <c r="V494" s="22"/>
      <c r="W494" s="22"/>
      <c r="X494" s="22"/>
    </row>
    <row r="495" spans="17:24" x14ac:dyDescent="0.25">
      <c r="Q495" s="22"/>
      <c r="R495" s="22"/>
      <c r="S495" s="22"/>
      <c r="T495" s="22"/>
      <c r="U495" s="22"/>
      <c r="V495" s="22"/>
      <c r="W495" s="22"/>
      <c r="X495" s="22"/>
    </row>
    <row r="496" spans="17:24" x14ac:dyDescent="0.25">
      <c r="Q496" s="22"/>
      <c r="R496" s="22"/>
      <c r="S496" s="22"/>
      <c r="T496" s="22"/>
      <c r="U496" s="22"/>
      <c r="V496" s="22"/>
      <c r="W496" s="22"/>
      <c r="X496" s="22"/>
    </row>
    <row r="497" spans="17:24" x14ac:dyDescent="0.25">
      <c r="Q497" s="22"/>
      <c r="R497" s="22"/>
      <c r="S497" s="22"/>
      <c r="T497" s="22"/>
      <c r="U497" s="22"/>
      <c r="V497" s="22"/>
      <c r="W497" s="22"/>
      <c r="X497" s="22"/>
    </row>
    <row r="498" spans="17:24" x14ac:dyDescent="0.25">
      <c r="Q498" s="22"/>
      <c r="R498" s="22"/>
      <c r="S498" s="22"/>
      <c r="T498" s="22"/>
      <c r="U498" s="22"/>
      <c r="V498" s="22"/>
      <c r="W498" s="22"/>
      <c r="X498" s="22"/>
    </row>
    <row r="499" spans="17:24" x14ac:dyDescent="0.25">
      <c r="Q499" s="22"/>
      <c r="R499" s="22"/>
      <c r="S499" s="22"/>
      <c r="T499" s="22"/>
      <c r="U499" s="22"/>
      <c r="V499" s="22"/>
      <c r="W499" s="22"/>
      <c r="X499" s="22"/>
    </row>
    <row r="500" spans="17:24" x14ac:dyDescent="0.25">
      <c r="Q500" s="22"/>
      <c r="R500" s="22"/>
      <c r="S500" s="22"/>
      <c r="T500" s="22"/>
      <c r="U500" s="22"/>
      <c r="V500" s="22"/>
      <c r="W500" s="22"/>
      <c r="X500" s="22"/>
    </row>
    <row r="501" spans="17:24" x14ac:dyDescent="0.25">
      <c r="Q501" s="22"/>
      <c r="R501" s="22"/>
      <c r="S501" s="22"/>
      <c r="T501" s="22"/>
      <c r="U501" s="22"/>
      <c r="V501" s="22"/>
      <c r="W501" s="22"/>
      <c r="X501" s="22"/>
    </row>
    <row r="502" spans="17:24" x14ac:dyDescent="0.25">
      <c r="Q502" s="22"/>
      <c r="R502" s="22"/>
      <c r="S502" s="22"/>
      <c r="T502" s="22"/>
      <c r="U502" s="22"/>
      <c r="V502" s="22"/>
      <c r="W502" s="22"/>
      <c r="X502" s="22"/>
    </row>
    <row r="503" spans="17:24" x14ac:dyDescent="0.25">
      <c r="Q503" s="22"/>
      <c r="R503" s="22"/>
      <c r="S503" s="22"/>
      <c r="T503" s="22"/>
      <c r="U503" s="22"/>
      <c r="V503" s="22"/>
      <c r="W503" s="22"/>
      <c r="X503" s="22"/>
    </row>
    <row r="504" spans="17:24" x14ac:dyDescent="0.25">
      <c r="Q504" s="22"/>
      <c r="R504" s="22"/>
      <c r="S504" s="22"/>
      <c r="T504" s="22"/>
      <c r="U504" s="22"/>
      <c r="V504" s="22"/>
      <c r="W504" s="22"/>
      <c r="X504" s="22"/>
    </row>
    <row r="505" spans="17:24" x14ac:dyDescent="0.25">
      <c r="Q505" s="22"/>
      <c r="R505" s="22"/>
      <c r="S505" s="22"/>
      <c r="T505" s="22"/>
      <c r="U505" s="22"/>
      <c r="V505" s="22"/>
      <c r="W505" s="22"/>
      <c r="X505" s="22"/>
    </row>
    <row r="506" spans="17:24" x14ac:dyDescent="0.25">
      <c r="Q506" s="22"/>
      <c r="R506" s="22"/>
      <c r="S506" s="22"/>
      <c r="T506" s="22"/>
      <c r="U506" s="22"/>
      <c r="V506" s="22"/>
      <c r="W506" s="22"/>
      <c r="X506" s="22"/>
    </row>
    <row r="507" spans="17:24" x14ac:dyDescent="0.25">
      <c r="Q507" s="22"/>
      <c r="R507" s="22"/>
      <c r="S507" s="22"/>
      <c r="T507" s="22"/>
      <c r="U507" s="22"/>
      <c r="V507" s="22"/>
      <c r="W507" s="22"/>
      <c r="X507" s="22"/>
    </row>
    <row r="508" spans="17:24" x14ac:dyDescent="0.25">
      <c r="Q508" s="22"/>
      <c r="R508" s="22"/>
      <c r="S508" s="22"/>
      <c r="T508" s="22"/>
      <c r="U508" s="22"/>
      <c r="V508" s="22"/>
      <c r="W508" s="22"/>
      <c r="X508" s="22"/>
    </row>
    <row r="509" spans="17:24" x14ac:dyDescent="0.25">
      <c r="Q509" s="22"/>
      <c r="R509" s="22"/>
      <c r="S509" s="22"/>
      <c r="T509" s="22"/>
      <c r="U509" s="22"/>
      <c r="V509" s="22"/>
      <c r="W509" s="22"/>
      <c r="X509" s="22"/>
    </row>
    <row r="510" spans="17:24" x14ac:dyDescent="0.25">
      <c r="Q510" s="22"/>
      <c r="R510" s="22"/>
      <c r="S510" s="22"/>
      <c r="T510" s="22"/>
      <c r="U510" s="22"/>
      <c r="V510" s="22"/>
      <c r="W510" s="22"/>
      <c r="X510" s="22"/>
    </row>
    <row r="511" spans="17:24" x14ac:dyDescent="0.25">
      <c r="Q511" s="22"/>
      <c r="R511" s="22"/>
      <c r="S511" s="22"/>
      <c r="T511" s="22"/>
      <c r="U511" s="22"/>
      <c r="V511" s="22"/>
      <c r="W511" s="22"/>
      <c r="X511" s="22"/>
    </row>
    <row r="512" spans="17:24" x14ac:dyDescent="0.25">
      <c r="Q512" s="22"/>
      <c r="R512" s="22"/>
      <c r="S512" s="22"/>
      <c r="T512" s="22"/>
      <c r="U512" s="22"/>
      <c r="V512" s="22"/>
      <c r="W512" s="22"/>
      <c r="X512" s="22"/>
    </row>
    <row r="513" spans="17:24" x14ac:dyDescent="0.25">
      <c r="Q513" s="22"/>
      <c r="R513" s="22"/>
      <c r="S513" s="22"/>
      <c r="T513" s="22"/>
      <c r="U513" s="22"/>
      <c r="V513" s="22"/>
      <c r="W513" s="22"/>
      <c r="X513" s="22"/>
    </row>
    <row r="514" spans="17:24" x14ac:dyDescent="0.25">
      <c r="Q514" s="22"/>
      <c r="R514" s="22"/>
      <c r="S514" s="22"/>
      <c r="T514" s="22"/>
      <c r="U514" s="22"/>
      <c r="V514" s="22"/>
      <c r="W514" s="22"/>
      <c r="X514" s="22"/>
    </row>
    <row r="515" spans="17:24" x14ac:dyDescent="0.25">
      <c r="Q515" s="22"/>
      <c r="R515" s="22"/>
      <c r="S515" s="22"/>
      <c r="T515" s="22"/>
      <c r="U515" s="22"/>
      <c r="V515" s="22"/>
      <c r="W515" s="22"/>
      <c r="X515" s="22"/>
    </row>
    <row r="516" spans="17:24" x14ac:dyDescent="0.25">
      <c r="Q516" s="22"/>
      <c r="R516" s="22"/>
      <c r="S516" s="22"/>
      <c r="T516" s="22"/>
      <c r="U516" s="22"/>
      <c r="V516" s="22"/>
      <c r="W516" s="22"/>
      <c r="X516" s="22"/>
    </row>
    <row r="517" spans="17:24" x14ac:dyDescent="0.25">
      <c r="Q517" s="22"/>
      <c r="R517" s="22"/>
      <c r="S517" s="22"/>
      <c r="T517" s="22"/>
      <c r="U517" s="22"/>
      <c r="V517" s="22"/>
      <c r="W517" s="22"/>
      <c r="X517" s="22"/>
    </row>
    <row r="518" spans="17:24" x14ac:dyDescent="0.25">
      <c r="Q518" s="22"/>
      <c r="R518" s="22"/>
      <c r="S518" s="22"/>
      <c r="T518" s="22"/>
      <c r="U518" s="22"/>
      <c r="V518" s="22"/>
      <c r="W518" s="22"/>
      <c r="X518" s="22"/>
    </row>
    <row r="519" spans="17:24" x14ac:dyDescent="0.25">
      <c r="Q519" s="22"/>
      <c r="R519" s="22"/>
      <c r="S519" s="22"/>
      <c r="T519" s="22"/>
      <c r="U519" s="22"/>
      <c r="V519" s="22"/>
      <c r="W519" s="22"/>
      <c r="X519" s="22"/>
    </row>
    <row r="520" spans="17:24" x14ac:dyDescent="0.25">
      <c r="Q520" s="22"/>
      <c r="R520" s="22"/>
      <c r="S520" s="22"/>
      <c r="T520" s="22"/>
      <c r="U520" s="22"/>
      <c r="V520" s="22"/>
      <c r="W520" s="22"/>
      <c r="X520" s="22"/>
    </row>
    <row r="521" spans="17:24" x14ac:dyDescent="0.25">
      <c r="Q521" s="22"/>
      <c r="R521" s="22"/>
      <c r="S521" s="22"/>
      <c r="T521" s="22"/>
      <c r="U521" s="22"/>
      <c r="V521" s="22"/>
      <c r="W521" s="22"/>
      <c r="X521" s="22"/>
    </row>
    <row r="522" spans="17:24" x14ac:dyDescent="0.25">
      <c r="Q522" s="22"/>
      <c r="R522" s="22"/>
      <c r="S522" s="22"/>
      <c r="T522" s="22"/>
      <c r="U522" s="22"/>
      <c r="V522" s="22"/>
      <c r="W522" s="22"/>
      <c r="X522" s="22"/>
    </row>
    <row r="523" spans="17:24" x14ac:dyDescent="0.25">
      <c r="Q523" s="22"/>
      <c r="R523" s="22"/>
      <c r="S523" s="22"/>
      <c r="T523" s="22"/>
      <c r="U523" s="22"/>
      <c r="V523" s="22"/>
      <c r="W523" s="22"/>
      <c r="X523" s="22"/>
    </row>
    <row r="524" spans="17:24" x14ac:dyDescent="0.25">
      <c r="Q524" s="22"/>
      <c r="R524" s="22"/>
      <c r="S524" s="22"/>
      <c r="T524" s="22"/>
      <c r="U524" s="22"/>
      <c r="V524" s="22"/>
      <c r="W524" s="22"/>
      <c r="X524" s="22"/>
    </row>
    <row r="525" spans="17:24" x14ac:dyDescent="0.25">
      <c r="Q525" s="22"/>
      <c r="R525" s="22"/>
      <c r="S525" s="22"/>
      <c r="T525" s="22"/>
      <c r="U525" s="22"/>
      <c r="V525" s="22"/>
      <c r="W525" s="22"/>
      <c r="X525" s="22"/>
    </row>
    <row r="526" spans="17:24" x14ac:dyDescent="0.25">
      <c r="Q526" s="22"/>
      <c r="R526" s="22"/>
      <c r="S526" s="22"/>
      <c r="T526" s="22"/>
      <c r="U526" s="22"/>
      <c r="V526" s="22"/>
      <c r="W526" s="22"/>
      <c r="X526" s="22"/>
    </row>
    <row r="527" spans="17:24" x14ac:dyDescent="0.25">
      <c r="Q527" s="22"/>
      <c r="R527" s="22"/>
      <c r="S527" s="22"/>
      <c r="T527" s="22"/>
      <c r="U527" s="22"/>
      <c r="V527" s="22"/>
      <c r="W527" s="22"/>
      <c r="X527" s="22"/>
    </row>
    <row r="528" spans="17:24" x14ac:dyDescent="0.25">
      <c r="Q528" s="22"/>
      <c r="R528" s="22"/>
      <c r="S528" s="22"/>
      <c r="T528" s="22"/>
      <c r="U528" s="22"/>
      <c r="V528" s="22"/>
      <c r="W528" s="22"/>
      <c r="X528" s="22"/>
    </row>
    <row r="529" spans="17:24" x14ac:dyDescent="0.25">
      <c r="Q529" s="22"/>
      <c r="R529" s="22"/>
      <c r="S529" s="22"/>
      <c r="T529" s="22"/>
      <c r="U529" s="22"/>
      <c r="V529" s="22"/>
      <c r="W529" s="22"/>
      <c r="X529" s="22"/>
    </row>
    <row r="530" spans="17:24" x14ac:dyDescent="0.25">
      <c r="Q530" s="22"/>
      <c r="R530" s="22"/>
      <c r="S530" s="22"/>
      <c r="T530" s="22"/>
      <c r="U530" s="22"/>
      <c r="V530" s="22"/>
      <c r="W530" s="22"/>
      <c r="X530" s="22"/>
    </row>
    <row r="531" spans="17:24" x14ac:dyDescent="0.25">
      <c r="Q531" s="22"/>
      <c r="R531" s="22"/>
      <c r="S531" s="22"/>
      <c r="T531" s="22"/>
      <c r="U531" s="22"/>
      <c r="V531" s="22"/>
      <c r="W531" s="22"/>
      <c r="X531" s="22"/>
    </row>
    <row r="532" spans="17:24" x14ac:dyDescent="0.25">
      <c r="Q532" s="22"/>
      <c r="R532" s="22"/>
      <c r="S532" s="22"/>
      <c r="T532" s="22"/>
      <c r="U532" s="22"/>
      <c r="V532" s="22"/>
      <c r="W532" s="22"/>
      <c r="X532" s="22"/>
    </row>
    <row r="533" spans="17:24" x14ac:dyDescent="0.25">
      <c r="Q533" s="22"/>
      <c r="R533" s="22"/>
      <c r="S533" s="22"/>
      <c r="T533" s="22"/>
      <c r="U533" s="22"/>
      <c r="V533" s="22"/>
      <c r="W533" s="22"/>
      <c r="X533" s="22"/>
    </row>
    <row r="534" spans="17:24" x14ac:dyDescent="0.25">
      <c r="Q534" s="22"/>
      <c r="R534" s="22"/>
      <c r="S534" s="22"/>
      <c r="T534" s="22"/>
      <c r="U534" s="22"/>
      <c r="V534" s="22"/>
      <c r="W534" s="22"/>
      <c r="X534" s="22"/>
    </row>
    <row r="535" spans="17:24" x14ac:dyDescent="0.25">
      <c r="Q535" s="22"/>
      <c r="R535" s="22"/>
      <c r="S535" s="22"/>
      <c r="T535" s="22"/>
      <c r="U535" s="22"/>
      <c r="V535" s="22"/>
      <c r="W535" s="22"/>
      <c r="X535" s="22"/>
    </row>
    <row r="536" spans="17:24" x14ac:dyDescent="0.25">
      <c r="Q536" s="22"/>
      <c r="R536" s="22"/>
      <c r="S536" s="22"/>
      <c r="T536" s="22"/>
      <c r="U536" s="22"/>
      <c r="V536" s="22"/>
      <c r="W536" s="22"/>
      <c r="X536" s="22"/>
    </row>
    <row r="537" spans="17:24" x14ac:dyDescent="0.25">
      <c r="Q537" s="22"/>
      <c r="R537" s="22"/>
      <c r="S537" s="22"/>
      <c r="T537" s="22"/>
      <c r="U537" s="22"/>
      <c r="V537" s="22"/>
      <c r="W537" s="22"/>
      <c r="X537" s="22"/>
    </row>
    <row r="538" spans="17:24" x14ac:dyDescent="0.25">
      <c r="Q538" s="22"/>
      <c r="R538" s="22"/>
      <c r="S538" s="22"/>
      <c r="T538" s="22"/>
      <c r="U538" s="22"/>
      <c r="V538" s="22"/>
      <c r="W538" s="22"/>
      <c r="X538" s="22"/>
    </row>
    <row r="539" spans="17:24" x14ac:dyDescent="0.25">
      <c r="Q539" s="22"/>
      <c r="R539" s="22"/>
      <c r="S539" s="22"/>
      <c r="T539" s="22"/>
      <c r="U539" s="22"/>
      <c r="V539" s="22"/>
      <c r="W539" s="22"/>
      <c r="X539" s="22"/>
    </row>
    <row r="540" spans="17:24" x14ac:dyDescent="0.25">
      <c r="Q540" s="22"/>
      <c r="R540" s="22"/>
      <c r="S540" s="22"/>
      <c r="T540" s="22"/>
      <c r="U540" s="22"/>
      <c r="V540" s="22"/>
      <c r="W540" s="22"/>
      <c r="X540" s="22"/>
    </row>
    <row r="541" spans="17:24" x14ac:dyDescent="0.25">
      <c r="Q541" s="22"/>
      <c r="R541" s="22"/>
      <c r="S541" s="22"/>
      <c r="T541" s="22"/>
      <c r="U541" s="22"/>
      <c r="V541" s="22"/>
      <c r="W541" s="22"/>
      <c r="X541" s="22"/>
    </row>
    <row r="542" spans="17:24" x14ac:dyDescent="0.25">
      <c r="Q542" s="22"/>
      <c r="R542" s="22"/>
      <c r="S542" s="22"/>
      <c r="T542" s="22"/>
      <c r="U542" s="22"/>
      <c r="V542" s="22"/>
      <c r="W542" s="22"/>
      <c r="X542" s="22"/>
    </row>
    <row r="543" spans="17:24" x14ac:dyDescent="0.25">
      <c r="Q543" s="22"/>
      <c r="R543" s="22"/>
      <c r="S543" s="22"/>
      <c r="T543" s="22"/>
      <c r="U543" s="22"/>
      <c r="V543" s="22"/>
      <c r="W543" s="22"/>
      <c r="X543" s="22"/>
    </row>
    <row r="544" spans="17:24" x14ac:dyDescent="0.25">
      <c r="Q544" s="22"/>
      <c r="R544" s="22"/>
      <c r="S544" s="22"/>
      <c r="T544" s="22"/>
      <c r="U544" s="22"/>
      <c r="V544" s="22"/>
      <c r="W544" s="22"/>
      <c r="X544" s="22"/>
    </row>
    <row r="545" spans="17:24" x14ac:dyDescent="0.25">
      <c r="Q545" s="22"/>
      <c r="R545" s="22"/>
      <c r="S545" s="22"/>
      <c r="T545" s="22"/>
      <c r="U545" s="22"/>
      <c r="V545" s="22"/>
      <c r="W545" s="22"/>
      <c r="X545" s="22"/>
    </row>
    <row r="546" spans="17:24" x14ac:dyDescent="0.25">
      <c r="Q546" s="22"/>
      <c r="R546" s="22"/>
      <c r="S546" s="22"/>
      <c r="T546" s="22"/>
      <c r="U546" s="22"/>
      <c r="V546" s="22"/>
      <c r="W546" s="22"/>
      <c r="X546" s="22"/>
    </row>
    <row r="547" spans="17:24" x14ac:dyDescent="0.25">
      <c r="Q547" s="22"/>
      <c r="R547" s="22"/>
      <c r="S547" s="22"/>
      <c r="T547" s="22"/>
      <c r="U547" s="22"/>
      <c r="V547" s="22"/>
      <c r="W547" s="22"/>
      <c r="X547" s="22"/>
    </row>
    <row r="548" spans="17:24" x14ac:dyDescent="0.25">
      <c r="Q548" s="22"/>
      <c r="R548" s="22"/>
      <c r="S548" s="22"/>
      <c r="T548" s="22"/>
      <c r="U548" s="22"/>
      <c r="V548" s="22"/>
      <c r="W548" s="22"/>
      <c r="X548" s="22"/>
    </row>
    <row r="549" spans="17:24" x14ac:dyDescent="0.25">
      <c r="Q549" s="22"/>
      <c r="R549" s="22"/>
      <c r="S549" s="22"/>
      <c r="T549" s="22"/>
      <c r="U549" s="22"/>
      <c r="V549" s="22"/>
      <c r="W549" s="22"/>
      <c r="X549" s="22"/>
    </row>
    <row r="550" spans="17:24" x14ac:dyDescent="0.25">
      <c r="Q550" s="22"/>
      <c r="R550" s="22"/>
      <c r="S550" s="22"/>
      <c r="T550" s="22"/>
      <c r="U550" s="22"/>
      <c r="V550" s="22"/>
      <c r="W550" s="22"/>
      <c r="X550" s="22"/>
    </row>
    <row r="551" spans="17:24" x14ac:dyDescent="0.25">
      <c r="Q551" s="22"/>
      <c r="R551" s="22"/>
      <c r="S551" s="22"/>
      <c r="T551" s="22"/>
      <c r="U551" s="22"/>
      <c r="V551" s="22"/>
      <c r="W551" s="22"/>
      <c r="X551" s="22"/>
    </row>
    <row r="552" spans="17:24" x14ac:dyDescent="0.25">
      <c r="Q552" s="22"/>
      <c r="R552" s="22"/>
      <c r="S552" s="22"/>
      <c r="T552" s="22"/>
      <c r="U552" s="22"/>
      <c r="V552" s="22"/>
      <c r="W552" s="22"/>
      <c r="X552" s="22"/>
    </row>
    <row r="553" spans="17:24" x14ac:dyDescent="0.25">
      <c r="Q553" s="22"/>
      <c r="R553" s="22"/>
      <c r="S553" s="22"/>
      <c r="T553" s="22"/>
      <c r="U553" s="22"/>
      <c r="V553" s="22"/>
      <c r="W553" s="22"/>
      <c r="X553" s="22"/>
    </row>
    <row r="554" spans="17:24" x14ac:dyDescent="0.25">
      <c r="Q554" s="22"/>
      <c r="R554" s="22"/>
      <c r="S554" s="22"/>
      <c r="T554" s="22"/>
      <c r="U554" s="22"/>
      <c r="V554" s="22"/>
      <c r="W554" s="22"/>
      <c r="X554" s="22"/>
    </row>
    <row r="555" spans="17:24" x14ac:dyDescent="0.25">
      <c r="Q555" s="22"/>
      <c r="R555" s="22"/>
      <c r="S555" s="22"/>
      <c r="T555" s="22"/>
      <c r="U555" s="22"/>
      <c r="V555" s="22"/>
      <c r="W555" s="22"/>
      <c r="X555" s="22"/>
    </row>
    <row r="556" spans="17:24" x14ac:dyDescent="0.25">
      <c r="Q556" s="22"/>
      <c r="R556" s="22"/>
      <c r="S556" s="22"/>
      <c r="T556" s="22"/>
      <c r="U556" s="22"/>
      <c r="V556" s="22"/>
      <c r="W556" s="22"/>
      <c r="X556" s="22"/>
    </row>
    <row r="557" spans="17:24" x14ac:dyDescent="0.25">
      <c r="Q557" s="22"/>
      <c r="R557" s="22"/>
      <c r="S557" s="22"/>
      <c r="T557" s="22"/>
      <c r="U557" s="22"/>
      <c r="V557" s="22"/>
      <c r="W557" s="22"/>
      <c r="X557" s="22"/>
    </row>
    <row r="558" spans="17:24" x14ac:dyDescent="0.25">
      <c r="Q558" s="22"/>
      <c r="R558" s="22"/>
      <c r="S558" s="22"/>
      <c r="T558" s="22"/>
      <c r="U558" s="22"/>
      <c r="V558" s="22"/>
      <c r="W558" s="22"/>
      <c r="X558" s="22"/>
    </row>
    <row r="559" spans="17:24" x14ac:dyDescent="0.25">
      <c r="Q559" s="22"/>
      <c r="R559" s="22"/>
      <c r="S559" s="22"/>
      <c r="T559" s="22"/>
      <c r="U559" s="22"/>
      <c r="V559" s="22"/>
      <c r="W559" s="22"/>
      <c r="X559" s="22"/>
    </row>
    <row r="560" spans="17:24" x14ac:dyDescent="0.25">
      <c r="Q560" s="22"/>
      <c r="R560" s="22"/>
      <c r="S560" s="22"/>
      <c r="T560" s="22"/>
      <c r="U560" s="22"/>
      <c r="V560" s="22"/>
      <c r="W560" s="22"/>
      <c r="X560" s="22"/>
    </row>
    <row r="561" spans="17:24" x14ac:dyDescent="0.25">
      <c r="Q561" s="22"/>
      <c r="R561" s="22"/>
      <c r="S561" s="22"/>
      <c r="T561" s="22"/>
      <c r="U561" s="22"/>
      <c r="V561" s="22"/>
      <c r="W561" s="22"/>
      <c r="X561" s="22"/>
    </row>
    <row r="562" spans="17:24" x14ac:dyDescent="0.25">
      <c r="Q562" s="22"/>
      <c r="R562" s="22"/>
      <c r="S562" s="22"/>
      <c r="T562" s="22"/>
      <c r="U562" s="22"/>
      <c r="V562" s="22"/>
      <c r="W562" s="22"/>
      <c r="X562" s="22"/>
    </row>
    <row r="563" spans="17:24" x14ac:dyDescent="0.25">
      <c r="Q563" s="22"/>
      <c r="R563" s="22"/>
      <c r="S563" s="22"/>
      <c r="T563" s="22"/>
      <c r="U563" s="22"/>
      <c r="V563" s="22"/>
      <c r="W563" s="22"/>
      <c r="X563" s="22"/>
    </row>
    <row r="564" spans="17:24" x14ac:dyDescent="0.25">
      <c r="Q564" s="22"/>
      <c r="R564" s="22"/>
      <c r="S564" s="22"/>
      <c r="T564" s="22"/>
      <c r="U564" s="22"/>
      <c r="V564" s="22"/>
      <c r="W564" s="22"/>
      <c r="X564" s="22"/>
    </row>
    <row r="565" spans="17:24" x14ac:dyDescent="0.25">
      <c r="Q565" s="22"/>
      <c r="R565" s="22"/>
      <c r="S565" s="22"/>
      <c r="T565" s="22"/>
      <c r="U565" s="22"/>
      <c r="V565" s="22"/>
      <c r="W565" s="22"/>
      <c r="X565" s="22"/>
    </row>
    <row r="566" spans="17:24" x14ac:dyDescent="0.25">
      <c r="Q566" s="22"/>
      <c r="R566" s="22"/>
      <c r="S566" s="22"/>
      <c r="T566" s="22"/>
      <c r="U566" s="22"/>
      <c r="V566" s="22"/>
      <c r="W566" s="22"/>
      <c r="X566" s="22"/>
    </row>
    <row r="567" spans="17:24" x14ac:dyDescent="0.25">
      <c r="Q567" s="22"/>
      <c r="R567" s="22"/>
      <c r="S567" s="22"/>
      <c r="T567" s="22"/>
      <c r="U567" s="22"/>
      <c r="V567" s="22"/>
      <c r="W567" s="22"/>
      <c r="X567" s="22"/>
    </row>
    <row r="568" spans="17:24" x14ac:dyDescent="0.25">
      <c r="Q568" s="22"/>
      <c r="R568" s="22"/>
      <c r="S568" s="22"/>
      <c r="T568" s="22"/>
      <c r="U568" s="22"/>
      <c r="V568" s="22"/>
      <c r="W568" s="22"/>
      <c r="X568" s="22"/>
    </row>
    <row r="569" spans="17:24" x14ac:dyDescent="0.25">
      <c r="Q569" s="22"/>
      <c r="R569" s="22"/>
      <c r="S569" s="22"/>
      <c r="T569" s="22"/>
      <c r="U569" s="22"/>
      <c r="V569" s="22"/>
      <c r="W569" s="22"/>
      <c r="X569" s="22"/>
    </row>
    <row r="570" spans="17:24" x14ac:dyDescent="0.25">
      <c r="Q570" s="22"/>
      <c r="R570" s="22"/>
      <c r="S570" s="22"/>
      <c r="T570" s="22"/>
      <c r="U570" s="22"/>
      <c r="V570" s="22"/>
      <c r="W570" s="22"/>
      <c r="X570" s="22"/>
    </row>
    <row r="571" spans="17:24" x14ac:dyDescent="0.25">
      <c r="Q571" s="22"/>
      <c r="R571" s="22"/>
      <c r="S571" s="22"/>
      <c r="T571" s="22"/>
      <c r="U571" s="22"/>
      <c r="V571" s="22"/>
      <c r="W571" s="22"/>
      <c r="X571" s="22"/>
    </row>
    <row r="572" spans="17:24" x14ac:dyDescent="0.25">
      <c r="Q572" s="22"/>
      <c r="R572" s="22"/>
      <c r="S572" s="22"/>
      <c r="T572" s="22"/>
      <c r="U572" s="22"/>
      <c r="V572" s="22"/>
      <c r="W572" s="22"/>
      <c r="X572" s="22"/>
    </row>
    <row r="573" spans="17:24" x14ac:dyDescent="0.25">
      <c r="Q573" s="22"/>
      <c r="R573" s="22"/>
      <c r="S573" s="22"/>
      <c r="T573" s="22"/>
      <c r="U573" s="22"/>
      <c r="V573" s="22"/>
      <c r="W573" s="22"/>
      <c r="X573" s="22"/>
    </row>
    <row r="574" spans="17:24" x14ac:dyDescent="0.25">
      <c r="Q574" s="22"/>
      <c r="R574" s="22"/>
      <c r="S574" s="22"/>
      <c r="T574" s="22"/>
      <c r="U574" s="22"/>
      <c r="V574" s="22"/>
      <c r="W574" s="22"/>
      <c r="X574" s="22"/>
    </row>
    <row r="575" spans="17:24" x14ac:dyDescent="0.25">
      <c r="Q575" s="22"/>
      <c r="R575" s="22"/>
      <c r="S575" s="22"/>
      <c r="T575" s="22"/>
      <c r="U575" s="22"/>
      <c r="V575" s="22"/>
      <c r="W575" s="22"/>
      <c r="X575" s="22"/>
    </row>
    <row r="576" spans="17:24" x14ac:dyDescent="0.25">
      <c r="Q576" s="22"/>
      <c r="R576" s="22"/>
      <c r="S576" s="22"/>
      <c r="T576" s="22"/>
      <c r="U576" s="22"/>
      <c r="V576" s="22"/>
      <c r="W576" s="22"/>
      <c r="X576" s="22"/>
    </row>
    <row r="577" spans="17:24" x14ac:dyDescent="0.25">
      <c r="Q577" s="22"/>
      <c r="R577" s="22"/>
      <c r="S577" s="22"/>
      <c r="T577" s="22"/>
      <c r="U577" s="22"/>
      <c r="V577" s="22"/>
      <c r="W577" s="22"/>
      <c r="X577" s="22"/>
    </row>
    <row r="578" spans="17:24" x14ac:dyDescent="0.25">
      <c r="Q578" s="22"/>
      <c r="R578" s="22"/>
      <c r="S578" s="22"/>
      <c r="T578" s="22"/>
      <c r="U578" s="22"/>
      <c r="V578" s="22"/>
      <c r="W578" s="22"/>
      <c r="X578" s="22"/>
    </row>
    <row r="579" spans="17:24" x14ac:dyDescent="0.25">
      <c r="Q579" s="22"/>
      <c r="R579" s="22"/>
      <c r="S579" s="22"/>
      <c r="T579" s="22"/>
      <c r="U579" s="22"/>
      <c r="V579" s="22"/>
      <c r="W579" s="22"/>
      <c r="X579" s="22"/>
    </row>
    <row r="580" spans="17:24" x14ac:dyDescent="0.25">
      <c r="Q580" s="22"/>
      <c r="R580" s="22"/>
      <c r="S580" s="22"/>
      <c r="T580" s="22"/>
      <c r="U580" s="22"/>
      <c r="V580" s="22"/>
      <c r="W580" s="22"/>
      <c r="X580" s="22"/>
    </row>
    <row r="581" spans="17:24" x14ac:dyDescent="0.25">
      <c r="Q581" s="22"/>
      <c r="R581" s="22"/>
      <c r="S581" s="22"/>
      <c r="T581" s="22"/>
      <c r="U581" s="22"/>
      <c r="V581" s="22"/>
      <c r="W581" s="22"/>
      <c r="X581" s="22"/>
    </row>
    <row r="582" spans="17:24" x14ac:dyDescent="0.25">
      <c r="Q582" s="22"/>
      <c r="R582" s="22"/>
      <c r="S582" s="22"/>
      <c r="T582" s="22"/>
      <c r="U582" s="22"/>
      <c r="V582" s="22"/>
      <c r="W582" s="22"/>
      <c r="X582" s="22"/>
    </row>
    <row r="583" spans="17:24" x14ac:dyDescent="0.25">
      <c r="Q583" s="22"/>
      <c r="R583" s="22"/>
      <c r="S583" s="22"/>
      <c r="T583" s="22"/>
      <c r="U583" s="22"/>
      <c r="V583" s="22"/>
      <c r="W583" s="22"/>
      <c r="X583" s="22"/>
    </row>
    <row r="584" spans="17:24" x14ac:dyDescent="0.25">
      <c r="Q584" s="22"/>
      <c r="R584" s="22"/>
      <c r="S584" s="22"/>
      <c r="T584" s="22"/>
      <c r="U584" s="22"/>
      <c r="V584" s="22"/>
      <c r="W584" s="22"/>
      <c r="X584" s="22"/>
    </row>
    <row r="585" spans="17:24" x14ac:dyDescent="0.25">
      <c r="Q585" s="22"/>
      <c r="R585" s="22"/>
      <c r="S585" s="22"/>
      <c r="T585" s="22"/>
      <c r="U585" s="22"/>
      <c r="V585" s="22"/>
      <c r="W585" s="22"/>
      <c r="X585" s="22"/>
    </row>
    <row r="586" spans="17:24" x14ac:dyDescent="0.25">
      <c r="Q586" s="22"/>
      <c r="R586" s="22"/>
      <c r="S586" s="22"/>
      <c r="T586" s="22"/>
      <c r="U586" s="22"/>
      <c r="V586" s="22"/>
      <c r="W586" s="22"/>
      <c r="X586" s="22"/>
    </row>
    <row r="587" spans="17:24" x14ac:dyDescent="0.25">
      <c r="Q587" s="22"/>
      <c r="R587" s="22"/>
      <c r="S587" s="22"/>
      <c r="T587" s="22"/>
      <c r="U587" s="22"/>
      <c r="V587" s="22"/>
      <c r="W587" s="22"/>
      <c r="X587" s="22"/>
    </row>
    <row r="588" spans="17:24" x14ac:dyDescent="0.25">
      <c r="Q588" s="22"/>
      <c r="R588" s="22"/>
      <c r="S588" s="22"/>
      <c r="T588" s="22"/>
      <c r="U588" s="22"/>
      <c r="V588" s="22"/>
      <c r="W588" s="22"/>
      <c r="X588" s="22"/>
    </row>
    <row r="589" spans="17:24" x14ac:dyDescent="0.25">
      <c r="Q589" s="22"/>
      <c r="R589" s="22"/>
      <c r="S589" s="22"/>
      <c r="T589" s="22"/>
      <c r="U589" s="22"/>
      <c r="V589" s="22"/>
      <c r="W589" s="22"/>
      <c r="X589" s="22"/>
    </row>
    <row r="590" spans="17:24" x14ac:dyDescent="0.25">
      <c r="Q590" s="22"/>
      <c r="R590" s="22"/>
      <c r="S590" s="22"/>
      <c r="T590" s="22"/>
      <c r="U590" s="22"/>
      <c r="V590" s="22"/>
      <c r="W590" s="22"/>
      <c r="X590" s="22"/>
    </row>
    <row r="591" spans="17:24" x14ac:dyDescent="0.25">
      <c r="Q591" s="22"/>
      <c r="R591" s="22"/>
      <c r="S591" s="22"/>
      <c r="T591" s="22"/>
      <c r="U591" s="22"/>
      <c r="V591" s="22"/>
      <c r="W591" s="22"/>
      <c r="X591" s="22"/>
    </row>
    <row r="592" spans="17:24" x14ac:dyDescent="0.25">
      <c r="Q592" s="22"/>
      <c r="R592" s="22"/>
      <c r="S592" s="22"/>
      <c r="T592" s="22"/>
      <c r="U592" s="22"/>
      <c r="V592" s="22"/>
      <c r="W592" s="22"/>
      <c r="X592" s="22"/>
    </row>
    <row r="593" spans="17:24" x14ac:dyDescent="0.25">
      <c r="Q593" s="22"/>
      <c r="R593" s="22"/>
      <c r="S593" s="22"/>
      <c r="T593" s="22"/>
      <c r="U593" s="22"/>
      <c r="V593" s="22"/>
      <c r="W593" s="22"/>
      <c r="X593" s="22"/>
    </row>
    <row r="594" spans="17:24" x14ac:dyDescent="0.25">
      <c r="Q594" s="22"/>
      <c r="R594" s="22"/>
      <c r="S594" s="22"/>
      <c r="T594" s="22"/>
      <c r="U594" s="22"/>
      <c r="V594" s="22"/>
      <c r="W594" s="22"/>
      <c r="X594" s="22"/>
    </row>
    <row r="595" spans="17:24" x14ac:dyDescent="0.25">
      <c r="Q595" s="22"/>
      <c r="R595" s="22"/>
      <c r="S595" s="22"/>
      <c r="T595" s="22"/>
      <c r="U595" s="22"/>
      <c r="V595" s="22"/>
      <c r="W595" s="22"/>
      <c r="X595" s="22"/>
    </row>
    <row r="596" spans="17:24" x14ac:dyDescent="0.25">
      <c r="Q596" s="22"/>
      <c r="R596" s="22"/>
      <c r="S596" s="22"/>
      <c r="T596" s="22"/>
      <c r="U596" s="22"/>
      <c r="V596" s="22"/>
      <c r="W596" s="22"/>
      <c r="X596" s="22"/>
    </row>
    <row r="597" spans="17:24" x14ac:dyDescent="0.25">
      <c r="Q597" s="22"/>
      <c r="R597" s="22"/>
      <c r="S597" s="22"/>
      <c r="T597" s="22"/>
      <c r="U597" s="22"/>
      <c r="V597" s="22"/>
      <c r="W597" s="22"/>
      <c r="X597" s="22"/>
    </row>
    <row r="598" spans="17:24" x14ac:dyDescent="0.25">
      <c r="Q598" s="22"/>
      <c r="R598" s="22"/>
      <c r="S598" s="22"/>
      <c r="T598" s="22"/>
      <c r="U598" s="22"/>
      <c r="V598" s="22"/>
      <c r="W598" s="22"/>
      <c r="X598" s="22"/>
    </row>
    <row r="599" spans="17:24" x14ac:dyDescent="0.25">
      <c r="Q599" s="22"/>
      <c r="R599" s="22"/>
      <c r="S599" s="22"/>
      <c r="T599" s="22"/>
      <c r="U599" s="22"/>
      <c r="V599" s="22"/>
      <c r="W599" s="22"/>
      <c r="X599" s="22"/>
    </row>
    <row r="600" spans="17:24" x14ac:dyDescent="0.25">
      <c r="Q600" s="22"/>
      <c r="R600" s="22"/>
      <c r="S600" s="22"/>
      <c r="T600" s="22"/>
      <c r="U600" s="22"/>
      <c r="V600" s="22"/>
      <c r="W600" s="22"/>
      <c r="X600" s="22"/>
    </row>
    <row r="601" spans="17:24" x14ac:dyDescent="0.25">
      <c r="Q601" s="22"/>
      <c r="R601" s="22"/>
      <c r="S601" s="22"/>
      <c r="T601" s="22"/>
      <c r="U601" s="22"/>
      <c r="V601" s="22"/>
      <c r="W601" s="22"/>
      <c r="X601" s="22"/>
    </row>
    <row r="602" spans="17:24" x14ac:dyDescent="0.25">
      <c r="Q602" s="22"/>
      <c r="R602" s="22"/>
      <c r="S602" s="22"/>
      <c r="T602" s="22"/>
      <c r="U602" s="22"/>
      <c r="V602" s="22"/>
      <c r="W602" s="22"/>
      <c r="X602" s="22"/>
    </row>
    <row r="603" spans="17:24" x14ac:dyDescent="0.25">
      <c r="Q603" s="22"/>
      <c r="R603" s="22"/>
      <c r="S603" s="22"/>
      <c r="T603" s="22"/>
      <c r="U603" s="22"/>
      <c r="V603" s="22"/>
      <c r="W603" s="22"/>
      <c r="X603" s="22"/>
    </row>
    <row r="604" spans="17:24" x14ac:dyDescent="0.25">
      <c r="Q604" s="22"/>
      <c r="R604" s="22"/>
      <c r="S604" s="22"/>
      <c r="T604" s="22"/>
      <c r="U604" s="22"/>
      <c r="V604" s="22"/>
      <c r="W604" s="22"/>
      <c r="X604" s="22"/>
    </row>
    <row r="605" spans="17:24" x14ac:dyDescent="0.25">
      <c r="Q605" s="22"/>
      <c r="R605" s="22"/>
      <c r="S605" s="22"/>
      <c r="T605" s="22"/>
      <c r="U605" s="22"/>
      <c r="V605" s="22"/>
      <c r="W605" s="22"/>
      <c r="X605" s="22"/>
    </row>
    <row r="606" spans="17:24" x14ac:dyDescent="0.25">
      <c r="Q606" s="22"/>
      <c r="R606" s="22"/>
      <c r="S606" s="22"/>
      <c r="T606" s="22"/>
      <c r="U606" s="22"/>
      <c r="V606" s="22"/>
      <c r="W606" s="22"/>
      <c r="X606" s="22"/>
    </row>
    <row r="607" spans="17:24" x14ac:dyDescent="0.25">
      <c r="Q607" s="22"/>
      <c r="R607" s="22"/>
      <c r="S607" s="22"/>
      <c r="T607" s="22"/>
      <c r="U607" s="22"/>
      <c r="V607" s="22"/>
      <c r="W607" s="22"/>
      <c r="X607" s="22"/>
    </row>
    <row r="608" spans="17:24" x14ac:dyDescent="0.25">
      <c r="Q608" s="22"/>
      <c r="R608" s="22"/>
      <c r="S608" s="22"/>
      <c r="T608" s="22"/>
      <c r="U608" s="22"/>
      <c r="V608" s="22"/>
      <c r="W608" s="22"/>
      <c r="X608" s="22"/>
    </row>
    <row r="609" spans="17:24" x14ac:dyDescent="0.25">
      <c r="Q609" s="22"/>
      <c r="R609" s="22"/>
      <c r="S609" s="22"/>
      <c r="T609" s="22"/>
      <c r="U609" s="22"/>
      <c r="V609" s="22"/>
      <c r="W609" s="22"/>
      <c r="X609" s="22"/>
    </row>
    <row r="610" spans="17:24" x14ac:dyDescent="0.25">
      <c r="Q610" s="22"/>
      <c r="R610" s="22"/>
      <c r="S610" s="22"/>
      <c r="T610" s="22"/>
      <c r="U610" s="22"/>
      <c r="V610" s="22"/>
      <c r="W610" s="22"/>
      <c r="X610" s="22"/>
    </row>
    <row r="611" spans="17:24" x14ac:dyDescent="0.25">
      <c r="Q611" s="22"/>
      <c r="R611" s="22"/>
      <c r="S611" s="22"/>
      <c r="T611" s="22"/>
      <c r="U611" s="22"/>
      <c r="V611" s="22"/>
      <c r="W611" s="22"/>
      <c r="X611" s="22"/>
    </row>
    <row r="612" spans="17:24" x14ac:dyDescent="0.25">
      <c r="Q612" s="22"/>
      <c r="R612" s="22"/>
      <c r="S612" s="22"/>
      <c r="T612" s="22"/>
      <c r="U612" s="22"/>
      <c r="V612" s="22"/>
      <c r="W612" s="22"/>
      <c r="X612" s="22"/>
    </row>
    <row r="613" spans="17:24" x14ac:dyDescent="0.25">
      <c r="Q613" s="22"/>
      <c r="R613" s="22"/>
      <c r="S613" s="22"/>
      <c r="T613" s="22"/>
      <c r="U613" s="22"/>
      <c r="V613" s="22"/>
      <c r="W613" s="22"/>
      <c r="X613" s="22"/>
    </row>
    <row r="614" spans="17:24" x14ac:dyDescent="0.25">
      <c r="Q614" s="22"/>
      <c r="R614" s="22"/>
      <c r="S614" s="22"/>
      <c r="T614" s="22"/>
      <c r="U614" s="22"/>
      <c r="V614" s="22"/>
      <c r="W614" s="22"/>
      <c r="X614" s="22"/>
    </row>
    <row r="615" spans="17:24" x14ac:dyDescent="0.25">
      <c r="Q615" s="22"/>
      <c r="R615" s="22"/>
      <c r="S615" s="22"/>
      <c r="T615" s="22"/>
      <c r="U615" s="22"/>
      <c r="V615" s="22"/>
      <c r="W615" s="22"/>
      <c r="X615" s="22"/>
    </row>
    <row r="616" spans="17:24" x14ac:dyDescent="0.25">
      <c r="Q616" s="22"/>
      <c r="R616" s="22"/>
      <c r="S616" s="22"/>
      <c r="T616" s="22"/>
      <c r="U616" s="22"/>
      <c r="V616" s="22"/>
      <c r="W616" s="22"/>
      <c r="X616" s="22"/>
    </row>
    <row r="617" spans="17:24" x14ac:dyDescent="0.25">
      <c r="Q617" s="22"/>
      <c r="R617" s="22"/>
      <c r="S617" s="22"/>
      <c r="T617" s="22"/>
      <c r="U617" s="22"/>
      <c r="V617" s="22"/>
      <c r="W617" s="22"/>
      <c r="X617" s="22"/>
    </row>
    <row r="618" spans="17:24" x14ac:dyDescent="0.25">
      <c r="Q618" s="22"/>
      <c r="R618" s="22"/>
      <c r="S618" s="22"/>
      <c r="T618" s="22"/>
      <c r="U618" s="22"/>
      <c r="V618" s="22"/>
      <c r="W618" s="22"/>
      <c r="X618" s="22"/>
    </row>
    <row r="619" spans="17:24" x14ac:dyDescent="0.25">
      <c r="Q619" s="22"/>
      <c r="R619" s="22"/>
      <c r="S619" s="22"/>
      <c r="T619" s="22"/>
      <c r="U619" s="22"/>
      <c r="V619" s="22"/>
      <c r="W619" s="22"/>
      <c r="X619" s="22"/>
    </row>
    <row r="620" spans="17:24" x14ac:dyDescent="0.25">
      <c r="Q620" s="22"/>
      <c r="R620" s="22"/>
      <c r="S620" s="22"/>
      <c r="T620" s="22"/>
      <c r="U620" s="22"/>
      <c r="V620" s="22"/>
      <c r="W620" s="22"/>
      <c r="X620" s="22"/>
    </row>
    <row r="621" spans="17:24" x14ac:dyDescent="0.25">
      <c r="Q621" s="22"/>
      <c r="R621" s="22"/>
      <c r="S621" s="22"/>
      <c r="T621" s="22"/>
      <c r="U621" s="22"/>
      <c r="V621" s="22"/>
      <c r="W621" s="22"/>
      <c r="X621" s="22"/>
    </row>
    <row r="622" spans="17:24" x14ac:dyDescent="0.25">
      <c r="Q622" s="22"/>
      <c r="R622" s="22"/>
      <c r="S622" s="22"/>
      <c r="T622" s="22"/>
      <c r="U622" s="22"/>
      <c r="V622" s="22"/>
      <c r="W622" s="22"/>
      <c r="X622" s="22"/>
    </row>
    <row r="623" spans="17:24" x14ac:dyDescent="0.25">
      <c r="Q623" s="22"/>
      <c r="R623" s="22"/>
      <c r="S623" s="22"/>
      <c r="T623" s="22"/>
      <c r="U623" s="22"/>
      <c r="V623" s="22"/>
      <c r="W623" s="22"/>
      <c r="X623" s="22"/>
    </row>
    <row r="624" spans="17:24" x14ac:dyDescent="0.25">
      <c r="Q624" s="22"/>
      <c r="R624" s="22"/>
      <c r="S624" s="22"/>
      <c r="T624" s="22"/>
      <c r="U624" s="22"/>
      <c r="V624" s="22"/>
      <c r="W624" s="22"/>
      <c r="X624" s="22"/>
    </row>
    <row r="625" spans="17:24" x14ac:dyDescent="0.25">
      <c r="Q625" s="22"/>
      <c r="R625" s="22"/>
      <c r="S625" s="22"/>
      <c r="T625" s="22"/>
      <c r="U625" s="22"/>
      <c r="V625" s="22"/>
      <c r="W625" s="22"/>
      <c r="X625" s="22"/>
    </row>
    <row r="626" spans="17:24" x14ac:dyDescent="0.25">
      <c r="Q626" s="22"/>
      <c r="R626" s="22"/>
      <c r="S626" s="22"/>
      <c r="T626" s="22"/>
      <c r="U626" s="22"/>
      <c r="V626" s="22"/>
      <c r="W626" s="22"/>
      <c r="X626" s="22"/>
    </row>
    <row r="627" spans="17:24" x14ac:dyDescent="0.25">
      <c r="Q627" s="22"/>
      <c r="R627" s="22"/>
      <c r="S627" s="22"/>
      <c r="T627" s="22"/>
      <c r="U627" s="22"/>
      <c r="V627" s="22"/>
      <c r="W627" s="22"/>
      <c r="X627" s="22"/>
    </row>
    <row r="628" spans="17:24" x14ac:dyDescent="0.25">
      <c r="Q628" s="22"/>
      <c r="R628" s="22"/>
      <c r="S628" s="22"/>
      <c r="T628" s="22"/>
      <c r="U628" s="22"/>
      <c r="V628" s="22"/>
      <c r="W628" s="22"/>
      <c r="X628" s="22"/>
    </row>
    <row r="629" spans="17:24" x14ac:dyDescent="0.25">
      <c r="Q629" s="22"/>
      <c r="R629" s="22"/>
      <c r="S629" s="22"/>
      <c r="T629" s="22"/>
      <c r="U629" s="22"/>
      <c r="V629" s="22"/>
      <c r="W629" s="22"/>
      <c r="X629" s="22"/>
    </row>
    <row r="630" spans="17:24" x14ac:dyDescent="0.25">
      <c r="Q630" s="22"/>
      <c r="R630" s="22"/>
      <c r="S630" s="22"/>
      <c r="T630" s="22"/>
      <c r="U630" s="22"/>
      <c r="V630" s="22"/>
      <c r="W630" s="22"/>
      <c r="X630" s="22"/>
    </row>
    <row r="631" spans="17:24" x14ac:dyDescent="0.25">
      <c r="Q631" s="22"/>
      <c r="R631" s="22"/>
      <c r="S631" s="22"/>
      <c r="T631" s="22"/>
      <c r="U631" s="22"/>
      <c r="V631" s="22"/>
      <c r="W631" s="22"/>
      <c r="X631" s="22"/>
    </row>
    <row r="632" spans="17:24" x14ac:dyDescent="0.25">
      <c r="Q632" s="22"/>
      <c r="R632" s="22"/>
      <c r="S632" s="22"/>
      <c r="T632" s="22"/>
      <c r="U632" s="22"/>
      <c r="V632" s="22"/>
      <c r="W632" s="22"/>
      <c r="X632" s="22"/>
    </row>
    <row r="633" spans="17:24" x14ac:dyDescent="0.25">
      <c r="Q633" s="22"/>
      <c r="R633" s="22"/>
      <c r="S633" s="22"/>
      <c r="T633" s="22"/>
      <c r="U633" s="22"/>
      <c r="V633" s="22"/>
      <c r="W633" s="22"/>
      <c r="X633" s="22"/>
    </row>
    <row r="634" spans="17:24" x14ac:dyDescent="0.25">
      <c r="Q634" s="22"/>
      <c r="R634" s="22"/>
      <c r="S634" s="22"/>
      <c r="T634" s="22"/>
      <c r="U634" s="22"/>
      <c r="V634" s="22"/>
      <c r="W634" s="22"/>
      <c r="X634" s="22"/>
    </row>
    <row r="635" spans="17:24" x14ac:dyDescent="0.25">
      <c r="Q635" s="22"/>
      <c r="R635" s="22"/>
      <c r="S635" s="22"/>
      <c r="T635" s="22"/>
      <c r="U635" s="22"/>
      <c r="V635" s="22"/>
      <c r="W635" s="22"/>
      <c r="X635" s="22"/>
    </row>
    <row r="636" spans="17:24" x14ac:dyDescent="0.25">
      <c r="Q636" s="22"/>
      <c r="R636" s="22"/>
      <c r="S636" s="22"/>
      <c r="T636" s="22"/>
      <c r="U636" s="22"/>
      <c r="V636" s="22"/>
      <c r="W636" s="22"/>
      <c r="X636" s="22"/>
    </row>
    <row r="637" spans="17:24" x14ac:dyDescent="0.25">
      <c r="Q637" s="22"/>
      <c r="R637" s="22"/>
      <c r="S637" s="22"/>
      <c r="T637" s="22"/>
      <c r="U637" s="22"/>
      <c r="V637" s="22"/>
      <c r="W637" s="22"/>
      <c r="X637" s="22"/>
    </row>
    <row r="638" spans="17:24" x14ac:dyDescent="0.25">
      <c r="Q638" s="22"/>
      <c r="R638" s="22"/>
      <c r="S638" s="22"/>
      <c r="T638" s="22"/>
      <c r="U638" s="22"/>
      <c r="V638" s="22"/>
      <c r="W638" s="22"/>
      <c r="X638" s="22"/>
    </row>
    <row r="639" spans="17:24" x14ac:dyDescent="0.25">
      <c r="Q639" s="22"/>
      <c r="R639" s="22"/>
      <c r="S639" s="22"/>
      <c r="T639" s="22"/>
      <c r="U639" s="22"/>
      <c r="V639" s="22"/>
      <c r="W639" s="22"/>
      <c r="X639" s="22"/>
    </row>
    <row r="640" spans="17:24" x14ac:dyDescent="0.25">
      <c r="Q640" s="22"/>
      <c r="R640" s="22"/>
      <c r="S640" s="22"/>
      <c r="T640" s="22"/>
      <c r="U640" s="22"/>
      <c r="V640" s="22"/>
      <c r="W640" s="22"/>
      <c r="X640" s="22"/>
    </row>
    <row r="641" spans="17:24" x14ac:dyDescent="0.25">
      <c r="Q641" s="22"/>
      <c r="R641" s="22"/>
      <c r="S641" s="22"/>
      <c r="T641" s="22"/>
      <c r="U641" s="22"/>
      <c r="V641" s="22"/>
      <c r="W641" s="22"/>
      <c r="X641" s="22"/>
    </row>
    <row r="642" spans="17:24" x14ac:dyDescent="0.25">
      <c r="Q642" s="22"/>
      <c r="R642" s="22"/>
      <c r="S642" s="22"/>
      <c r="T642" s="22"/>
      <c r="U642" s="22"/>
      <c r="V642" s="22"/>
      <c r="W642" s="22"/>
      <c r="X642" s="22"/>
    </row>
    <row r="643" spans="17:24" x14ac:dyDescent="0.25">
      <c r="Q643" s="22"/>
      <c r="R643" s="22"/>
      <c r="S643" s="22"/>
      <c r="T643" s="22"/>
      <c r="U643" s="22"/>
      <c r="V643" s="22"/>
      <c r="W643" s="22"/>
      <c r="X643" s="22"/>
    </row>
    <row r="644" spans="17:24" x14ac:dyDescent="0.25">
      <c r="Q644" s="22"/>
      <c r="R644" s="22"/>
      <c r="S644" s="22"/>
      <c r="T644" s="22"/>
      <c r="U644" s="22"/>
      <c r="V644" s="22"/>
      <c r="W644" s="22"/>
      <c r="X644" s="22"/>
    </row>
    <row r="645" spans="17:24" x14ac:dyDescent="0.25">
      <c r="Q645" s="22"/>
      <c r="R645" s="22"/>
      <c r="S645" s="22"/>
      <c r="T645" s="22"/>
      <c r="U645" s="22"/>
      <c r="V645" s="22"/>
      <c r="W645" s="22"/>
      <c r="X645" s="22"/>
    </row>
    <row r="646" spans="17:24" x14ac:dyDescent="0.25">
      <c r="Q646" s="22"/>
      <c r="R646" s="22"/>
      <c r="S646" s="22"/>
      <c r="T646" s="22"/>
      <c r="U646" s="22"/>
      <c r="V646" s="22"/>
      <c r="W646" s="22"/>
      <c r="X646" s="22"/>
    </row>
    <row r="647" spans="17:24" x14ac:dyDescent="0.25">
      <c r="Q647" s="22"/>
      <c r="R647" s="22"/>
      <c r="S647" s="22"/>
      <c r="T647" s="22"/>
      <c r="U647" s="22"/>
      <c r="V647" s="22"/>
      <c r="W647" s="22"/>
      <c r="X647" s="22"/>
    </row>
    <row r="648" spans="17:24" x14ac:dyDescent="0.25">
      <c r="Q648" s="22"/>
      <c r="R648" s="22"/>
      <c r="S648" s="22"/>
      <c r="T648" s="22"/>
      <c r="U648" s="22"/>
      <c r="V648" s="22"/>
      <c r="W648" s="22"/>
      <c r="X648" s="22"/>
    </row>
    <row r="649" spans="17:24" x14ac:dyDescent="0.25">
      <c r="Q649" s="22"/>
      <c r="R649" s="22"/>
      <c r="S649" s="22"/>
      <c r="T649" s="22"/>
      <c r="U649" s="22"/>
      <c r="V649" s="22"/>
      <c r="W649" s="22"/>
      <c r="X649" s="22"/>
    </row>
    <row r="650" spans="17:24" x14ac:dyDescent="0.25">
      <c r="Q650" s="22"/>
      <c r="R650" s="22"/>
      <c r="S650" s="22"/>
      <c r="T650" s="22"/>
      <c r="U650" s="22"/>
      <c r="V650" s="22"/>
      <c r="W650" s="22"/>
      <c r="X650" s="22"/>
    </row>
    <row r="651" spans="17:24" x14ac:dyDescent="0.25">
      <c r="Q651" s="22"/>
      <c r="R651" s="22"/>
      <c r="S651" s="22"/>
      <c r="T651" s="22"/>
      <c r="U651" s="22"/>
      <c r="V651" s="22"/>
      <c r="W651" s="22"/>
      <c r="X651" s="22"/>
    </row>
    <row r="652" spans="17:24" x14ac:dyDescent="0.25">
      <c r="Q652" s="22"/>
      <c r="R652" s="22"/>
      <c r="S652" s="22"/>
      <c r="T652" s="22"/>
      <c r="U652" s="22"/>
      <c r="V652" s="22"/>
      <c r="W652" s="22"/>
      <c r="X652" s="22"/>
    </row>
    <row r="653" spans="17:24" x14ac:dyDescent="0.25">
      <c r="Q653" s="22"/>
      <c r="R653" s="22"/>
      <c r="S653" s="22"/>
      <c r="T653" s="22"/>
      <c r="U653" s="22"/>
      <c r="V653" s="22"/>
      <c r="W653" s="22"/>
      <c r="X653" s="22"/>
    </row>
    <row r="654" spans="17:24" x14ac:dyDescent="0.25">
      <c r="Q654" s="22"/>
      <c r="R654" s="22"/>
      <c r="S654" s="22"/>
      <c r="T654" s="22"/>
      <c r="U654" s="22"/>
      <c r="V654" s="22"/>
      <c r="W654" s="22"/>
      <c r="X654" s="22"/>
    </row>
    <row r="655" spans="17:24" x14ac:dyDescent="0.25">
      <c r="Q655" s="22"/>
      <c r="R655" s="22"/>
      <c r="S655" s="22"/>
      <c r="T655" s="22"/>
      <c r="U655" s="22"/>
      <c r="V655" s="22"/>
      <c r="W655" s="22"/>
      <c r="X655" s="22"/>
    </row>
    <row r="656" spans="17:24" x14ac:dyDescent="0.25">
      <c r="Q656" s="22"/>
      <c r="R656" s="22"/>
      <c r="S656" s="22"/>
      <c r="T656" s="22"/>
      <c r="U656" s="22"/>
      <c r="V656" s="22"/>
      <c r="W656" s="22"/>
      <c r="X656" s="22"/>
    </row>
    <row r="657" spans="17:24" x14ac:dyDescent="0.25">
      <c r="Q657" s="22"/>
      <c r="R657" s="22"/>
      <c r="S657" s="22"/>
      <c r="T657" s="22"/>
      <c r="U657" s="22"/>
      <c r="V657" s="22"/>
      <c r="W657" s="22"/>
      <c r="X657" s="22"/>
    </row>
    <row r="658" spans="17:24" x14ac:dyDescent="0.25">
      <c r="Q658" s="22"/>
      <c r="R658" s="22"/>
      <c r="S658" s="22"/>
      <c r="T658" s="22"/>
      <c r="U658" s="22"/>
      <c r="V658" s="22"/>
      <c r="W658" s="22"/>
      <c r="X658" s="22"/>
    </row>
    <row r="659" spans="17:24" x14ac:dyDescent="0.25">
      <c r="Q659" s="22"/>
      <c r="R659" s="22"/>
      <c r="S659" s="22"/>
      <c r="T659" s="22"/>
      <c r="U659" s="22"/>
      <c r="V659" s="22"/>
      <c r="W659" s="22"/>
      <c r="X659" s="22"/>
    </row>
    <row r="660" spans="17:24" x14ac:dyDescent="0.25">
      <c r="Q660" s="22"/>
      <c r="R660" s="22"/>
      <c r="S660" s="22"/>
      <c r="T660" s="22"/>
      <c r="U660" s="22"/>
      <c r="V660" s="22"/>
      <c r="W660" s="22"/>
      <c r="X660" s="22"/>
    </row>
    <row r="661" spans="17:24" x14ac:dyDescent="0.25">
      <c r="Q661" s="22"/>
      <c r="R661" s="22"/>
      <c r="S661" s="22"/>
      <c r="T661" s="22"/>
      <c r="U661" s="22"/>
      <c r="V661" s="22"/>
      <c r="W661" s="22"/>
      <c r="X661" s="22"/>
    </row>
    <row r="662" spans="17:24" x14ac:dyDescent="0.25">
      <c r="Q662" s="22"/>
      <c r="R662" s="22"/>
      <c r="S662" s="22"/>
      <c r="T662" s="22"/>
      <c r="U662" s="22"/>
      <c r="V662" s="22"/>
      <c r="W662" s="22"/>
      <c r="X662" s="22"/>
    </row>
    <row r="663" spans="17:24" x14ac:dyDescent="0.25">
      <c r="Q663" s="22"/>
      <c r="R663" s="22"/>
      <c r="S663" s="22"/>
      <c r="T663" s="22"/>
      <c r="U663" s="22"/>
      <c r="V663" s="22"/>
      <c r="W663" s="22"/>
      <c r="X663" s="22"/>
    </row>
    <row r="664" spans="17:24" x14ac:dyDescent="0.25">
      <c r="Q664" s="22"/>
      <c r="R664" s="22"/>
      <c r="S664" s="22"/>
      <c r="T664" s="22"/>
      <c r="U664" s="22"/>
      <c r="V664" s="22"/>
      <c r="W664" s="22"/>
      <c r="X664" s="22"/>
    </row>
    <row r="665" spans="17:24" x14ac:dyDescent="0.25">
      <c r="Q665" s="22"/>
      <c r="R665" s="22"/>
      <c r="S665" s="22"/>
      <c r="T665" s="22"/>
      <c r="U665" s="22"/>
      <c r="V665" s="22"/>
      <c r="W665" s="22"/>
      <c r="X665" s="22"/>
    </row>
    <row r="666" spans="17:24" x14ac:dyDescent="0.25">
      <c r="Q666" s="22"/>
      <c r="R666" s="22"/>
      <c r="S666" s="22"/>
      <c r="T666" s="22"/>
      <c r="U666" s="22"/>
      <c r="V666" s="22"/>
      <c r="W666" s="22"/>
      <c r="X666" s="22"/>
    </row>
    <row r="667" spans="17:24" x14ac:dyDescent="0.25">
      <c r="Q667" s="22"/>
      <c r="R667" s="22"/>
      <c r="S667" s="22"/>
      <c r="T667" s="22"/>
      <c r="U667" s="22"/>
      <c r="V667" s="22"/>
      <c r="W667" s="22"/>
      <c r="X667" s="22"/>
    </row>
    <row r="668" spans="17:24" x14ac:dyDescent="0.25">
      <c r="Q668" s="22"/>
      <c r="R668" s="22"/>
      <c r="S668" s="22"/>
      <c r="T668" s="22"/>
      <c r="U668" s="22"/>
      <c r="V668" s="22"/>
      <c r="W668" s="22"/>
      <c r="X668" s="22"/>
    </row>
    <row r="669" spans="17:24" x14ac:dyDescent="0.25">
      <c r="Q669" s="22"/>
      <c r="R669" s="22"/>
      <c r="S669" s="22"/>
      <c r="T669" s="22"/>
      <c r="U669" s="22"/>
      <c r="V669" s="22"/>
      <c r="W669" s="22"/>
      <c r="X669" s="22"/>
    </row>
    <row r="670" spans="17:24" x14ac:dyDescent="0.25">
      <c r="Q670" s="22"/>
      <c r="R670" s="22"/>
      <c r="S670" s="22"/>
      <c r="T670" s="22"/>
      <c r="U670" s="22"/>
      <c r="V670" s="22"/>
      <c r="W670" s="22"/>
      <c r="X670" s="22"/>
    </row>
    <row r="671" spans="17:24" x14ac:dyDescent="0.25">
      <c r="Q671" s="22"/>
      <c r="R671" s="22"/>
      <c r="S671" s="22"/>
      <c r="T671" s="22"/>
      <c r="U671" s="22"/>
      <c r="V671" s="22"/>
      <c r="W671" s="22"/>
      <c r="X671" s="22"/>
    </row>
    <row r="672" spans="17:24" x14ac:dyDescent="0.25">
      <c r="Q672" s="22"/>
      <c r="R672" s="22"/>
      <c r="S672" s="22"/>
      <c r="T672" s="22"/>
      <c r="U672" s="22"/>
      <c r="V672" s="22"/>
      <c r="W672" s="22"/>
      <c r="X672" s="22"/>
    </row>
    <row r="673" spans="17:24" x14ac:dyDescent="0.25">
      <c r="Q673" s="22"/>
      <c r="R673" s="22"/>
      <c r="S673" s="22"/>
      <c r="T673" s="22"/>
      <c r="U673" s="22"/>
      <c r="V673" s="22"/>
      <c r="W673" s="22"/>
      <c r="X673" s="22"/>
    </row>
    <row r="674" spans="17:24" x14ac:dyDescent="0.25">
      <c r="Q674" s="22"/>
      <c r="R674" s="22"/>
      <c r="S674" s="22"/>
      <c r="T674" s="22"/>
      <c r="U674" s="22"/>
      <c r="V674" s="22"/>
      <c r="W674" s="22"/>
      <c r="X674" s="22"/>
    </row>
    <row r="675" spans="17:24" x14ac:dyDescent="0.25">
      <c r="Q675" s="22"/>
      <c r="R675" s="22"/>
      <c r="S675" s="22"/>
      <c r="T675" s="22"/>
      <c r="U675" s="22"/>
      <c r="V675" s="22"/>
      <c r="W675" s="22"/>
      <c r="X675" s="22"/>
    </row>
    <row r="676" spans="17:24" x14ac:dyDescent="0.25">
      <c r="Q676" s="22"/>
      <c r="R676" s="22"/>
      <c r="S676" s="22"/>
      <c r="T676" s="22"/>
      <c r="U676" s="22"/>
      <c r="V676" s="22"/>
      <c r="W676" s="22"/>
      <c r="X676" s="22"/>
    </row>
    <row r="677" spans="17:24" x14ac:dyDescent="0.25">
      <c r="Q677" s="22"/>
      <c r="R677" s="22"/>
      <c r="S677" s="22"/>
      <c r="T677" s="22"/>
      <c r="U677" s="22"/>
      <c r="V677" s="22"/>
      <c r="W677" s="22"/>
      <c r="X677" s="22"/>
    </row>
    <row r="678" spans="17:24" x14ac:dyDescent="0.25">
      <c r="Q678" s="22"/>
      <c r="R678" s="22"/>
      <c r="S678" s="22"/>
      <c r="T678" s="22"/>
      <c r="U678" s="22"/>
      <c r="V678" s="22"/>
      <c r="W678" s="22"/>
      <c r="X678" s="22"/>
    </row>
    <row r="679" spans="17:24" x14ac:dyDescent="0.25">
      <c r="Q679" s="22"/>
      <c r="R679" s="22"/>
      <c r="S679" s="22"/>
      <c r="T679" s="22"/>
      <c r="U679" s="22"/>
      <c r="V679" s="22"/>
      <c r="W679" s="22"/>
      <c r="X679" s="22"/>
    </row>
    <row r="680" spans="17:24" x14ac:dyDescent="0.25">
      <c r="Q680" s="22"/>
      <c r="R680" s="22"/>
      <c r="S680" s="22"/>
      <c r="T680" s="22"/>
      <c r="U680" s="22"/>
      <c r="V680" s="22"/>
      <c r="W680" s="22"/>
      <c r="X680" s="22"/>
    </row>
    <row r="681" spans="17:24" x14ac:dyDescent="0.25">
      <c r="Q681" s="22"/>
      <c r="R681" s="22"/>
      <c r="S681" s="22"/>
      <c r="T681" s="22"/>
      <c r="U681" s="22"/>
      <c r="V681" s="22"/>
      <c r="W681" s="22"/>
      <c r="X681" s="22"/>
    </row>
    <row r="682" spans="17:24" x14ac:dyDescent="0.25">
      <c r="Q682" s="22"/>
      <c r="R682" s="22"/>
      <c r="S682" s="22"/>
      <c r="T682" s="22"/>
      <c r="U682" s="22"/>
      <c r="V682" s="22"/>
      <c r="W682" s="22"/>
      <c r="X682" s="22"/>
    </row>
    <row r="683" spans="17:24" x14ac:dyDescent="0.25">
      <c r="Q683" s="22"/>
      <c r="R683" s="22"/>
      <c r="S683" s="22"/>
      <c r="T683" s="22"/>
      <c r="U683" s="22"/>
      <c r="V683" s="22"/>
      <c r="W683" s="22"/>
      <c r="X683" s="22"/>
    </row>
    <row r="684" spans="17:24" x14ac:dyDescent="0.25">
      <c r="Q684" s="22"/>
      <c r="R684" s="22"/>
      <c r="S684" s="22"/>
      <c r="T684" s="22"/>
      <c r="U684" s="22"/>
      <c r="V684" s="22"/>
      <c r="W684" s="22"/>
      <c r="X684" s="22"/>
    </row>
    <row r="685" spans="17:24" x14ac:dyDescent="0.25">
      <c r="Q685" s="22"/>
      <c r="R685" s="22"/>
      <c r="S685" s="22"/>
      <c r="T685" s="22"/>
      <c r="U685" s="22"/>
      <c r="V685" s="22"/>
      <c r="W685" s="22"/>
      <c r="X685" s="22"/>
    </row>
    <row r="686" spans="17:24" x14ac:dyDescent="0.25">
      <c r="Q686" s="22"/>
      <c r="R686" s="22"/>
      <c r="S686" s="22"/>
      <c r="T686" s="22"/>
      <c r="U686" s="22"/>
      <c r="V686" s="22"/>
      <c r="W686" s="22"/>
      <c r="X686" s="22"/>
    </row>
    <row r="687" spans="17:24" x14ac:dyDescent="0.25">
      <c r="Q687" s="22"/>
      <c r="R687" s="22"/>
      <c r="S687" s="22"/>
      <c r="T687" s="22"/>
      <c r="U687" s="22"/>
      <c r="V687" s="22"/>
      <c r="W687" s="22"/>
      <c r="X687" s="22"/>
    </row>
    <row r="688" spans="17:24" x14ac:dyDescent="0.25">
      <c r="Q688" s="22"/>
      <c r="R688" s="22"/>
      <c r="S688" s="22"/>
      <c r="T688" s="22"/>
      <c r="U688" s="22"/>
      <c r="V688" s="22"/>
      <c r="W688" s="22"/>
      <c r="X688" s="22"/>
    </row>
    <row r="689" spans="17:24" x14ac:dyDescent="0.25">
      <c r="Q689" s="22"/>
      <c r="R689" s="22"/>
      <c r="S689" s="22"/>
      <c r="T689" s="22"/>
      <c r="U689" s="22"/>
      <c r="V689" s="22"/>
      <c r="W689" s="22"/>
      <c r="X689" s="22"/>
    </row>
    <row r="690" spans="17:24" x14ac:dyDescent="0.25">
      <c r="Q690" s="22"/>
      <c r="R690" s="22"/>
      <c r="S690" s="22"/>
      <c r="T690" s="22"/>
      <c r="U690" s="22"/>
      <c r="V690" s="22"/>
      <c r="W690" s="22"/>
      <c r="X690" s="22"/>
    </row>
    <row r="691" spans="17:24" x14ac:dyDescent="0.25">
      <c r="Q691" s="22"/>
      <c r="R691" s="22"/>
      <c r="S691" s="22"/>
      <c r="T691" s="22"/>
      <c r="U691" s="22"/>
      <c r="V691" s="22"/>
      <c r="W691" s="22"/>
      <c r="X691" s="22"/>
    </row>
    <row r="692" spans="17:24" x14ac:dyDescent="0.25">
      <c r="Q692" s="22"/>
      <c r="R692" s="22"/>
      <c r="S692" s="22"/>
      <c r="T692" s="22"/>
      <c r="U692" s="22"/>
      <c r="V692" s="22"/>
      <c r="W692" s="22"/>
      <c r="X692" s="22"/>
    </row>
    <row r="693" spans="17:24" x14ac:dyDescent="0.25">
      <c r="Q693" s="22"/>
      <c r="R693" s="22"/>
      <c r="S693" s="22"/>
      <c r="T693" s="22"/>
      <c r="U693" s="22"/>
      <c r="V693" s="22"/>
      <c r="W693" s="22"/>
      <c r="X693" s="22"/>
    </row>
    <row r="694" spans="17:24" x14ac:dyDescent="0.25">
      <c r="Q694" s="22"/>
      <c r="R694" s="22"/>
      <c r="S694" s="22"/>
      <c r="T694" s="22"/>
      <c r="U694" s="22"/>
      <c r="V694" s="22"/>
      <c r="W694" s="22"/>
      <c r="X694" s="22"/>
    </row>
    <row r="695" spans="17:24" x14ac:dyDescent="0.25">
      <c r="Q695" s="22"/>
      <c r="R695" s="22"/>
      <c r="S695" s="22"/>
      <c r="T695" s="22"/>
      <c r="U695" s="22"/>
      <c r="V695" s="22"/>
      <c r="W695" s="22"/>
      <c r="X695" s="22"/>
    </row>
    <row r="696" spans="17:24" x14ac:dyDescent="0.25">
      <c r="Q696" s="22"/>
      <c r="R696" s="22"/>
      <c r="S696" s="22"/>
      <c r="T696" s="22"/>
      <c r="U696" s="22"/>
      <c r="V696" s="22"/>
      <c r="W696" s="22"/>
      <c r="X696" s="22"/>
    </row>
    <row r="697" spans="17:24" x14ac:dyDescent="0.25">
      <c r="Q697" s="22"/>
      <c r="R697" s="22"/>
      <c r="S697" s="22"/>
      <c r="T697" s="22"/>
      <c r="U697" s="22"/>
      <c r="V697" s="22"/>
      <c r="W697" s="22"/>
      <c r="X697" s="22"/>
    </row>
    <row r="698" spans="17:24" x14ac:dyDescent="0.25">
      <c r="Q698" s="22"/>
      <c r="R698" s="22"/>
      <c r="S698" s="22"/>
      <c r="T698" s="22"/>
      <c r="U698" s="22"/>
      <c r="V698" s="22"/>
      <c r="W698" s="22"/>
      <c r="X698" s="22"/>
    </row>
    <row r="699" spans="17:24" x14ac:dyDescent="0.25">
      <c r="Q699" s="22"/>
      <c r="R699" s="22"/>
      <c r="S699" s="22"/>
      <c r="T699" s="22"/>
      <c r="U699" s="22"/>
      <c r="V699" s="22"/>
      <c r="W699" s="22"/>
      <c r="X699" s="22"/>
    </row>
    <row r="700" spans="17:24" x14ac:dyDescent="0.25">
      <c r="Q700" s="22"/>
      <c r="R700" s="22"/>
      <c r="S700" s="22"/>
      <c r="T700" s="22"/>
      <c r="U700" s="22"/>
      <c r="V700" s="22"/>
      <c r="W700" s="22"/>
      <c r="X700" s="22"/>
    </row>
    <row r="701" spans="17:24" x14ac:dyDescent="0.25">
      <c r="Q701" s="22"/>
      <c r="R701" s="22"/>
      <c r="S701" s="22"/>
      <c r="T701" s="22"/>
      <c r="U701" s="22"/>
      <c r="V701" s="22"/>
      <c r="W701" s="22"/>
      <c r="X701" s="22"/>
    </row>
    <row r="702" spans="17:24" x14ac:dyDescent="0.25">
      <c r="Q702" s="22"/>
      <c r="R702" s="22"/>
      <c r="S702" s="22"/>
      <c r="T702" s="22"/>
      <c r="U702" s="22"/>
      <c r="V702" s="22"/>
      <c r="W702" s="22"/>
      <c r="X702" s="22"/>
    </row>
    <row r="703" spans="17:24" x14ac:dyDescent="0.25">
      <c r="Q703" s="22"/>
      <c r="R703" s="22"/>
      <c r="S703" s="22"/>
      <c r="T703" s="22"/>
      <c r="U703" s="22"/>
      <c r="V703" s="22"/>
      <c r="W703" s="22"/>
      <c r="X703" s="22"/>
    </row>
    <row r="704" spans="17:24" x14ac:dyDescent="0.25">
      <c r="Q704" s="22"/>
      <c r="R704" s="22"/>
      <c r="S704" s="22"/>
      <c r="T704" s="22"/>
      <c r="U704" s="22"/>
      <c r="V704" s="22"/>
      <c r="W704" s="22"/>
      <c r="X704" s="22"/>
    </row>
    <row r="705" spans="17:24" x14ac:dyDescent="0.25">
      <c r="Q705" s="22"/>
      <c r="R705" s="22"/>
      <c r="S705" s="22"/>
      <c r="T705" s="22"/>
      <c r="U705" s="22"/>
      <c r="V705" s="22"/>
      <c r="W705" s="22"/>
      <c r="X705" s="22"/>
    </row>
    <row r="706" spans="17:24" x14ac:dyDescent="0.25">
      <c r="Q706" s="22"/>
      <c r="R706" s="22"/>
      <c r="S706" s="22"/>
      <c r="T706" s="22"/>
      <c r="U706" s="22"/>
      <c r="V706" s="22"/>
      <c r="W706" s="22"/>
      <c r="X706" s="22"/>
    </row>
    <row r="707" spans="17:24" x14ac:dyDescent="0.25">
      <c r="Q707" s="22"/>
      <c r="R707" s="22"/>
      <c r="S707" s="22"/>
      <c r="T707" s="22"/>
      <c r="U707" s="22"/>
      <c r="V707" s="22"/>
      <c r="W707" s="22"/>
      <c r="X707" s="22"/>
    </row>
    <row r="708" spans="17:24" x14ac:dyDescent="0.25">
      <c r="Q708" s="22"/>
      <c r="R708" s="22"/>
      <c r="S708" s="22"/>
      <c r="T708" s="22"/>
      <c r="U708" s="22"/>
      <c r="V708" s="22"/>
      <c r="W708" s="22"/>
      <c r="X708" s="22"/>
    </row>
    <row r="709" spans="17:24" x14ac:dyDescent="0.25">
      <c r="Q709" s="22"/>
      <c r="R709" s="22"/>
      <c r="S709" s="22"/>
      <c r="T709" s="22"/>
      <c r="U709" s="22"/>
      <c r="V709" s="22"/>
      <c r="W709" s="22"/>
      <c r="X709" s="22"/>
    </row>
    <row r="710" spans="17:24" x14ac:dyDescent="0.25">
      <c r="Q710" s="22"/>
      <c r="R710" s="22"/>
      <c r="S710" s="22"/>
      <c r="T710" s="22"/>
      <c r="U710" s="22"/>
      <c r="V710" s="22"/>
      <c r="W710" s="22"/>
      <c r="X710" s="22"/>
    </row>
    <row r="711" spans="17:24" x14ac:dyDescent="0.25">
      <c r="Q711" s="22"/>
      <c r="R711" s="22"/>
      <c r="S711" s="22"/>
      <c r="T711" s="22"/>
      <c r="U711" s="22"/>
      <c r="V711" s="22"/>
      <c r="W711" s="22"/>
      <c r="X711" s="22"/>
    </row>
    <row r="712" spans="17:24" x14ac:dyDescent="0.25">
      <c r="Q712" s="22"/>
      <c r="R712" s="22"/>
      <c r="S712" s="22"/>
      <c r="T712" s="22"/>
      <c r="U712" s="22"/>
      <c r="V712" s="22"/>
      <c r="W712" s="22"/>
      <c r="X712" s="22"/>
    </row>
    <row r="713" spans="17:24" x14ac:dyDescent="0.25">
      <c r="Q713" s="22"/>
      <c r="R713" s="22"/>
      <c r="S713" s="22"/>
      <c r="T713" s="22"/>
      <c r="U713" s="22"/>
      <c r="V713" s="22"/>
      <c r="W713" s="22"/>
      <c r="X713" s="22"/>
    </row>
    <row r="714" spans="17:24" x14ac:dyDescent="0.25">
      <c r="Q714" s="22"/>
      <c r="R714" s="22"/>
      <c r="S714" s="22"/>
      <c r="T714" s="22"/>
      <c r="U714" s="22"/>
      <c r="V714" s="22"/>
      <c r="W714" s="22"/>
      <c r="X714" s="22"/>
    </row>
    <row r="715" spans="17:24" x14ac:dyDescent="0.25">
      <c r="Q715" s="22"/>
      <c r="R715" s="22"/>
      <c r="S715" s="22"/>
      <c r="T715" s="22"/>
      <c r="U715" s="22"/>
      <c r="V715" s="22"/>
      <c r="W715" s="22"/>
      <c r="X715" s="22"/>
    </row>
    <row r="716" spans="17:24" x14ac:dyDescent="0.25">
      <c r="Q716" s="22"/>
      <c r="R716" s="22"/>
      <c r="S716" s="22"/>
      <c r="T716" s="22"/>
      <c r="U716" s="22"/>
      <c r="V716" s="22"/>
      <c r="W716" s="22"/>
      <c r="X716" s="22"/>
    </row>
    <row r="717" spans="17:24" x14ac:dyDescent="0.25">
      <c r="Q717" s="22"/>
      <c r="R717" s="22"/>
      <c r="S717" s="22"/>
      <c r="T717" s="22"/>
      <c r="U717" s="22"/>
      <c r="V717" s="22"/>
      <c r="W717" s="22"/>
      <c r="X717" s="22"/>
    </row>
    <row r="718" spans="17:24" x14ac:dyDescent="0.25">
      <c r="Q718" s="22"/>
      <c r="R718" s="22"/>
      <c r="S718" s="22"/>
      <c r="T718" s="22"/>
      <c r="U718" s="22"/>
      <c r="V718" s="22"/>
      <c r="W718" s="22"/>
      <c r="X718" s="22"/>
    </row>
    <row r="719" spans="17:24" x14ac:dyDescent="0.25">
      <c r="Q719" s="22"/>
      <c r="R719" s="22"/>
      <c r="S719" s="22"/>
      <c r="T719" s="22"/>
      <c r="U719" s="22"/>
      <c r="V719" s="22"/>
      <c r="W719" s="22"/>
      <c r="X719" s="22"/>
    </row>
    <row r="720" spans="17:24" x14ac:dyDescent="0.25">
      <c r="Q720" s="22"/>
      <c r="R720" s="22"/>
      <c r="S720" s="22"/>
      <c r="T720" s="22"/>
      <c r="U720" s="22"/>
      <c r="V720" s="22"/>
      <c r="W720" s="22"/>
      <c r="X720" s="22"/>
    </row>
    <row r="721" spans="17:24" x14ac:dyDescent="0.25">
      <c r="Q721" s="22"/>
      <c r="R721" s="22"/>
      <c r="S721" s="22"/>
      <c r="T721" s="22"/>
      <c r="U721" s="22"/>
      <c r="V721" s="22"/>
      <c r="W721" s="22"/>
      <c r="X721" s="22"/>
    </row>
    <row r="722" spans="17:24" x14ac:dyDescent="0.25">
      <c r="Q722" s="22"/>
      <c r="R722" s="22"/>
      <c r="S722" s="22"/>
      <c r="T722" s="22"/>
      <c r="U722" s="22"/>
      <c r="V722" s="22"/>
      <c r="W722" s="22"/>
      <c r="X722" s="22"/>
    </row>
    <row r="723" spans="17:24" x14ac:dyDescent="0.25">
      <c r="Q723" s="22"/>
      <c r="R723" s="22"/>
      <c r="S723" s="22"/>
      <c r="T723" s="22"/>
      <c r="U723" s="22"/>
      <c r="V723" s="22"/>
      <c r="W723" s="22"/>
      <c r="X723" s="22"/>
    </row>
    <row r="724" spans="17:24" x14ac:dyDescent="0.25">
      <c r="Q724" s="22"/>
      <c r="R724" s="22"/>
      <c r="S724" s="22"/>
      <c r="T724" s="22"/>
      <c r="U724" s="22"/>
      <c r="V724" s="22"/>
      <c r="W724" s="22"/>
      <c r="X724" s="22"/>
    </row>
    <row r="725" spans="17:24" x14ac:dyDescent="0.25">
      <c r="Q725" s="22"/>
      <c r="R725" s="22"/>
      <c r="S725" s="22"/>
      <c r="T725" s="22"/>
      <c r="U725" s="22"/>
      <c r="V725" s="22"/>
      <c r="W725" s="22"/>
      <c r="X725" s="22"/>
    </row>
    <row r="726" spans="17:24" x14ac:dyDescent="0.25">
      <c r="Q726" s="22"/>
      <c r="R726" s="22"/>
      <c r="S726" s="22"/>
      <c r="T726" s="22"/>
      <c r="U726" s="22"/>
      <c r="V726" s="22"/>
      <c r="W726" s="22"/>
      <c r="X726" s="22"/>
    </row>
    <row r="727" spans="17:24" x14ac:dyDescent="0.25">
      <c r="Q727" s="22"/>
      <c r="R727" s="22"/>
      <c r="S727" s="22"/>
      <c r="T727" s="22"/>
      <c r="U727" s="22"/>
      <c r="V727" s="22"/>
      <c r="W727" s="22"/>
      <c r="X727" s="22"/>
    </row>
    <row r="728" spans="17:24" x14ac:dyDescent="0.25">
      <c r="Q728" s="22"/>
      <c r="R728" s="22"/>
      <c r="S728" s="22"/>
      <c r="T728" s="22"/>
      <c r="U728" s="22"/>
      <c r="V728" s="22"/>
      <c r="W728" s="22"/>
      <c r="X728" s="22"/>
    </row>
    <row r="729" spans="17:24" x14ac:dyDescent="0.25">
      <c r="Q729" s="22"/>
      <c r="R729" s="22"/>
      <c r="S729" s="22"/>
      <c r="T729" s="22"/>
      <c r="U729" s="22"/>
      <c r="V729" s="22"/>
      <c r="W729" s="22"/>
      <c r="X729" s="22"/>
    </row>
    <row r="730" spans="17:24" x14ac:dyDescent="0.25">
      <c r="Q730" s="22"/>
      <c r="R730" s="22"/>
      <c r="S730" s="22"/>
      <c r="T730" s="22"/>
      <c r="U730" s="22"/>
      <c r="V730" s="22"/>
      <c r="W730" s="22"/>
      <c r="X730" s="22"/>
    </row>
    <row r="731" spans="17:24" x14ac:dyDescent="0.25">
      <c r="Q731" s="22"/>
      <c r="R731" s="22"/>
      <c r="S731" s="22"/>
      <c r="T731" s="22"/>
      <c r="U731" s="22"/>
      <c r="V731" s="22"/>
      <c r="W731" s="22"/>
      <c r="X731" s="22"/>
    </row>
    <row r="732" spans="17:24" x14ac:dyDescent="0.25">
      <c r="Q732" s="22"/>
      <c r="R732" s="22"/>
      <c r="S732" s="22"/>
      <c r="T732" s="22"/>
      <c r="U732" s="22"/>
      <c r="V732" s="22"/>
      <c r="W732" s="22"/>
      <c r="X732" s="22"/>
    </row>
    <row r="733" spans="17:24" x14ac:dyDescent="0.25">
      <c r="Q733" s="22"/>
      <c r="R733" s="22"/>
      <c r="S733" s="22"/>
      <c r="T733" s="22"/>
      <c r="U733" s="22"/>
      <c r="V733" s="22"/>
      <c r="W733" s="22"/>
      <c r="X733" s="22"/>
    </row>
    <row r="734" spans="17:24" x14ac:dyDescent="0.25">
      <c r="Q734" s="22"/>
      <c r="R734" s="22"/>
      <c r="S734" s="22"/>
      <c r="T734" s="22"/>
      <c r="U734" s="22"/>
      <c r="V734" s="22"/>
      <c r="W734" s="22"/>
      <c r="X734" s="22"/>
    </row>
    <row r="735" spans="17:24" x14ac:dyDescent="0.25">
      <c r="Q735" s="22"/>
      <c r="R735" s="22"/>
      <c r="S735" s="22"/>
      <c r="T735" s="22"/>
      <c r="U735" s="22"/>
      <c r="V735" s="22"/>
      <c r="W735" s="22"/>
      <c r="X735" s="22"/>
    </row>
    <row r="736" spans="17:24" x14ac:dyDescent="0.25">
      <c r="Q736" s="22"/>
      <c r="R736" s="22"/>
      <c r="S736" s="22"/>
      <c r="T736" s="22"/>
      <c r="U736" s="22"/>
      <c r="V736" s="22"/>
      <c r="W736" s="22"/>
      <c r="X736" s="22"/>
    </row>
    <row r="737" spans="17:24" x14ac:dyDescent="0.25">
      <c r="Q737" s="22"/>
      <c r="R737" s="22"/>
      <c r="S737" s="22"/>
      <c r="T737" s="22"/>
      <c r="U737" s="22"/>
      <c r="V737" s="22"/>
      <c r="W737" s="22"/>
      <c r="X737" s="22"/>
    </row>
    <row r="738" spans="17:24" x14ac:dyDescent="0.25">
      <c r="Q738" s="22"/>
      <c r="R738" s="22"/>
      <c r="S738" s="22"/>
      <c r="T738" s="22"/>
      <c r="U738" s="22"/>
      <c r="V738" s="22"/>
      <c r="W738" s="22"/>
      <c r="X738" s="22"/>
    </row>
    <row r="739" spans="17:24" x14ac:dyDescent="0.25">
      <c r="Q739" s="22"/>
      <c r="R739" s="22"/>
      <c r="S739" s="22"/>
      <c r="T739" s="22"/>
      <c r="U739" s="22"/>
      <c r="V739" s="22"/>
      <c r="W739" s="22"/>
      <c r="X739" s="22"/>
    </row>
    <row r="740" spans="17:24" x14ac:dyDescent="0.25">
      <c r="Q740" s="22"/>
      <c r="R740" s="22"/>
      <c r="S740" s="22"/>
      <c r="T740" s="22"/>
      <c r="U740" s="22"/>
      <c r="V740" s="22"/>
      <c r="W740" s="22"/>
      <c r="X740" s="22"/>
    </row>
    <row r="741" spans="17:24" x14ac:dyDescent="0.25">
      <c r="Q741" s="22"/>
      <c r="R741" s="22"/>
      <c r="S741" s="22"/>
      <c r="T741" s="22"/>
      <c r="U741" s="22"/>
      <c r="V741" s="22"/>
      <c r="W741" s="22"/>
      <c r="X741" s="22"/>
    </row>
    <row r="742" spans="17:24" x14ac:dyDescent="0.25">
      <c r="Q742" s="22"/>
      <c r="R742" s="22"/>
      <c r="S742" s="22"/>
      <c r="T742" s="22"/>
      <c r="U742" s="22"/>
      <c r="V742" s="22"/>
      <c r="W742" s="22"/>
      <c r="X742" s="22"/>
    </row>
    <row r="743" spans="17:24" x14ac:dyDescent="0.25">
      <c r="Q743" s="22"/>
      <c r="R743" s="22"/>
      <c r="S743" s="22"/>
      <c r="T743" s="22"/>
      <c r="U743" s="22"/>
      <c r="V743" s="22"/>
      <c r="W743" s="22"/>
      <c r="X743" s="22"/>
    </row>
    <row r="744" spans="17:24" x14ac:dyDescent="0.25">
      <c r="Q744" s="22"/>
      <c r="R744" s="22"/>
      <c r="S744" s="22"/>
      <c r="T744" s="22"/>
      <c r="U744" s="22"/>
      <c r="V744" s="22"/>
      <c r="W744" s="22"/>
      <c r="X744" s="22"/>
    </row>
    <row r="745" spans="17:24" x14ac:dyDescent="0.25">
      <c r="Q745" s="22"/>
      <c r="R745" s="22"/>
      <c r="S745" s="22"/>
      <c r="T745" s="22"/>
      <c r="U745" s="22"/>
      <c r="V745" s="22"/>
      <c r="W745" s="22"/>
      <c r="X745" s="22"/>
    </row>
    <row r="746" spans="17:24" x14ac:dyDescent="0.25">
      <c r="Q746" s="22"/>
      <c r="R746" s="22"/>
      <c r="S746" s="22"/>
      <c r="T746" s="22"/>
      <c r="U746" s="22"/>
      <c r="V746" s="22"/>
      <c r="W746" s="22"/>
      <c r="X746" s="22"/>
    </row>
    <row r="747" spans="17:24" x14ac:dyDescent="0.25">
      <c r="Q747" s="22"/>
      <c r="R747" s="22"/>
      <c r="S747" s="22"/>
      <c r="T747" s="22"/>
      <c r="U747" s="22"/>
      <c r="V747" s="22"/>
      <c r="W747" s="22"/>
      <c r="X747" s="22"/>
    </row>
    <row r="748" spans="17:24" x14ac:dyDescent="0.25">
      <c r="Q748" s="22"/>
      <c r="R748" s="22"/>
      <c r="S748" s="22"/>
      <c r="T748" s="22"/>
      <c r="U748" s="22"/>
      <c r="V748" s="22"/>
      <c r="W748" s="22"/>
      <c r="X748" s="22"/>
    </row>
    <row r="749" spans="17:24" x14ac:dyDescent="0.25">
      <c r="Q749" s="22"/>
      <c r="R749" s="22"/>
      <c r="S749" s="22"/>
      <c r="T749" s="22"/>
      <c r="U749" s="22"/>
      <c r="V749" s="22"/>
      <c r="W749" s="22"/>
      <c r="X749" s="22"/>
    </row>
    <row r="750" spans="17:24" x14ac:dyDescent="0.25">
      <c r="Q750" s="22"/>
      <c r="R750" s="22"/>
      <c r="S750" s="22"/>
      <c r="T750" s="22"/>
      <c r="U750" s="22"/>
      <c r="V750" s="22"/>
      <c r="W750" s="22"/>
      <c r="X750" s="22"/>
    </row>
    <row r="751" spans="17:24" x14ac:dyDescent="0.25">
      <c r="Q751" s="22"/>
      <c r="R751" s="22"/>
      <c r="S751" s="22"/>
      <c r="T751" s="22"/>
      <c r="U751" s="22"/>
      <c r="V751" s="22"/>
      <c r="W751" s="22"/>
      <c r="X751" s="22"/>
    </row>
    <row r="752" spans="17:24" x14ac:dyDescent="0.25">
      <c r="Q752" s="22"/>
      <c r="R752" s="22"/>
      <c r="S752" s="22"/>
      <c r="T752" s="22"/>
      <c r="U752" s="22"/>
      <c r="V752" s="22"/>
      <c r="W752" s="22"/>
      <c r="X752" s="22"/>
    </row>
    <row r="753" spans="17:24" x14ac:dyDescent="0.25">
      <c r="Q753" s="22"/>
      <c r="R753" s="22"/>
      <c r="S753" s="22"/>
      <c r="T753" s="22"/>
      <c r="U753" s="22"/>
      <c r="V753" s="22"/>
      <c r="W753" s="22"/>
      <c r="X753" s="22"/>
    </row>
    <row r="754" spans="17:24" x14ac:dyDescent="0.25">
      <c r="Q754" s="22"/>
      <c r="R754" s="22"/>
      <c r="S754" s="22"/>
      <c r="T754" s="22"/>
      <c r="U754" s="22"/>
      <c r="V754" s="22"/>
      <c r="W754" s="22"/>
      <c r="X754" s="22"/>
    </row>
    <row r="755" spans="17:24" x14ac:dyDescent="0.25">
      <c r="Q755" s="22"/>
      <c r="R755" s="22"/>
      <c r="S755" s="22"/>
      <c r="T755" s="22"/>
      <c r="U755" s="22"/>
      <c r="V755" s="22"/>
      <c r="W755" s="22"/>
      <c r="X755" s="22"/>
    </row>
    <row r="756" spans="17:24" x14ac:dyDescent="0.25">
      <c r="Q756" s="22"/>
      <c r="R756" s="22"/>
      <c r="S756" s="22"/>
      <c r="T756" s="22"/>
      <c r="U756" s="22"/>
      <c r="V756" s="22"/>
      <c r="W756" s="22"/>
      <c r="X756" s="22"/>
    </row>
    <row r="757" spans="17:24" x14ac:dyDescent="0.25">
      <c r="Q757" s="22"/>
      <c r="R757" s="22"/>
      <c r="S757" s="22"/>
      <c r="T757" s="22"/>
      <c r="U757" s="22"/>
      <c r="V757" s="22"/>
      <c r="W757" s="22"/>
      <c r="X757" s="22"/>
    </row>
    <row r="758" spans="17:24" x14ac:dyDescent="0.25">
      <c r="Q758" s="22"/>
      <c r="R758" s="22"/>
      <c r="S758" s="22"/>
      <c r="T758" s="22"/>
      <c r="U758" s="22"/>
      <c r="V758" s="22"/>
      <c r="W758" s="22"/>
      <c r="X758" s="22"/>
    </row>
    <row r="759" spans="17:24" x14ac:dyDescent="0.25">
      <c r="Q759" s="22"/>
      <c r="R759" s="22"/>
      <c r="S759" s="22"/>
      <c r="T759" s="22"/>
      <c r="U759" s="22"/>
      <c r="V759" s="22"/>
      <c r="W759" s="22"/>
      <c r="X759" s="22"/>
    </row>
    <row r="760" spans="17:24" x14ac:dyDescent="0.25">
      <c r="Q760" s="22"/>
      <c r="R760" s="22"/>
      <c r="S760" s="22"/>
      <c r="T760" s="22"/>
      <c r="U760" s="22"/>
      <c r="V760" s="22"/>
      <c r="W760" s="22"/>
      <c r="X760" s="22"/>
    </row>
    <row r="761" spans="17:24" x14ac:dyDescent="0.25">
      <c r="Q761" s="22"/>
      <c r="R761" s="22"/>
      <c r="S761" s="22"/>
      <c r="T761" s="22"/>
      <c r="U761" s="22"/>
      <c r="V761" s="22"/>
      <c r="W761" s="22"/>
      <c r="X761" s="22"/>
    </row>
    <row r="762" spans="17:24" x14ac:dyDescent="0.25">
      <c r="Q762" s="22"/>
      <c r="R762" s="22"/>
      <c r="S762" s="22"/>
      <c r="T762" s="22"/>
      <c r="U762" s="22"/>
      <c r="V762" s="22"/>
      <c r="W762" s="22"/>
      <c r="X762" s="22"/>
    </row>
    <row r="763" spans="17:24" x14ac:dyDescent="0.25">
      <c r="Q763" s="22"/>
      <c r="R763" s="22"/>
      <c r="S763" s="22"/>
      <c r="T763" s="22"/>
      <c r="U763" s="22"/>
      <c r="V763" s="22"/>
      <c r="W763" s="22"/>
      <c r="X763" s="22"/>
    </row>
    <row r="764" spans="17:24" x14ac:dyDescent="0.25">
      <c r="Q764" s="22"/>
      <c r="R764" s="22"/>
      <c r="S764" s="22"/>
      <c r="T764" s="22"/>
      <c r="U764" s="22"/>
      <c r="V764" s="22"/>
      <c r="W764" s="22"/>
      <c r="X764" s="22"/>
    </row>
    <row r="765" spans="17:24" x14ac:dyDescent="0.25">
      <c r="Q765" s="22"/>
      <c r="R765" s="22"/>
      <c r="S765" s="22"/>
      <c r="T765" s="22"/>
      <c r="U765" s="22"/>
      <c r="V765" s="22"/>
      <c r="W765" s="22"/>
      <c r="X765" s="22"/>
    </row>
    <row r="766" spans="17:24" x14ac:dyDescent="0.25">
      <c r="Q766" s="22"/>
      <c r="R766" s="22"/>
      <c r="S766" s="22"/>
      <c r="T766" s="22"/>
      <c r="U766" s="22"/>
      <c r="V766" s="22"/>
      <c r="W766" s="22"/>
      <c r="X766" s="22"/>
    </row>
    <row r="767" spans="17:24" x14ac:dyDescent="0.25">
      <c r="Q767" s="22"/>
      <c r="R767" s="22"/>
      <c r="S767" s="22"/>
      <c r="T767" s="22"/>
      <c r="U767" s="22"/>
      <c r="V767" s="22"/>
      <c r="W767" s="22"/>
      <c r="X767" s="22"/>
    </row>
    <row r="768" spans="17:24" x14ac:dyDescent="0.25">
      <c r="Q768" s="22"/>
      <c r="R768" s="22"/>
      <c r="S768" s="22"/>
      <c r="T768" s="22"/>
      <c r="U768" s="22"/>
      <c r="V768" s="22"/>
      <c r="W768" s="22"/>
      <c r="X768" s="22"/>
    </row>
    <row r="769" spans="17:24" x14ac:dyDescent="0.25">
      <c r="Q769" s="22"/>
      <c r="R769" s="22"/>
      <c r="S769" s="22"/>
      <c r="T769" s="22"/>
      <c r="U769" s="22"/>
      <c r="V769" s="22"/>
      <c r="W769" s="22"/>
      <c r="X769" s="22"/>
    </row>
    <row r="770" spans="17:24" x14ac:dyDescent="0.25">
      <c r="Q770" s="22"/>
      <c r="R770" s="22"/>
      <c r="S770" s="22"/>
      <c r="T770" s="22"/>
      <c r="U770" s="22"/>
      <c r="V770" s="22"/>
      <c r="W770" s="22"/>
      <c r="X770" s="22"/>
    </row>
    <row r="771" spans="17:24" x14ac:dyDescent="0.25">
      <c r="Q771" s="22"/>
      <c r="R771" s="22"/>
      <c r="S771" s="22"/>
      <c r="T771" s="22"/>
      <c r="U771" s="22"/>
      <c r="V771" s="22"/>
      <c r="W771" s="22"/>
      <c r="X771" s="22"/>
    </row>
    <row r="772" spans="17:24" x14ac:dyDescent="0.25">
      <c r="Q772" s="22"/>
      <c r="R772" s="22"/>
      <c r="S772" s="22"/>
      <c r="T772" s="22"/>
      <c r="U772" s="22"/>
      <c r="V772" s="22"/>
      <c r="W772" s="22"/>
      <c r="X772" s="22"/>
    </row>
    <row r="773" spans="17:24" x14ac:dyDescent="0.25">
      <c r="Q773" s="22"/>
      <c r="R773" s="22"/>
      <c r="S773" s="22"/>
      <c r="T773" s="22"/>
      <c r="U773" s="22"/>
      <c r="V773" s="22"/>
      <c r="W773" s="22"/>
      <c r="X773" s="22"/>
    </row>
    <row r="774" spans="17:24" x14ac:dyDescent="0.25">
      <c r="Q774" s="22"/>
      <c r="R774" s="22"/>
      <c r="S774" s="22"/>
      <c r="T774" s="22"/>
      <c r="U774" s="22"/>
      <c r="V774" s="22"/>
      <c r="W774" s="22"/>
      <c r="X774" s="22"/>
    </row>
    <row r="775" spans="17:24" x14ac:dyDescent="0.25">
      <c r="Q775" s="22"/>
      <c r="R775" s="22"/>
      <c r="S775" s="22"/>
      <c r="T775" s="22"/>
      <c r="U775" s="22"/>
      <c r="V775" s="22"/>
      <c r="W775" s="22"/>
      <c r="X775" s="22"/>
    </row>
    <row r="776" spans="17:24" x14ac:dyDescent="0.25">
      <c r="Q776" s="22"/>
      <c r="R776" s="22"/>
      <c r="S776" s="22"/>
      <c r="T776" s="22"/>
      <c r="U776" s="22"/>
      <c r="V776" s="22"/>
      <c r="W776" s="22"/>
      <c r="X776" s="22"/>
    </row>
    <row r="777" spans="17:24" x14ac:dyDescent="0.25">
      <c r="Q777" s="22"/>
      <c r="R777" s="22"/>
      <c r="S777" s="22"/>
      <c r="T777" s="22"/>
      <c r="U777" s="22"/>
      <c r="V777" s="22"/>
      <c r="W777" s="22"/>
      <c r="X777" s="22"/>
    </row>
    <row r="778" spans="17:24" x14ac:dyDescent="0.25">
      <c r="Q778" s="22"/>
      <c r="R778" s="22"/>
      <c r="S778" s="22"/>
      <c r="T778" s="22"/>
      <c r="U778" s="22"/>
      <c r="V778" s="22"/>
      <c r="W778" s="22"/>
      <c r="X778" s="22"/>
    </row>
    <row r="779" spans="17:24" x14ac:dyDescent="0.25">
      <c r="Q779" s="22"/>
      <c r="R779" s="22"/>
      <c r="S779" s="22"/>
      <c r="T779" s="22"/>
      <c r="U779" s="22"/>
      <c r="V779" s="22"/>
      <c r="W779" s="22"/>
      <c r="X779" s="22"/>
    </row>
    <row r="780" spans="17:24" x14ac:dyDescent="0.25">
      <c r="Q780" s="22"/>
      <c r="R780" s="22"/>
      <c r="S780" s="22"/>
      <c r="T780" s="22"/>
      <c r="U780" s="22"/>
      <c r="V780" s="22"/>
      <c r="W780" s="22"/>
      <c r="X780" s="22"/>
    </row>
    <row r="781" spans="17:24" x14ac:dyDescent="0.25">
      <c r="Q781" s="22"/>
      <c r="R781" s="22"/>
      <c r="S781" s="22"/>
      <c r="T781" s="22"/>
      <c r="U781" s="22"/>
      <c r="V781" s="22"/>
      <c r="W781" s="22"/>
      <c r="X781" s="22"/>
    </row>
    <row r="782" spans="17:24" x14ac:dyDescent="0.25">
      <c r="Q782" s="22"/>
      <c r="R782" s="22"/>
      <c r="S782" s="22"/>
      <c r="T782" s="22"/>
      <c r="U782" s="22"/>
      <c r="V782" s="22"/>
      <c r="W782" s="22"/>
      <c r="X782" s="22"/>
    </row>
    <row r="783" spans="17:24" x14ac:dyDescent="0.25">
      <c r="Q783" s="22"/>
      <c r="R783" s="22"/>
      <c r="S783" s="22"/>
      <c r="T783" s="22"/>
      <c r="U783" s="22"/>
      <c r="V783" s="22"/>
      <c r="W783" s="22"/>
      <c r="X783" s="22"/>
    </row>
    <row r="784" spans="17:24" x14ac:dyDescent="0.25">
      <c r="Q784" s="22"/>
      <c r="R784" s="22"/>
      <c r="S784" s="22"/>
      <c r="T784" s="22"/>
      <c r="U784" s="22"/>
      <c r="V784" s="22"/>
      <c r="W784" s="22"/>
      <c r="X784" s="22"/>
    </row>
    <row r="785" spans="17:24" x14ac:dyDescent="0.25">
      <c r="Q785" s="22"/>
      <c r="R785" s="22"/>
      <c r="S785" s="22"/>
      <c r="T785" s="22"/>
      <c r="U785" s="22"/>
      <c r="V785" s="22"/>
      <c r="W785" s="22"/>
      <c r="X785" s="22"/>
    </row>
    <row r="786" spans="17:24" x14ac:dyDescent="0.25">
      <c r="Q786" s="22"/>
      <c r="R786" s="22"/>
      <c r="S786" s="22"/>
      <c r="T786" s="22"/>
      <c r="U786" s="22"/>
      <c r="V786" s="22"/>
      <c r="W786" s="22"/>
      <c r="X786" s="22"/>
    </row>
    <row r="787" spans="17:24" x14ac:dyDescent="0.25">
      <c r="Q787" s="22"/>
      <c r="R787" s="22"/>
      <c r="S787" s="22"/>
      <c r="T787" s="22"/>
      <c r="U787" s="22"/>
      <c r="V787" s="22"/>
      <c r="W787" s="22"/>
      <c r="X787" s="22"/>
    </row>
    <row r="788" spans="17:24" x14ac:dyDescent="0.25">
      <c r="Q788" s="22"/>
      <c r="R788" s="22"/>
      <c r="S788" s="22"/>
      <c r="T788" s="22"/>
      <c r="U788" s="22"/>
      <c r="V788" s="22"/>
      <c r="W788" s="22"/>
      <c r="X788" s="22"/>
    </row>
    <row r="789" spans="17:24" x14ac:dyDescent="0.25">
      <c r="Q789" s="22"/>
      <c r="R789" s="22"/>
      <c r="S789" s="22"/>
      <c r="T789" s="22"/>
      <c r="U789" s="22"/>
      <c r="V789" s="22"/>
      <c r="W789" s="22"/>
      <c r="X789" s="22"/>
    </row>
    <row r="790" spans="17:24" x14ac:dyDescent="0.25">
      <c r="Q790" s="22"/>
      <c r="R790" s="22"/>
      <c r="S790" s="22"/>
      <c r="T790" s="22"/>
      <c r="U790" s="22"/>
      <c r="V790" s="22"/>
      <c r="W790" s="22"/>
      <c r="X790" s="22"/>
    </row>
    <row r="791" spans="17:24" x14ac:dyDescent="0.25">
      <c r="Q791" s="22"/>
      <c r="R791" s="22"/>
      <c r="S791" s="22"/>
      <c r="T791" s="22"/>
      <c r="U791" s="22"/>
      <c r="V791" s="22"/>
      <c r="W791" s="22"/>
      <c r="X791" s="22"/>
    </row>
    <row r="792" spans="17:24" x14ac:dyDescent="0.25">
      <c r="Q792" s="22"/>
      <c r="R792" s="22"/>
      <c r="S792" s="22"/>
      <c r="T792" s="22"/>
      <c r="U792" s="22"/>
      <c r="V792" s="22"/>
      <c r="W792" s="22"/>
      <c r="X792" s="22"/>
    </row>
    <row r="793" spans="17:24" x14ac:dyDescent="0.25">
      <c r="Q793" s="22"/>
      <c r="R793" s="22"/>
      <c r="S793" s="22"/>
      <c r="T793" s="22"/>
      <c r="U793" s="22"/>
      <c r="V793" s="22"/>
      <c r="W793" s="22"/>
      <c r="X793" s="22"/>
    </row>
    <row r="794" spans="17:24" x14ac:dyDescent="0.25">
      <c r="Q794" s="22"/>
      <c r="R794" s="22"/>
      <c r="S794" s="22"/>
      <c r="T794" s="22"/>
      <c r="U794" s="22"/>
      <c r="V794" s="22"/>
      <c r="W794" s="22"/>
      <c r="X794" s="22"/>
    </row>
    <row r="795" spans="17:24" x14ac:dyDescent="0.25">
      <c r="Q795" s="22"/>
      <c r="R795" s="22"/>
      <c r="S795" s="22"/>
      <c r="T795" s="22"/>
      <c r="U795" s="22"/>
      <c r="V795" s="22"/>
      <c r="W795" s="22"/>
      <c r="X795" s="22"/>
    </row>
    <row r="796" spans="17:24" x14ac:dyDescent="0.25">
      <c r="Q796" s="22"/>
      <c r="R796" s="22"/>
      <c r="S796" s="22"/>
      <c r="T796" s="22"/>
      <c r="U796" s="22"/>
      <c r="V796" s="22"/>
      <c r="W796" s="22"/>
      <c r="X796" s="22"/>
    </row>
    <row r="797" spans="17:24" x14ac:dyDescent="0.25">
      <c r="Q797" s="22"/>
      <c r="R797" s="22"/>
      <c r="S797" s="22"/>
      <c r="T797" s="22"/>
      <c r="U797" s="22"/>
      <c r="V797" s="22"/>
      <c r="W797" s="22"/>
      <c r="X797" s="22"/>
    </row>
    <row r="798" spans="17:24" x14ac:dyDescent="0.25">
      <c r="Q798" s="22"/>
      <c r="R798" s="22"/>
      <c r="S798" s="22"/>
      <c r="T798" s="22"/>
      <c r="U798" s="22"/>
      <c r="V798" s="22"/>
      <c r="W798" s="22"/>
      <c r="X798" s="22"/>
    </row>
    <row r="799" spans="17:24" x14ac:dyDescent="0.25">
      <c r="Q799" s="22"/>
      <c r="R799" s="22"/>
      <c r="S799" s="22"/>
      <c r="T799" s="22"/>
      <c r="U799" s="22"/>
      <c r="V799" s="22"/>
      <c r="W799" s="22"/>
      <c r="X799" s="22"/>
    </row>
    <row r="800" spans="17:24" x14ac:dyDescent="0.25">
      <c r="Q800" s="22"/>
      <c r="R800" s="22"/>
      <c r="S800" s="22"/>
      <c r="T800" s="22"/>
      <c r="U800" s="22"/>
      <c r="V800" s="22"/>
      <c r="W800" s="22"/>
      <c r="X800" s="22"/>
    </row>
    <row r="801" spans="17:24" x14ac:dyDescent="0.25">
      <c r="Q801" s="22"/>
      <c r="R801" s="22"/>
      <c r="S801" s="22"/>
      <c r="T801" s="22"/>
      <c r="U801" s="22"/>
      <c r="V801" s="22"/>
      <c r="W801" s="22"/>
      <c r="X801" s="22"/>
    </row>
    <row r="802" spans="17:24" x14ac:dyDescent="0.25">
      <c r="Q802" s="22"/>
      <c r="R802" s="22"/>
      <c r="S802" s="22"/>
      <c r="T802" s="22"/>
      <c r="U802" s="22"/>
      <c r="V802" s="22"/>
      <c r="W802" s="22"/>
      <c r="X802" s="22"/>
    </row>
    <row r="803" spans="17:24" x14ac:dyDescent="0.25">
      <c r="Q803" s="22"/>
      <c r="R803" s="22"/>
      <c r="S803" s="22"/>
      <c r="T803" s="22"/>
      <c r="U803" s="22"/>
      <c r="V803" s="22"/>
      <c r="W803" s="22"/>
      <c r="X803" s="22"/>
    </row>
    <row r="804" spans="17:24" x14ac:dyDescent="0.25">
      <c r="Q804" s="22"/>
      <c r="R804" s="22"/>
      <c r="S804" s="22"/>
      <c r="T804" s="22"/>
      <c r="U804" s="22"/>
      <c r="V804" s="22"/>
      <c r="W804" s="22"/>
      <c r="X804" s="22"/>
    </row>
    <row r="805" spans="17:24" x14ac:dyDescent="0.25">
      <c r="Q805" s="22"/>
      <c r="R805" s="22"/>
      <c r="S805" s="22"/>
      <c r="T805" s="22"/>
      <c r="U805" s="22"/>
      <c r="V805" s="22"/>
      <c r="W805" s="22"/>
      <c r="X805" s="22"/>
    </row>
    <row r="806" spans="17:24" x14ac:dyDescent="0.25">
      <c r="Q806" s="22"/>
      <c r="R806" s="22"/>
      <c r="S806" s="22"/>
      <c r="T806" s="22"/>
      <c r="U806" s="22"/>
      <c r="V806" s="22"/>
      <c r="W806" s="22"/>
      <c r="X806" s="22"/>
    </row>
    <row r="807" spans="17:24" x14ac:dyDescent="0.25">
      <c r="Q807" s="22"/>
      <c r="R807" s="22"/>
      <c r="S807" s="22"/>
      <c r="T807" s="22"/>
      <c r="U807" s="22"/>
      <c r="V807" s="22"/>
      <c r="W807" s="22"/>
      <c r="X807" s="22"/>
    </row>
    <row r="808" spans="17:24" x14ac:dyDescent="0.25">
      <c r="Q808" s="22"/>
      <c r="R808" s="22"/>
      <c r="S808" s="22"/>
      <c r="T808" s="22"/>
      <c r="U808" s="22"/>
      <c r="V808" s="22"/>
      <c r="W808" s="22"/>
      <c r="X808" s="22"/>
    </row>
    <row r="809" spans="17:24" x14ac:dyDescent="0.25">
      <c r="Q809" s="22"/>
      <c r="R809" s="22"/>
      <c r="S809" s="22"/>
      <c r="T809" s="22"/>
      <c r="U809" s="22"/>
      <c r="V809" s="22"/>
      <c r="W809" s="22"/>
      <c r="X809" s="22"/>
    </row>
    <row r="810" spans="17:24" x14ac:dyDescent="0.25">
      <c r="Q810" s="22"/>
      <c r="R810" s="22"/>
      <c r="S810" s="22"/>
      <c r="T810" s="22"/>
      <c r="U810" s="22"/>
      <c r="V810" s="22"/>
      <c r="W810" s="22"/>
      <c r="X810" s="22"/>
    </row>
    <row r="811" spans="17:24" x14ac:dyDescent="0.25">
      <c r="Q811" s="22"/>
      <c r="R811" s="22"/>
      <c r="S811" s="22"/>
      <c r="T811" s="22"/>
      <c r="U811" s="22"/>
      <c r="V811" s="22"/>
      <c r="W811" s="22"/>
      <c r="X811" s="22"/>
    </row>
    <row r="812" spans="17:24" x14ac:dyDescent="0.25">
      <c r="Q812" s="22"/>
      <c r="R812" s="22"/>
      <c r="S812" s="22"/>
      <c r="T812" s="22"/>
      <c r="U812" s="22"/>
      <c r="V812" s="22"/>
      <c r="W812" s="22"/>
      <c r="X812" s="22"/>
    </row>
    <row r="813" spans="17:24" x14ac:dyDescent="0.25">
      <c r="Q813" s="22"/>
      <c r="R813" s="22"/>
      <c r="S813" s="22"/>
      <c r="T813" s="22"/>
      <c r="U813" s="22"/>
      <c r="V813" s="22"/>
      <c r="W813" s="22"/>
      <c r="X813" s="22"/>
    </row>
    <row r="814" spans="17:24" x14ac:dyDescent="0.25">
      <c r="Q814" s="22"/>
      <c r="R814" s="22"/>
      <c r="S814" s="22"/>
      <c r="T814" s="22"/>
      <c r="U814" s="22"/>
      <c r="V814" s="22"/>
      <c r="W814" s="22"/>
      <c r="X814" s="22"/>
    </row>
    <row r="815" spans="17:24" x14ac:dyDescent="0.25">
      <c r="Q815" s="22"/>
      <c r="R815" s="22"/>
      <c r="S815" s="22"/>
      <c r="T815" s="22"/>
      <c r="U815" s="22"/>
      <c r="V815" s="22"/>
      <c r="W815" s="22"/>
      <c r="X815" s="22"/>
    </row>
    <row r="816" spans="17:24" x14ac:dyDescent="0.25">
      <c r="Q816" s="22"/>
      <c r="R816" s="22"/>
      <c r="S816" s="22"/>
      <c r="T816" s="22"/>
      <c r="U816" s="22"/>
      <c r="V816" s="22"/>
      <c r="W816" s="22"/>
      <c r="X816" s="22"/>
    </row>
    <row r="817" spans="17:24" x14ac:dyDescent="0.25">
      <c r="Q817" s="22"/>
      <c r="R817" s="22"/>
      <c r="S817" s="22"/>
      <c r="T817" s="22"/>
      <c r="U817" s="22"/>
      <c r="V817" s="22"/>
      <c r="W817" s="22"/>
      <c r="X817" s="22"/>
    </row>
    <row r="818" spans="17:24" x14ac:dyDescent="0.25">
      <c r="Q818" s="22"/>
      <c r="R818" s="22"/>
      <c r="S818" s="22"/>
      <c r="T818" s="22"/>
      <c r="U818" s="22"/>
      <c r="V818" s="22"/>
      <c r="W818" s="22"/>
      <c r="X818" s="22"/>
    </row>
    <row r="819" spans="17:24" x14ac:dyDescent="0.25">
      <c r="Q819" s="22"/>
      <c r="R819" s="22"/>
      <c r="S819" s="22"/>
      <c r="T819" s="22"/>
      <c r="U819" s="22"/>
      <c r="V819" s="22"/>
      <c r="W819" s="22"/>
      <c r="X819" s="22"/>
    </row>
    <row r="820" spans="17:24" x14ac:dyDescent="0.25">
      <c r="Q820" s="22"/>
      <c r="R820" s="22"/>
      <c r="S820" s="22"/>
      <c r="T820" s="22"/>
      <c r="U820" s="22"/>
      <c r="V820" s="22"/>
      <c r="W820" s="22"/>
      <c r="X820" s="22"/>
    </row>
    <row r="821" spans="17:24" x14ac:dyDescent="0.25">
      <c r="Q821" s="22"/>
      <c r="R821" s="22"/>
      <c r="S821" s="22"/>
      <c r="T821" s="22"/>
      <c r="U821" s="22"/>
      <c r="V821" s="22"/>
      <c r="W821" s="22"/>
      <c r="X821" s="22"/>
    </row>
    <row r="822" spans="17:24" x14ac:dyDescent="0.25">
      <c r="Q822" s="22"/>
      <c r="R822" s="22"/>
      <c r="S822" s="22"/>
      <c r="T822" s="22"/>
      <c r="U822" s="22"/>
      <c r="V822" s="22"/>
      <c r="W822" s="22"/>
      <c r="X822" s="22"/>
    </row>
    <row r="823" spans="17:24" x14ac:dyDescent="0.25">
      <c r="Q823" s="22"/>
      <c r="R823" s="22"/>
      <c r="S823" s="22"/>
      <c r="T823" s="22"/>
      <c r="U823" s="22"/>
      <c r="V823" s="22"/>
      <c r="W823" s="22"/>
      <c r="X823" s="22"/>
    </row>
    <row r="824" spans="17:24" x14ac:dyDescent="0.25">
      <c r="Q824" s="22"/>
      <c r="R824" s="22"/>
      <c r="S824" s="22"/>
      <c r="T824" s="22"/>
      <c r="U824" s="22"/>
      <c r="V824" s="22"/>
      <c r="W824" s="22"/>
      <c r="X824" s="22"/>
    </row>
    <row r="825" spans="17:24" x14ac:dyDescent="0.25">
      <c r="Q825" s="22"/>
      <c r="R825" s="22"/>
      <c r="S825" s="22"/>
      <c r="T825" s="22"/>
      <c r="U825" s="22"/>
      <c r="V825" s="22"/>
      <c r="W825" s="22"/>
      <c r="X825" s="22"/>
    </row>
    <row r="826" spans="17:24" x14ac:dyDescent="0.25">
      <c r="Q826" s="22"/>
      <c r="R826" s="22"/>
      <c r="S826" s="22"/>
      <c r="T826" s="22"/>
      <c r="U826" s="22"/>
      <c r="V826" s="22"/>
      <c r="W826" s="22"/>
      <c r="X826" s="22"/>
    </row>
    <row r="827" spans="17:24" x14ac:dyDescent="0.25">
      <c r="Q827" s="22"/>
      <c r="R827" s="22"/>
      <c r="S827" s="22"/>
      <c r="T827" s="22"/>
      <c r="U827" s="22"/>
      <c r="V827" s="22"/>
      <c r="W827" s="22"/>
      <c r="X827" s="22"/>
    </row>
    <row r="828" spans="17:24" x14ac:dyDescent="0.25">
      <c r="Q828" s="22"/>
      <c r="R828" s="22"/>
      <c r="S828" s="22"/>
      <c r="T828" s="22"/>
      <c r="U828" s="22"/>
      <c r="V828" s="22"/>
      <c r="W828" s="22"/>
      <c r="X828" s="22"/>
    </row>
    <row r="829" spans="17:24" x14ac:dyDescent="0.25">
      <c r="Q829" s="22"/>
      <c r="R829" s="22"/>
      <c r="S829" s="22"/>
      <c r="T829" s="22"/>
      <c r="U829" s="22"/>
      <c r="V829" s="22"/>
      <c r="W829" s="22"/>
      <c r="X829" s="22"/>
    </row>
    <row r="830" spans="17:24" x14ac:dyDescent="0.25">
      <c r="Q830" s="22"/>
      <c r="R830" s="22"/>
      <c r="S830" s="22"/>
      <c r="T830" s="22"/>
      <c r="U830" s="22"/>
      <c r="V830" s="22"/>
      <c r="W830" s="22"/>
      <c r="X830" s="22"/>
    </row>
    <row r="831" spans="17:24" x14ac:dyDescent="0.25">
      <c r="Q831" s="22"/>
      <c r="R831" s="22"/>
      <c r="S831" s="22"/>
      <c r="T831" s="22"/>
      <c r="U831" s="22"/>
      <c r="V831" s="22"/>
      <c r="W831" s="22"/>
      <c r="X831" s="22"/>
    </row>
    <row r="832" spans="17:24" x14ac:dyDescent="0.25">
      <c r="Q832" s="22"/>
      <c r="R832" s="22"/>
      <c r="S832" s="22"/>
      <c r="T832" s="22"/>
      <c r="U832" s="22"/>
      <c r="V832" s="22"/>
      <c r="W832" s="22"/>
      <c r="X832" s="22"/>
    </row>
    <row r="833" spans="17:24" x14ac:dyDescent="0.25">
      <c r="Q833" s="22"/>
      <c r="R833" s="22"/>
      <c r="S833" s="22"/>
      <c r="T833" s="22"/>
      <c r="U833" s="22"/>
      <c r="V833" s="22"/>
      <c r="W833" s="22"/>
      <c r="X833" s="22"/>
    </row>
    <row r="834" spans="17:24" x14ac:dyDescent="0.25">
      <c r="Q834" s="22"/>
      <c r="R834" s="22"/>
      <c r="S834" s="22"/>
      <c r="T834" s="22"/>
      <c r="U834" s="22"/>
      <c r="V834" s="22"/>
      <c r="W834" s="22"/>
      <c r="X834" s="22"/>
    </row>
    <row r="835" spans="17:24" x14ac:dyDescent="0.25">
      <c r="Q835" s="22"/>
      <c r="R835" s="22"/>
      <c r="S835" s="22"/>
      <c r="T835" s="22"/>
      <c r="U835" s="22"/>
      <c r="V835" s="22"/>
      <c r="W835" s="22"/>
      <c r="X835" s="22"/>
    </row>
    <row r="836" spans="17:24" x14ac:dyDescent="0.25">
      <c r="Q836" s="22"/>
      <c r="R836" s="22"/>
      <c r="S836" s="22"/>
      <c r="T836" s="22"/>
      <c r="U836" s="22"/>
      <c r="V836" s="22"/>
      <c r="W836" s="22"/>
      <c r="X836" s="22"/>
    </row>
    <row r="837" spans="17:24" x14ac:dyDescent="0.25">
      <c r="Q837" s="22"/>
      <c r="R837" s="22"/>
      <c r="S837" s="22"/>
      <c r="T837" s="22"/>
      <c r="U837" s="22"/>
      <c r="V837" s="22"/>
      <c r="W837" s="22"/>
      <c r="X837" s="22"/>
    </row>
    <row r="838" spans="17:24" x14ac:dyDescent="0.25">
      <c r="Q838" s="22"/>
      <c r="R838" s="22"/>
      <c r="S838" s="22"/>
      <c r="T838" s="22"/>
      <c r="U838" s="22"/>
      <c r="V838" s="22"/>
      <c r="W838" s="22"/>
      <c r="X838" s="22"/>
    </row>
    <row r="839" spans="17:24" x14ac:dyDescent="0.25">
      <c r="Q839" s="22"/>
      <c r="R839" s="22"/>
      <c r="S839" s="22"/>
      <c r="T839" s="22"/>
      <c r="U839" s="22"/>
      <c r="V839" s="22"/>
      <c r="W839" s="22"/>
      <c r="X839" s="22"/>
    </row>
    <row r="840" spans="17:24" x14ac:dyDescent="0.25">
      <c r="Q840" s="22"/>
      <c r="R840" s="22"/>
      <c r="S840" s="22"/>
      <c r="T840" s="22"/>
      <c r="U840" s="22"/>
      <c r="V840" s="22"/>
      <c r="W840" s="22"/>
      <c r="X840" s="22"/>
    </row>
    <row r="841" spans="17:24" x14ac:dyDescent="0.25">
      <c r="Q841" s="22"/>
      <c r="R841" s="22"/>
      <c r="S841" s="22"/>
      <c r="T841" s="22"/>
      <c r="U841" s="22"/>
      <c r="V841" s="22"/>
      <c r="W841" s="22"/>
      <c r="X841" s="22"/>
    </row>
    <row r="842" spans="17:24" x14ac:dyDescent="0.25">
      <c r="Q842" s="22"/>
      <c r="R842" s="22"/>
      <c r="S842" s="22"/>
      <c r="T842" s="22"/>
      <c r="U842" s="22"/>
      <c r="V842" s="22"/>
      <c r="W842" s="22"/>
      <c r="X842" s="22"/>
    </row>
    <row r="843" spans="17:24" x14ac:dyDescent="0.25">
      <c r="Q843" s="22"/>
      <c r="R843" s="22"/>
      <c r="S843" s="22"/>
      <c r="T843" s="22"/>
      <c r="U843" s="22"/>
      <c r="V843" s="22"/>
      <c r="W843" s="22"/>
      <c r="X843" s="22"/>
    </row>
    <row r="844" spans="17:24" x14ac:dyDescent="0.25">
      <c r="Q844" s="22"/>
      <c r="R844" s="22"/>
      <c r="S844" s="22"/>
      <c r="T844" s="22"/>
      <c r="U844" s="22"/>
      <c r="V844" s="22"/>
      <c r="W844" s="22"/>
      <c r="X844" s="22"/>
    </row>
    <row r="845" spans="17:24" x14ac:dyDescent="0.25">
      <c r="Q845" s="22"/>
      <c r="R845" s="22"/>
      <c r="S845" s="22"/>
      <c r="T845" s="22"/>
      <c r="U845" s="22"/>
      <c r="V845" s="22"/>
      <c r="W845" s="22"/>
      <c r="X845" s="22"/>
    </row>
    <row r="846" spans="17:24" x14ac:dyDescent="0.25">
      <c r="Q846" s="22"/>
      <c r="R846" s="22"/>
      <c r="S846" s="22"/>
      <c r="T846" s="22"/>
      <c r="U846" s="22"/>
      <c r="V846" s="22"/>
      <c r="W846" s="22"/>
      <c r="X846" s="22"/>
    </row>
    <row r="847" spans="17:24" x14ac:dyDescent="0.25">
      <c r="Q847" s="22"/>
      <c r="R847" s="22"/>
      <c r="S847" s="22"/>
      <c r="T847" s="22"/>
      <c r="U847" s="22"/>
      <c r="V847" s="22"/>
      <c r="W847" s="22"/>
      <c r="X847" s="22"/>
    </row>
    <row r="848" spans="17:24" x14ac:dyDescent="0.25">
      <c r="Q848" s="22"/>
      <c r="R848" s="22"/>
      <c r="S848" s="22"/>
      <c r="T848" s="22"/>
      <c r="U848" s="22"/>
      <c r="V848" s="22"/>
      <c r="W848" s="22"/>
      <c r="X848" s="22"/>
    </row>
    <row r="849" spans="17:24" x14ac:dyDescent="0.25">
      <c r="Q849" s="22"/>
      <c r="R849" s="22"/>
      <c r="S849" s="22"/>
      <c r="T849" s="22"/>
      <c r="U849" s="22"/>
      <c r="V849" s="22"/>
      <c r="W849" s="22"/>
      <c r="X849" s="22"/>
    </row>
    <row r="850" spans="17:24" x14ac:dyDescent="0.25">
      <c r="Q850" s="22"/>
      <c r="R850" s="22"/>
      <c r="S850" s="22"/>
      <c r="T850" s="22"/>
      <c r="U850" s="22"/>
      <c r="V850" s="22"/>
      <c r="W850" s="22"/>
      <c r="X850" s="22"/>
    </row>
    <row r="851" spans="17:24" x14ac:dyDescent="0.25">
      <c r="Q851" s="22"/>
      <c r="R851" s="22"/>
      <c r="S851" s="22"/>
      <c r="T851" s="22"/>
      <c r="U851" s="22"/>
      <c r="V851" s="22"/>
      <c r="W851" s="22"/>
      <c r="X851" s="22"/>
    </row>
    <row r="852" spans="17:24" x14ac:dyDescent="0.25">
      <c r="Q852" s="22"/>
      <c r="R852" s="22"/>
      <c r="S852" s="22"/>
      <c r="T852" s="22"/>
      <c r="U852" s="22"/>
      <c r="V852" s="22"/>
      <c r="W852" s="22"/>
      <c r="X852" s="22"/>
    </row>
    <row r="853" spans="17:24" x14ac:dyDescent="0.25">
      <c r="Q853" s="22"/>
      <c r="R853" s="22"/>
      <c r="S853" s="22"/>
      <c r="T853" s="22"/>
      <c r="U853" s="22"/>
      <c r="V853" s="22"/>
      <c r="W853" s="22"/>
      <c r="X853" s="22"/>
    </row>
    <row r="854" spans="17:24" x14ac:dyDescent="0.25">
      <c r="Q854" s="22"/>
      <c r="R854" s="22"/>
      <c r="S854" s="22"/>
      <c r="T854" s="22"/>
      <c r="U854" s="22"/>
      <c r="V854" s="22"/>
      <c r="W854" s="22"/>
      <c r="X854" s="22"/>
    </row>
    <row r="855" spans="17:24" x14ac:dyDescent="0.25">
      <c r="Q855" s="22"/>
      <c r="R855" s="22"/>
      <c r="S855" s="22"/>
      <c r="T855" s="22"/>
      <c r="U855" s="22"/>
      <c r="V855" s="22"/>
      <c r="W855" s="22"/>
      <c r="X855" s="22"/>
    </row>
    <row r="856" spans="17:24" x14ac:dyDescent="0.25">
      <c r="Q856" s="22"/>
      <c r="R856" s="22"/>
      <c r="S856" s="22"/>
      <c r="T856" s="22"/>
      <c r="U856" s="22"/>
      <c r="V856" s="22"/>
      <c r="W856" s="22"/>
      <c r="X856" s="22"/>
    </row>
    <row r="857" spans="17:24" x14ac:dyDescent="0.25">
      <c r="Q857" s="22"/>
      <c r="R857" s="22"/>
      <c r="S857" s="22"/>
      <c r="T857" s="22"/>
      <c r="U857" s="22"/>
      <c r="V857" s="22"/>
      <c r="W857" s="22"/>
      <c r="X857" s="22"/>
    </row>
    <row r="858" spans="17:24" x14ac:dyDescent="0.25">
      <c r="Q858" s="22"/>
      <c r="R858" s="22"/>
      <c r="S858" s="22"/>
      <c r="T858" s="22"/>
      <c r="U858" s="22"/>
      <c r="V858" s="22"/>
      <c r="W858" s="22"/>
      <c r="X858" s="22"/>
    </row>
    <row r="859" spans="17:24" x14ac:dyDescent="0.25">
      <c r="Q859" s="22"/>
      <c r="R859" s="22"/>
      <c r="S859" s="22"/>
      <c r="T859" s="22"/>
      <c r="U859" s="22"/>
      <c r="V859" s="22"/>
      <c r="W859" s="22"/>
      <c r="X859" s="22"/>
    </row>
    <row r="860" spans="17:24" x14ac:dyDescent="0.25">
      <c r="Q860" s="22"/>
      <c r="R860" s="22"/>
      <c r="S860" s="22"/>
      <c r="T860" s="22"/>
      <c r="U860" s="22"/>
      <c r="V860" s="22"/>
      <c r="W860" s="22"/>
      <c r="X860" s="22"/>
    </row>
    <row r="861" spans="17:24" x14ac:dyDescent="0.25">
      <c r="Q861" s="22"/>
      <c r="R861" s="22"/>
      <c r="S861" s="22"/>
      <c r="T861" s="22"/>
      <c r="U861" s="22"/>
      <c r="V861" s="22"/>
      <c r="W861" s="22"/>
      <c r="X861" s="22"/>
    </row>
    <row r="862" spans="17:24" x14ac:dyDescent="0.25">
      <c r="Q862" s="22"/>
      <c r="R862" s="22"/>
      <c r="S862" s="22"/>
      <c r="T862" s="22"/>
      <c r="U862" s="22"/>
      <c r="V862" s="22"/>
      <c r="W862" s="22"/>
      <c r="X862" s="22"/>
    </row>
    <row r="863" spans="17:24" x14ac:dyDescent="0.25">
      <c r="Q863" s="22"/>
      <c r="R863" s="22"/>
      <c r="S863" s="22"/>
      <c r="T863" s="22"/>
      <c r="U863" s="22"/>
      <c r="V863" s="22"/>
      <c r="W863" s="22"/>
      <c r="X863" s="22"/>
    </row>
    <row r="864" spans="17:24" x14ac:dyDescent="0.25">
      <c r="Q864" s="22"/>
      <c r="R864" s="22"/>
      <c r="S864" s="22"/>
      <c r="T864" s="22"/>
      <c r="U864" s="22"/>
      <c r="V864" s="22"/>
      <c r="W864" s="22"/>
      <c r="X864" s="22"/>
    </row>
    <row r="865" spans="17:24" x14ac:dyDescent="0.25">
      <c r="Q865" s="22"/>
      <c r="R865" s="22"/>
      <c r="S865" s="22"/>
      <c r="T865" s="22"/>
      <c r="U865" s="22"/>
      <c r="V865" s="22"/>
      <c r="W865" s="22"/>
      <c r="X865" s="22"/>
    </row>
    <row r="866" spans="17:24" x14ac:dyDescent="0.25">
      <c r="Q866" s="22"/>
      <c r="R866" s="22"/>
      <c r="S866" s="22"/>
      <c r="T866" s="22"/>
      <c r="U866" s="22"/>
      <c r="V866" s="22"/>
      <c r="W866" s="22"/>
      <c r="X866" s="22"/>
    </row>
    <row r="867" spans="17:24" x14ac:dyDescent="0.25">
      <c r="Q867" s="22"/>
      <c r="R867" s="22"/>
      <c r="S867" s="22"/>
      <c r="T867" s="22"/>
      <c r="U867" s="22"/>
      <c r="V867" s="22"/>
      <c r="W867" s="22"/>
      <c r="X867" s="22"/>
    </row>
    <row r="868" spans="17:24" x14ac:dyDescent="0.25">
      <c r="Q868" s="22"/>
      <c r="R868" s="22"/>
      <c r="S868" s="22"/>
      <c r="T868" s="22"/>
      <c r="U868" s="22"/>
      <c r="V868" s="22"/>
      <c r="W868" s="22"/>
      <c r="X868" s="22"/>
    </row>
    <row r="869" spans="17:24" x14ac:dyDescent="0.25">
      <c r="Q869" s="22"/>
      <c r="R869" s="22"/>
      <c r="S869" s="22"/>
      <c r="T869" s="22"/>
      <c r="U869" s="22"/>
      <c r="V869" s="22"/>
      <c r="W869" s="22"/>
      <c r="X869" s="22"/>
    </row>
    <row r="870" spans="17:24" x14ac:dyDescent="0.25">
      <c r="Q870" s="22"/>
      <c r="R870" s="22"/>
      <c r="S870" s="22"/>
      <c r="T870" s="22"/>
      <c r="U870" s="22"/>
      <c r="V870" s="22"/>
      <c r="W870" s="22"/>
      <c r="X870" s="22"/>
    </row>
    <row r="871" spans="17:24" x14ac:dyDescent="0.25">
      <c r="Q871" s="22"/>
      <c r="R871" s="22"/>
      <c r="S871" s="22"/>
      <c r="T871" s="22"/>
      <c r="U871" s="22"/>
      <c r="V871" s="22"/>
      <c r="W871" s="22"/>
      <c r="X871" s="22"/>
    </row>
    <row r="872" spans="17:24" x14ac:dyDescent="0.25">
      <c r="Q872" s="22"/>
      <c r="R872" s="22"/>
      <c r="S872" s="22"/>
      <c r="T872" s="22"/>
      <c r="U872" s="22"/>
      <c r="V872" s="22"/>
      <c r="W872" s="22"/>
      <c r="X872" s="22"/>
    </row>
    <row r="873" spans="17:24" x14ac:dyDescent="0.25">
      <c r="Q873" s="22"/>
      <c r="R873" s="22"/>
      <c r="S873" s="22"/>
      <c r="T873" s="22"/>
      <c r="U873" s="22"/>
      <c r="V873" s="22"/>
      <c r="W873" s="22"/>
      <c r="X873" s="22"/>
    </row>
    <row r="874" spans="17:24" x14ac:dyDescent="0.25">
      <c r="Q874" s="22"/>
      <c r="R874" s="22"/>
      <c r="S874" s="22"/>
      <c r="T874" s="22"/>
      <c r="U874" s="22"/>
      <c r="V874" s="22"/>
      <c r="W874" s="22"/>
      <c r="X874" s="22"/>
    </row>
    <row r="875" spans="17:24" x14ac:dyDescent="0.25">
      <c r="Q875" s="22"/>
      <c r="R875" s="22"/>
      <c r="S875" s="22"/>
      <c r="T875" s="22"/>
      <c r="U875" s="22"/>
      <c r="V875" s="22"/>
      <c r="W875" s="22"/>
      <c r="X875" s="22"/>
    </row>
    <row r="876" spans="17:24" x14ac:dyDescent="0.25">
      <c r="Q876" s="22"/>
      <c r="R876" s="22"/>
      <c r="S876" s="22"/>
      <c r="T876" s="22"/>
      <c r="U876" s="22"/>
      <c r="V876" s="22"/>
      <c r="W876" s="22"/>
      <c r="X876" s="22"/>
    </row>
    <row r="877" spans="17:24" x14ac:dyDescent="0.25">
      <c r="Q877" s="22"/>
      <c r="R877" s="22"/>
      <c r="S877" s="22"/>
      <c r="T877" s="22"/>
      <c r="U877" s="22"/>
      <c r="V877" s="22"/>
      <c r="W877" s="22"/>
      <c r="X877" s="22"/>
    </row>
    <row r="878" spans="17:24" x14ac:dyDescent="0.25">
      <c r="Q878" s="22"/>
      <c r="R878" s="22"/>
      <c r="S878" s="22"/>
      <c r="T878" s="22"/>
      <c r="U878" s="22"/>
      <c r="V878" s="22"/>
      <c r="W878" s="22"/>
      <c r="X878" s="22"/>
    </row>
    <row r="879" spans="17:24" x14ac:dyDescent="0.25">
      <c r="Q879" s="22"/>
      <c r="R879" s="22"/>
      <c r="S879" s="22"/>
      <c r="T879" s="22"/>
      <c r="U879" s="22"/>
      <c r="V879" s="22"/>
      <c r="W879" s="22"/>
      <c r="X879" s="22"/>
    </row>
    <row r="880" spans="17:24" x14ac:dyDescent="0.25">
      <c r="Q880" s="22"/>
      <c r="R880" s="22"/>
      <c r="S880" s="22"/>
      <c r="T880" s="22"/>
      <c r="U880" s="22"/>
      <c r="V880" s="22"/>
      <c r="W880" s="22"/>
      <c r="X880" s="22"/>
    </row>
    <row r="881" spans="17:24" x14ac:dyDescent="0.25">
      <c r="Q881" s="22"/>
      <c r="R881" s="22"/>
      <c r="S881" s="22"/>
      <c r="T881" s="22"/>
      <c r="U881" s="22"/>
      <c r="V881" s="22"/>
      <c r="W881" s="22"/>
      <c r="X881" s="22"/>
    </row>
    <row r="882" spans="17:24" x14ac:dyDescent="0.25">
      <c r="Q882" s="22"/>
      <c r="R882" s="22"/>
      <c r="S882" s="22"/>
      <c r="T882" s="22"/>
      <c r="U882" s="22"/>
      <c r="V882" s="22"/>
      <c r="W882" s="22"/>
      <c r="X882" s="22"/>
    </row>
    <row r="883" spans="17:24" x14ac:dyDescent="0.25">
      <c r="Q883" s="22"/>
      <c r="R883" s="22"/>
      <c r="S883" s="22"/>
      <c r="T883" s="22"/>
      <c r="U883" s="22"/>
      <c r="V883" s="22"/>
      <c r="W883" s="22"/>
      <c r="X883" s="22"/>
    </row>
    <row r="884" spans="17:24" x14ac:dyDescent="0.25">
      <c r="Q884" s="22"/>
      <c r="R884" s="22"/>
      <c r="S884" s="22"/>
      <c r="T884" s="22"/>
      <c r="U884" s="22"/>
      <c r="V884" s="22"/>
      <c r="W884" s="22"/>
      <c r="X884" s="22"/>
    </row>
    <row r="885" spans="17:24" x14ac:dyDescent="0.25">
      <c r="Q885" s="22"/>
      <c r="R885" s="22"/>
      <c r="S885" s="22"/>
      <c r="T885" s="22"/>
      <c r="U885" s="22"/>
      <c r="V885" s="22"/>
      <c r="W885" s="22"/>
      <c r="X885" s="22"/>
    </row>
    <row r="886" spans="17:24" x14ac:dyDescent="0.25">
      <c r="Q886" s="22"/>
      <c r="R886" s="22"/>
      <c r="S886" s="22"/>
      <c r="T886" s="22"/>
      <c r="U886" s="22"/>
      <c r="V886" s="22"/>
      <c r="W886" s="22"/>
      <c r="X886" s="22"/>
    </row>
    <row r="887" spans="17:24" x14ac:dyDescent="0.25">
      <c r="Q887" s="22"/>
      <c r="R887" s="22"/>
      <c r="S887" s="22"/>
      <c r="T887" s="22"/>
      <c r="U887" s="22"/>
      <c r="V887" s="22"/>
      <c r="W887" s="22"/>
      <c r="X887" s="22"/>
    </row>
    <row r="888" spans="17:24" x14ac:dyDescent="0.25">
      <c r="Q888" s="22"/>
      <c r="R888" s="22"/>
      <c r="S888" s="22"/>
      <c r="T888" s="22"/>
      <c r="U888" s="22"/>
      <c r="V888" s="22"/>
      <c r="W888" s="22"/>
      <c r="X888" s="22"/>
    </row>
    <row r="889" spans="17:24" x14ac:dyDescent="0.25">
      <c r="Q889" s="22"/>
      <c r="R889" s="22"/>
      <c r="S889" s="22"/>
      <c r="T889" s="22"/>
      <c r="U889" s="22"/>
      <c r="V889" s="22"/>
      <c r="W889" s="22"/>
      <c r="X889" s="22"/>
    </row>
    <row r="890" spans="17:24" x14ac:dyDescent="0.25">
      <c r="Q890" s="22"/>
      <c r="R890" s="22"/>
      <c r="S890" s="22"/>
      <c r="T890" s="22"/>
      <c r="U890" s="22"/>
      <c r="V890" s="22"/>
      <c r="W890" s="22"/>
      <c r="X890" s="22"/>
    </row>
    <row r="891" spans="17:24" x14ac:dyDescent="0.25">
      <c r="Q891" s="22"/>
      <c r="R891" s="22"/>
      <c r="S891" s="22"/>
      <c r="T891" s="22"/>
      <c r="U891" s="22"/>
      <c r="V891" s="22"/>
      <c r="W891" s="22"/>
      <c r="X891" s="22"/>
    </row>
    <row r="892" spans="17:24" x14ac:dyDescent="0.25">
      <c r="Q892" s="22"/>
      <c r="R892" s="22"/>
      <c r="S892" s="22"/>
      <c r="T892" s="22"/>
      <c r="U892" s="22"/>
      <c r="V892" s="22"/>
      <c r="W892" s="22"/>
      <c r="X892" s="22"/>
    </row>
    <row r="893" spans="17:24" x14ac:dyDescent="0.25">
      <c r="Q893" s="22"/>
      <c r="R893" s="22"/>
      <c r="S893" s="22"/>
      <c r="T893" s="22"/>
      <c r="U893" s="22"/>
      <c r="V893" s="22"/>
      <c r="W893" s="22"/>
      <c r="X893" s="22"/>
    </row>
    <row r="894" spans="17:24" x14ac:dyDescent="0.25">
      <c r="Q894" s="22"/>
      <c r="R894" s="22"/>
      <c r="S894" s="22"/>
      <c r="T894" s="22"/>
      <c r="U894" s="22"/>
      <c r="V894" s="22"/>
      <c r="W894" s="22"/>
      <c r="X894" s="22"/>
    </row>
    <row r="895" spans="17:24" x14ac:dyDescent="0.25">
      <c r="Q895" s="22"/>
      <c r="R895" s="22"/>
      <c r="S895" s="22"/>
      <c r="T895" s="22"/>
      <c r="U895" s="22"/>
      <c r="V895" s="22"/>
      <c r="W895" s="22"/>
      <c r="X895" s="22"/>
    </row>
    <row r="896" spans="17:24" x14ac:dyDescent="0.25">
      <c r="Q896" s="22"/>
      <c r="R896" s="22"/>
      <c r="S896" s="22"/>
      <c r="T896" s="22"/>
      <c r="U896" s="22"/>
      <c r="V896" s="22"/>
      <c r="W896" s="22"/>
      <c r="X896" s="22"/>
    </row>
    <row r="897" spans="17:24" x14ac:dyDescent="0.25">
      <c r="Q897" s="22"/>
      <c r="R897" s="22"/>
      <c r="S897" s="22"/>
      <c r="T897" s="22"/>
      <c r="U897" s="22"/>
      <c r="V897" s="22"/>
      <c r="W897" s="22"/>
      <c r="X897" s="22"/>
    </row>
    <row r="898" spans="17:24" x14ac:dyDescent="0.25">
      <c r="Q898" s="22"/>
      <c r="R898" s="22"/>
      <c r="S898" s="22"/>
      <c r="T898" s="22"/>
      <c r="U898" s="22"/>
      <c r="V898" s="22"/>
      <c r="W898" s="22"/>
      <c r="X898" s="22"/>
    </row>
    <row r="899" spans="17:24" x14ac:dyDescent="0.25">
      <c r="Q899" s="22"/>
      <c r="R899" s="22"/>
      <c r="S899" s="22"/>
      <c r="T899" s="22"/>
      <c r="U899" s="22"/>
      <c r="V899" s="22"/>
      <c r="W899" s="22"/>
      <c r="X899" s="22"/>
    </row>
    <row r="900" spans="17:24" x14ac:dyDescent="0.25">
      <c r="Q900" s="22"/>
      <c r="R900" s="22"/>
      <c r="S900" s="22"/>
      <c r="T900" s="22"/>
      <c r="U900" s="22"/>
      <c r="V900" s="22"/>
      <c r="W900" s="22"/>
      <c r="X900" s="22"/>
    </row>
    <row r="901" spans="17:24" x14ac:dyDescent="0.25">
      <c r="Q901" s="22"/>
      <c r="R901" s="22"/>
      <c r="S901" s="22"/>
      <c r="T901" s="22"/>
      <c r="U901" s="22"/>
      <c r="V901" s="22"/>
      <c r="W901" s="22"/>
      <c r="X901" s="22"/>
    </row>
    <row r="902" spans="17:24" x14ac:dyDescent="0.25">
      <c r="Q902" s="22"/>
      <c r="R902" s="22"/>
      <c r="S902" s="22"/>
      <c r="T902" s="22"/>
      <c r="U902" s="22"/>
      <c r="V902" s="22"/>
      <c r="W902" s="22"/>
      <c r="X902" s="22"/>
    </row>
    <row r="903" spans="17:24" x14ac:dyDescent="0.25">
      <c r="Q903" s="22"/>
      <c r="R903" s="22"/>
      <c r="S903" s="22"/>
      <c r="T903" s="22"/>
      <c r="U903" s="22"/>
      <c r="V903" s="22"/>
      <c r="W903" s="22"/>
      <c r="X903" s="22"/>
    </row>
    <row r="904" spans="17:24" x14ac:dyDescent="0.25">
      <c r="Q904" s="22"/>
      <c r="R904" s="22"/>
      <c r="S904" s="22"/>
      <c r="T904" s="22"/>
      <c r="U904" s="22"/>
      <c r="V904" s="22"/>
      <c r="W904" s="22"/>
      <c r="X904" s="22"/>
    </row>
    <row r="905" spans="17:24" x14ac:dyDescent="0.25">
      <c r="Q905" s="22"/>
      <c r="R905" s="22"/>
      <c r="S905" s="22"/>
      <c r="T905" s="22"/>
      <c r="U905" s="22"/>
      <c r="V905" s="22"/>
      <c r="W905" s="22"/>
      <c r="X905" s="22"/>
    </row>
    <row r="906" spans="17:24" x14ac:dyDescent="0.25">
      <c r="Q906" s="22"/>
      <c r="R906" s="22"/>
      <c r="S906" s="22"/>
      <c r="T906" s="22"/>
      <c r="U906" s="22"/>
      <c r="V906" s="22"/>
      <c r="W906" s="22"/>
      <c r="X906" s="22"/>
    </row>
    <row r="907" spans="17:24" x14ac:dyDescent="0.25">
      <c r="Q907" s="22"/>
      <c r="R907" s="22"/>
      <c r="S907" s="22"/>
      <c r="T907" s="22"/>
      <c r="U907" s="22"/>
      <c r="V907" s="22"/>
      <c r="W907" s="22"/>
      <c r="X907" s="22"/>
    </row>
    <row r="908" spans="17:24" x14ac:dyDescent="0.25">
      <c r="Q908" s="22"/>
      <c r="R908" s="22"/>
      <c r="S908" s="22"/>
      <c r="T908" s="22"/>
      <c r="U908" s="22"/>
      <c r="V908" s="22"/>
      <c r="W908" s="22"/>
      <c r="X908" s="22"/>
    </row>
    <row r="909" spans="17:24" x14ac:dyDescent="0.25">
      <c r="Q909" s="22"/>
      <c r="R909" s="22"/>
      <c r="S909" s="22"/>
      <c r="T909" s="22"/>
      <c r="U909" s="22"/>
      <c r="V909" s="22"/>
      <c r="W909" s="22"/>
      <c r="X909" s="22"/>
    </row>
    <row r="910" spans="17:24" x14ac:dyDescent="0.25">
      <c r="Q910" s="22"/>
      <c r="R910" s="22"/>
      <c r="S910" s="22"/>
      <c r="T910" s="22"/>
      <c r="U910" s="22"/>
      <c r="V910" s="22"/>
      <c r="W910" s="22"/>
      <c r="X910" s="22"/>
    </row>
    <row r="911" spans="17:24" x14ac:dyDescent="0.25">
      <c r="Q911" s="22"/>
      <c r="R911" s="22"/>
      <c r="S911" s="22"/>
      <c r="T911" s="22"/>
      <c r="U911" s="22"/>
      <c r="V911" s="22"/>
      <c r="W911" s="22"/>
      <c r="X911" s="22"/>
    </row>
    <row r="912" spans="17:24" x14ac:dyDescent="0.25">
      <c r="Q912" s="22"/>
      <c r="R912" s="22"/>
      <c r="S912" s="22"/>
      <c r="T912" s="22"/>
      <c r="U912" s="22"/>
      <c r="V912" s="22"/>
      <c r="W912" s="22"/>
      <c r="X912" s="22"/>
    </row>
    <row r="913" spans="17:24" x14ac:dyDescent="0.25">
      <c r="Q913" s="22"/>
      <c r="R913" s="22"/>
      <c r="S913" s="22"/>
      <c r="T913" s="22"/>
      <c r="U913" s="22"/>
      <c r="V913" s="22"/>
      <c r="W913" s="22"/>
      <c r="X913" s="22"/>
    </row>
    <row r="914" spans="17:24" x14ac:dyDescent="0.25">
      <c r="Q914" s="22"/>
      <c r="R914" s="22"/>
      <c r="S914" s="22"/>
      <c r="T914" s="22"/>
      <c r="U914" s="22"/>
      <c r="V914" s="22"/>
      <c r="W914" s="22"/>
      <c r="X914" s="22"/>
    </row>
    <row r="915" spans="17:24" x14ac:dyDescent="0.25">
      <c r="Q915" s="22"/>
      <c r="R915" s="22"/>
      <c r="S915" s="22"/>
      <c r="T915" s="22"/>
      <c r="U915" s="22"/>
      <c r="V915" s="22"/>
      <c r="W915" s="22"/>
      <c r="X915" s="22"/>
    </row>
    <row r="916" spans="17:24" x14ac:dyDescent="0.25">
      <c r="Q916" s="22"/>
      <c r="R916" s="22"/>
      <c r="S916" s="22"/>
      <c r="T916" s="22"/>
      <c r="U916" s="22"/>
      <c r="V916" s="22"/>
      <c r="W916" s="22"/>
      <c r="X916" s="22"/>
    </row>
    <row r="917" spans="17:24" x14ac:dyDescent="0.25">
      <c r="Q917" s="22"/>
      <c r="R917" s="22"/>
      <c r="S917" s="22"/>
      <c r="T917" s="22"/>
      <c r="U917" s="22"/>
      <c r="V917" s="22"/>
      <c r="W917" s="22"/>
      <c r="X917" s="22"/>
    </row>
    <row r="918" spans="17:24" x14ac:dyDescent="0.25">
      <c r="Q918" s="22"/>
      <c r="R918" s="22"/>
      <c r="S918" s="22"/>
      <c r="T918" s="22"/>
      <c r="U918" s="22"/>
      <c r="V918" s="22"/>
      <c r="W918" s="22"/>
      <c r="X918" s="22"/>
    </row>
    <row r="919" spans="17:24" x14ac:dyDescent="0.25">
      <c r="Q919" s="22"/>
      <c r="R919" s="22"/>
      <c r="S919" s="22"/>
      <c r="T919" s="22"/>
      <c r="U919" s="22"/>
      <c r="V919" s="22"/>
      <c r="W919" s="22"/>
      <c r="X919" s="22"/>
    </row>
    <row r="920" spans="17:24" x14ac:dyDescent="0.25">
      <c r="Q920" s="22"/>
      <c r="R920" s="22"/>
      <c r="S920" s="22"/>
      <c r="T920" s="22"/>
      <c r="U920" s="22"/>
      <c r="V920" s="22"/>
      <c r="W920" s="22"/>
      <c r="X920" s="22"/>
    </row>
    <row r="921" spans="17:24" x14ac:dyDescent="0.25">
      <c r="Q921" s="22"/>
      <c r="R921" s="22"/>
      <c r="S921" s="22"/>
      <c r="T921" s="22"/>
      <c r="U921" s="22"/>
      <c r="V921" s="22"/>
      <c r="W921" s="22"/>
      <c r="X921" s="22"/>
    </row>
    <row r="922" spans="17:24" x14ac:dyDescent="0.25">
      <c r="Q922" s="22"/>
      <c r="R922" s="22"/>
      <c r="S922" s="22"/>
      <c r="T922" s="22"/>
      <c r="U922" s="22"/>
      <c r="V922" s="22"/>
      <c r="W922" s="22"/>
      <c r="X922" s="22"/>
    </row>
    <row r="923" spans="17:24" x14ac:dyDescent="0.25">
      <c r="Q923" s="22"/>
      <c r="R923" s="22"/>
      <c r="S923" s="22"/>
      <c r="T923" s="22"/>
      <c r="U923" s="22"/>
      <c r="V923" s="22"/>
      <c r="W923" s="22"/>
      <c r="X923" s="22"/>
    </row>
    <row r="924" spans="17:24" x14ac:dyDescent="0.25">
      <c r="Q924" s="22"/>
      <c r="R924" s="22"/>
      <c r="S924" s="22"/>
      <c r="T924" s="22"/>
      <c r="U924" s="22"/>
      <c r="V924" s="22"/>
      <c r="W924" s="22"/>
      <c r="X924" s="22"/>
    </row>
    <row r="925" spans="17:24" x14ac:dyDescent="0.25">
      <c r="Q925" s="22"/>
      <c r="R925" s="22"/>
      <c r="S925" s="22"/>
      <c r="T925" s="22"/>
      <c r="U925" s="22"/>
      <c r="V925" s="22"/>
      <c r="W925" s="22"/>
      <c r="X925" s="22"/>
    </row>
    <row r="926" spans="17:24" x14ac:dyDescent="0.25">
      <c r="Q926" s="22"/>
      <c r="R926" s="22"/>
      <c r="S926" s="22"/>
      <c r="T926" s="22"/>
      <c r="U926" s="22"/>
      <c r="V926" s="22"/>
      <c r="W926" s="22"/>
      <c r="X926" s="22"/>
    </row>
    <row r="927" spans="17:24" x14ac:dyDescent="0.25">
      <c r="Q927" s="22"/>
      <c r="R927" s="22"/>
      <c r="S927" s="22"/>
      <c r="T927" s="22"/>
      <c r="U927" s="22"/>
      <c r="V927" s="22"/>
      <c r="W927" s="22"/>
      <c r="X927" s="22"/>
    </row>
    <row r="928" spans="17:24" x14ac:dyDescent="0.25">
      <c r="Q928" s="22"/>
      <c r="R928" s="22"/>
      <c r="S928" s="22"/>
      <c r="T928" s="22"/>
      <c r="U928" s="22"/>
      <c r="V928" s="22"/>
      <c r="W928" s="22"/>
      <c r="X928" s="22"/>
    </row>
    <row r="929" spans="17:24" x14ac:dyDescent="0.25">
      <c r="Q929" s="22"/>
      <c r="R929" s="22"/>
      <c r="S929" s="22"/>
      <c r="T929" s="22"/>
      <c r="U929" s="22"/>
      <c r="V929" s="22"/>
      <c r="W929" s="22"/>
      <c r="X929" s="22"/>
    </row>
    <row r="930" spans="17:24" x14ac:dyDescent="0.25">
      <c r="Q930" s="22"/>
      <c r="R930" s="22"/>
      <c r="S930" s="22"/>
      <c r="T930" s="22"/>
      <c r="U930" s="22"/>
      <c r="V930" s="22"/>
      <c r="W930" s="22"/>
      <c r="X930" s="22"/>
    </row>
    <row r="931" spans="17:24" x14ac:dyDescent="0.25">
      <c r="Q931" s="22"/>
      <c r="R931" s="22"/>
      <c r="S931" s="22"/>
      <c r="T931" s="22"/>
      <c r="U931" s="22"/>
      <c r="V931" s="22"/>
      <c r="W931" s="22"/>
      <c r="X931" s="22"/>
    </row>
    <row r="932" spans="17:24" x14ac:dyDescent="0.25">
      <c r="Q932" s="22"/>
      <c r="R932" s="22"/>
      <c r="S932" s="22"/>
      <c r="T932" s="22"/>
      <c r="U932" s="22"/>
      <c r="V932" s="22"/>
      <c r="W932" s="22"/>
      <c r="X932" s="22"/>
    </row>
    <row r="933" spans="17:24" x14ac:dyDescent="0.25">
      <c r="Q933" s="22"/>
      <c r="R933" s="22"/>
      <c r="S933" s="22"/>
      <c r="T933" s="22"/>
      <c r="U933" s="22"/>
      <c r="V933" s="22"/>
      <c r="W933" s="22"/>
      <c r="X933" s="22"/>
    </row>
    <row r="934" spans="17:24" x14ac:dyDescent="0.25">
      <c r="Q934" s="22"/>
      <c r="R934" s="22"/>
      <c r="S934" s="22"/>
      <c r="T934" s="22"/>
      <c r="U934" s="22"/>
      <c r="V934" s="22"/>
      <c r="W934" s="22"/>
      <c r="X934" s="22"/>
    </row>
    <row r="935" spans="17:24" x14ac:dyDescent="0.25">
      <c r="Q935" s="22"/>
      <c r="R935" s="22"/>
      <c r="S935" s="22"/>
      <c r="T935" s="22"/>
      <c r="U935" s="22"/>
      <c r="V935" s="22"/>
      <c r="W935" s="22"/>
      <c r="X935" s="22"/>
    </row>
    <row r="936" spans="17:24" x14ac:dyDescent="0.25">
      <c r="Q936" s="22"/>
      <c r="R936" s="22"/>
      <c r="S936" s="22"/>
      <c r="T936" s="22"/>
      <c r="U936" s="22"/>
      <c r="V936" s="22"/>
      <c r="W936" s="22"/>
      <c r="X936" s="22"/>
    </row>
    <row r="937" spans="17:24" x14ac:dyDescent="0.25">
      <c r="Q937" s="22"/>
      <c r="R937" s="22"/>
      <c r="S937" s="22"/>
      <c r="T937" s="22"/>
      <c r="U937" s="22"/>
      <c r="V937" s="22"/>
      <c r="W937" s="22"/>
      <c r="X937" s="22"/>
    </row>
    <row r="938" spans="17:24" x14ac:dyDescent="0.25">
      <c r="Q938" s="22"/>
      <c r="R938" s="22"/>
      <c r="S938" s="22"/>
      <c r="T938" s="22"/>
      <c r="U938" s="22"/>
      <c r="V938" s="22"/>
      <c r="W938" s="22"/>
      <c r="X938" s="22"/>
    </row>
    <row r="939" spans="17:24" x14ac:dyDescent="0.25">
      <c r="Q939" s="22"/>
      <c r="R939" s="22"/>
      <c r="S939" s="22"/>
      <c r="T939" s="22"/>
      <c r="U939" s="22"/>
      <c r="V939" s="22"/>
      <c r="W939" s="22"/>
      <c r="X939" s="22"/>
    </row>
    <row r="940" spans="17:24" x14ac:dyDescent="0.25">
      <c r="Q940" s="22"/>
      <c r="R940" s="22"/>
      <c r="S940" s="22"/>
      <c r="T940" s="22"/>
      <c r="U940" s="22"/>
      <c r="V940" s="22"/>
      <c r="W940" s="22"/>
      <c r="X940" s="22"/>
    </row>
    <row r="941" spans="17:24" x14ac:dyDescent="0.25">
      <c r="Q941" s="22"/>
      <c r="R941" s="22"/>
      <c r="S941" s="22"/>
      <c r="T941" s="22"/>
      <c r="U941" s="22"/>
      <c r="V941" s="22"/>
      <c r="W941" s="22"/>
      <c r="X941" s="22"/>
    </row>
    <row r="942" spans="17:24" x14ac:dyDescent="0.25">
      <c r="Q942" s="22"/>
      <c r="R942" s="22"/>
      <c r="S942" s="22"/>
      <c r="T942" s="22"/>
      <c r="U942" s="22"/>
      <c r="V942" s="22"/>
      <c r="W942" s="22"/>
      <c r="X942" s="22"/>
    </row>
    <row r="943" spans="17:24" x14ac:dyDescent="0.25">
      <c r="Q943" s="22"/>
      <c r="R943" s="22"/>
      <c r="S943" s="22"/>
      <c r="T943" s="22"/>
      <c r="U943" s="22"/>
      <c r="V943" s="22"/>
      <c r="W943" s="22"/>
      <c r="X943" s="22"/>
    </row>
    <row r="944" spans="17:24" x14ac:dyDescent="0.25">
      <c r="Q944" s="22"/>
      <c r="R944" s="22"/>
      <c r="S944" s="22"/>
      <c r="T944" s="22"/>
      <c r="U944" s="22"/>
      <c r="V944" s="22"/>
      <c r="W944" s="22"/>
      <c r="X944" s="22"/>
    </row>
    <row r="945" spans="17:24" x14ac:dyDescent="0.25">
      <c r="Q945" s="22"/>
      <c r="R945" s="22"/>
      <c r="S945" s="22"/>
      <c r="T945" s="22"/>
      <c r="U945" s="22"/>
      <c r="V945" s="22"/>
      <c r="W945" s="22"/>
      <c r="X945" s="22"/>
    </row>
    <row r="946" spans="17:24" x14ac:dyDescent="0.25">
      <c r="Q946" s="22"/>
      <c r="R946" s="22"/>
      <c r="S946" s="22"/>
      <c r="T946" s="22"/>
      <c r="U946" s="22"/>
      <c r="V946" s="22"/>
      <c r="W946" s="22"/>
      <c r="X946" s="22"/>
    </row>
    <row r="947" spans="17:24" x14ac:dyDescent="0.25">
      <c r="Q947" s="22"/>
      <c r="R947" s="22"/>
      <c r="S947" s="22"/>
      <c r="T947" s="22"/>
      <c r="U947" s="22"/>
      <c r="V947" s="22"/>
      <c r="W947" s="22"/>
      <c r="X947" s="22"/>
    </row>
    <row r="948" spans="17:24" x14ac:dyDescent="0.25">
      <c r="Q948" s="22"/>
      <c r="R948" s="22"/>
      <c r="S948" s="22"/>
      <c r="T948" s="22"/>
      <c r="U948" s="22"/>
      <c r="V948" s="22"/>
      <c r="W948" s="22"/>
      <c r="X948" s="22"/>
    </row>
    <row r="949" spans="17:24" x14ac:dyDescent="0.25">
      <c r="Q949" s="22"/>
      <c r="R949" s="22"/>
      <c r="S949" s="22"/>
      <c r="T949" s="22"/>
      <c r="U949" s="22"/>
      <c r="V949" s="22"/>
      <c r="W949" s="22"/>
      <c r="X949" s="22"/>
    </row>
    <row r="950" spans="17:24" x14ac:dyDescent="0.25">
      <c r="Q950" s="22"/>
      <c r="R950" s="22"/>
      <c r="S950" s="22"/>
      <c r="T950" s="22"/>
      <c r="U950" s="22"/>
      <c r="V950" s="22"/>
      <c r="W950" s="22"/>
      <c r="X950" s="22"/>
    </row>
    <row r="951" spans="17:24" x14ac:dyDescent="0.25">
      <c r="Q951" s="22"/>
      <c r="R951" s="22"/>
      <c r="S951" s="22"/>
      <c r="T951" s="22"/>
      <c r="U951" s="22"/>
      <c r="V951" s="22"/>
      <c r="W951" s="22"/>
      <c r="X951" s="22"/>
    </row>
    <row r="952" spans="17:24" x14ac:dyDescent="0.25">
      <c r="Q952" s="22"/>
      <c r="R952" s="22"/>
      <c r="S952" s="22"/>
      <c r="T952" s="22"/>
      <c r="U952" s="22"/>
      <c r="V952" s="22"/>
      <c r="W952" s="22"/>
      <c r="X952" s="22"/>
    </row>
    <row r="953" spans="17:24" x14ac:dyDescent="0.25">
      <c r="Q953" s="22"/>
      <c r="R953" s="22"/>
      <c r="S953" s="22"/>
      <c r="T953" s="22"/>
      <c r="U953" s="22"/>
      <c r="V953" s="22"/>
      <c r="W953" s="22"/>
      <c r="X953" s="22"/>
    </row>
    <row r="954" spans="17:24" x14ac:dyDescent="0.25">
      <c r="Q954" s="22"/>
      <c r="R954" s="22"/>
      <c r="S954" s="22"/>
      <c r="T954" s="22"/>
      <c r="U954" s="22"/>
      <c r="V954" s="22"/>
      <c r="W954" s="22"/>
      <c r="X954" s="22"/>
    </row>
    <row r="955" spans="17:24" x14ac:dyDescent="0.25">
      <c r="Q955" s="22"/>
      <c r="R955" s="22"/>
      <c r="S955" s="22"/>
      <c r="T955" s="22"/>
      <c r="U955" s="22"/>
      <c r="V955" s="22"/>
      <c r="W955" s="22"/>
      <c r="X955" s="22"/>
    </row>
    <row r="956" spans="17:24" x14ac:dyDescent="0.25">
      <c r="Q956" s="22"/>
      <c r="R956" s="22"/>
      <c r="S956" s="22"/>
      <c r="T956" s="22"/>
      <c r="U956" s="22"/>
      <c r="V956" s="22"/>
      <c r="W956" s="22"/>
      <c r="X956" s="22"/>
    </row>
    <row r="957" spans="17:24" x14ac:dyDescent="0.25">
      <c r="Q957" s="22"/>
      <c r="R957" s="22"/>
      <c r="S957" s="22"/>
      <c r="T957" s="22"/>
      <c r="U957" s="22"/>
      <c r="V957" s="22"/>
      <c r="W957" s="22"/>
      <c r="X957" s="22"/>
    </row>
    <row r="958" spans="17:24" x14ac:dyDescent="0.25">
      <c r="Q958" s="22"/>
      <c r="R958" s="22"/>
      <c r="S958" s="22"/>
      <c r="T958" s="22"/>
      <c r="U958" s="22"/>
      <c r="V958" s="22"/>
      <c r="W958" s="22"/>
      <c r="X958" s="22"/>
    </row>
    <row r="959" spans="17:24" x14ac:dyDescent="0.25">
      <c r="Q959" s="22"/>
      <c r="R959" s="22"/>
      <c r="S959" s="22"/>
      <c r="T959" s="22"/>
      <c r="U959" s="22"/>
      <c r="V959" s="22"/>
      <c r="W959" s="22"/>
      <c r="X959" s="22"/>
    </row>
    <row r="960" spans="17:24" x14ac:dyDescent="0.25">
      <c r="Q960" s="22"/>
      <c r="R960" s="22"/>
      <c r="S960" s="22"/>
      <c r="T960" s="22"/>
      <c r="U960" s="22"/>
      <c r="V960" s="22"/>
      <c r="W960" s="22"/>
      <c r="X960" s="22"/>
    </row>
    <row r="961" spans="17:24" x14ac:dyDescent="0.25">
      <c r="Q961" s="22"/>
      <c r="R961" s="22"/>
      <c r="S961" s="22"/>
      <c r="T961" s="22"/>
      <c r="U961" s="22"/>
      <c r="V961" s="22"/>
      <c r="W961" s="22"/>
      <c r="X961" s="22"/>
    </row>
    <row r="962" spans="17:24" x14ac:dyDescent="0.25">
      <c r="Q962" s="22"/>
      <c r="R962" s="22"/>
      <c r="S962" s="22"/>
      <c r="T962" s="22"/>
      <c r="U962" s="22"/>
      <c r="V962" s="22"/>
      <c r="W962" s="22"/>
      <c r="X962" s="22"/>
    </row>
    <row r="963" spans="17:24" x14ac:dyDescent="0.25">
      <c r="Q963" s="22"/>
      <c r="R963" s="22"/>
      <c r="S963" s="22"/>
      <c r="T963" s="22"/>
      <c r="U963" s="22"/>
      <c r="V963" s="22"/>
      <c r="W963" s="22"/>
      <c r="X963" s="22"/>
    </row>
    <row r="964" spans="17:24" x14ac:dyDescent="0.25">
      <c r="Q964" s="22"/>
      <c r="R964" s="22"/>
      <c r="S964" s="22"/>
      <c r="T964" s="22"/>
      <c r="U964" s="22"/>
      <c r="V964" s="22"/>
      <c r="W964" s="22"/>
      <c r="X964" s="22"/>
    </row>
    <row r="965" spans="17:24" x14ac:dyDescent="0.25">
      <c r="Q965" s="22"/>
      <c r="R965" s="22"/>
      <c r="S965" s="22"/>
      <c r="T965" s="22"/>
      <c r="U965" s="22"/>
      <c r="V965" s="22"/>
      <c r="W965" s="22"/>
      <c r="X965" s="22"/>
    </row>
    <row r="966" spans="17:24" x14ac:dyDescent="0.25">
      <c r="Q966" s="22"/>
      <c r="R966" s="22"/>
      <c r="S966" s="22"/>
      <c r="T966" s="22"/>
      <c r="U966" s="22"/>
      <c r="V966" s="22"/>
      <c r="W966" s="22"/>
      <c r="X966" s="22"/>
    </row>
    <row r="967" spans="17:24" x14ac:dyDescent="0.25">
      <c r="Q967" s="22"/>
      <c r="R967" s="22"/>
      <c r="S967" s="22"/>
      <c r="T967" s="22"/>
      <c r="U967" s="22"/>
      <c r="V967" s="22"/>
      <c r="W967" s="22"/>
      <c r="X967" s="22"/>
    </row>
    <row r="968" spans="17:24" x14ac:dyDescent="0.25">
      <c r="Q968" s="22"/>
      <c r="R968" s="22"/>
      <c r="S968" s="22"/>
      <c r="T968" s="22"/>
      <c r="U968" s="22"/>
      <c r="V968" s="22"/>
      <c r="W968" s="22"/>
      <c r="X968" s="22"/>
    </row>
    <row r="969" spans="17:24" x14ac:dyDescent="0.25">
      <c r="Q969" s="22"/>
      <c r="R969" s="22"/>
      <c r="S969" s="22"/>
      <c r="T969" s="22"/>
      <c r="U969" s="22"/>
      <c r="V969" s="22"/>
      <c r="W969" s="22"/>
      <c r="X969" s="22"/>
    </row>
    <row r="970" spans="17:24" x14ac:dyDescent="0.25">
      <c r="Q970" s="22"/>
      <c r="R970" s="22"/>
      <c r="S970" s="22"/>
      <c r="T970" s="22"/>
      <c r="U970" s="22"/>
      <c r="V970" s="22"/>
      <c r="W970" s="22"/>
      <c r="X970" s="22"/>
    </row>
    <row r="971" spans="17:24" x14ac:dyDescent="0.25">
      <c r="Q971" s="22"/>
      <c r="R971" s="22"/>
      <c r="S971" s="22"/>
      <c r="T971" s="22"/>
      <c r="U971" s="22"/>
      <c r="V971" s="22"/>
      <c r="W971" s="22"/>
      <c r="X971" s="22"/>
    </row>
    <row r="972" spans="17:24" x14ac:dyDescent="0.25">
      <c r="Q972" s="22"/>
      <c r="R972" s="22"/>
      <c r="S972" s="22"/>
      <c r="T972" s="22"/>
      <c r="U972" s="22"/>
      <c r="V972" s="22"/>
      <c r="W972" s="22"/>
      <c r="X972" s="22"/>
    </row>
    <row r="973" spans="17:24" x14ac:dyDescent="0.25">
      <c r="Q973" s="22"/>
      <c r="R973" s="22"/>
      <c r="S973" s="22"/>
      <c r="T973" s="22"/>
      <c r="U973" s="22"/>
      <c r="V973" s="22"/>
      <c r="W973" s="22"/>
      <c r="X973" s="22"/>
    </row>
    <row r="974" spans="17:24" x14ac:dyDescent="0.25">
      <c r="Q974" s="22"/>
      <c r="R974" s="22"/>
      <c r="S974" s="22"/>
      <c r="T974" s="22"/>
      <c r="U974" s="22"/>
      <c r="V974" s="22"/>
      <c r="W974" s="22"/>
      <c r="X974" s="22"/>
    </row>
    <row r="975" spans="17:24" x14ac:dyDescent="0.25">
      <c r="Q975" s="22"/>
      <c r="R975" s="22"/>
      <c r="S975" s="22"/>
      <c r="T975" s="22"/>
      <c r="U975" s="22"/>
      <c r="V975" s="22"/>
      <c r="W975" s="22"/>
      <c r="X975" s="22"/>
    </row>
    <row r="976" spans="17:24" x14ac:dyDescent="0.25">
      <c r="Q976" s="22"/>
      <c r="R976" s="22"/>
      <c r="S976" s="22"/>
      <c r="T976" s="22"/>
      <c r="U976" s="22"/>
      <c r="V976" s="22"/>
      <c r="W976" s="22"/>
      <c r="X976" s="22"/>
    </row>
    <row r="977" spans="17:24" x14ac:dyDescent="0.25">
      <c r="Q977" s="22"/>
      <c r="R977" s="22"/>
      <c r="S977" s="22"/>
      <c r="T977" s="22"/>
      <c r="U977" s="22"/>
      <c r="V977" s="22"/>
      <c r="W977" s="22"/>
      <c r="X977" s="22"/>
    </row>
    <row r="978" spans="17:24" x14ac:dyDescent="0.25">
      <c r="Q978" s="22"/>
      <c r="R978" s="22"/>
      <c r="S978" s="22"/>
      <c r="T978" s="22"/>
      <c r="U978" s="22"/>
      <c r="V978" s="22"/>
      <c r="W978" s="22"/>
      <c r="X978" s="22"/>
    </row>
    <row r="979" spans="17:24" x14ac:dyDescent="0.25">
      <c r="Q979" s="22"/>
      <c r="R979" s="22"/>
      <c r="S979" s="22"/>
      <c r="T979" s="22"/>
      <c r="U979" s="22"/>
      <c r="V979" s="22"/>
      <c r="W979" s="22"/>
      <c r="X979" s="22"/>
    </row>
    <row r="980" spans="17:24" x14ac:dyDescent="0.25">
      <c r="Q980" s="22"/>
      <c r="R980" s="22"/>
      <c r="S980" s="22"/>
      <c r="T980" s="22"/>
      <c r="U980" s="22"/>
      <c r="V980" s="22"/>
      <c r="W980" s="22"/>
      <c r="X980" s="22"/>
    </row>
    <row r="981" spans="17:24" x14ac:dyDescent="0.25">
      <c r="Q981" s="22"/>
      <c r="R981" s="22"/>
      <c r="S981" s="22"/>
      <c r="T981" s="22"/>
      <c r="U981" s="22"/>
      <c r="V981" s="22"/>
      <c r="W981" s="22"/>
      <c r="X981" s="22"/>
    </row>
    <row r="982" spans="17:24" x14ac:dyDescent="0.25">
      <c r="Q982" s="22"/>
      <c r="R982" s="22"/>
      <c r="S982" s="22"/>
      <c r="T982" s="22"/>
      <c r="U982" s="22"/>
      <c r="V982" s="22"/>
      <c r="W982" s="22"/>
      <c r="X982" s="22"/>
    </row>
    <row r="983" spans="17:24" x14ac:dyDescent="0.25">
      <c r="Q983" s="22"/>
      <c r="R983" s="22"/>
      <c r="S983" s="22"/>
      <c r="T983" s="22"/>
      <c r="U983" s="22"/>
      <c r="V983" s="22"/>
      <c r="W983" s="22"/>
      <c r="X983" s="22"/>
    </row>
    <row r="984" spans="17:24" x14ac:dyDescent="0.25">
      <c r="Q984" s="22"/>
      <c r="R984" s="22"/>
      <c r="S984" s="22"/>
      <c r="T984" s="22"/>
      <c r="U984" s="22"/>
      <c r="V984" s="22"/>
      <c r="W984" s="22"/>
      <c r="X984" s="22"/>
    </row>
    <row r="985" spans="17:24" x14ac:dyDescent="0.25">
      <c r="Q985" s="22"/>
      <c r="R985" s="22"/>
      <c r="S985" s="22"/>
      <c r="T985" s="22"/>
      <c r="U985" s="22"/>
      <c r="V985" s="22"/>
      <c r="W985" s="22"/>
      <c r="X985" s="22"/>
    </row>
    <row r="986" spans="17:24" x14ac:dyDescent="0.25">
      <c r="Q986" s="22"/>
      <c r="R986" s="22"/>
      <c r="S986" s="22"/>
      <c r="T986" s="22"/>
      <c r="U986" s="22"/>
      <c r="V986" s="22"/>
      <c r="W986" s="22"/>
      <c r="X986" s="22"/>
    </row>
    <row r="987" spans="17:24" x14ac:dyDescent="0.25">
      <c r="Q987" s="22"/>
      <c r="R987" s="22"/>
      <c r="S987" s="22"/>
      <c r="T987" s="22"/>
      <c r="U987" s="22"/>
      <c r="V987" s="22"/>
      <c r="W987" s="22"/>
      <c r="X987" s="22"/>
    </row>
    <row r="988" spans="17:24" x14ac:dyDescent="0.25">
      <c r="Q988" s="22"/>
      <c r="R988" s="22"/>
      <c r="S988" s="22"/>
      <c r="T988" s="22"/>
      <c r="U988" s="22"/>
      <c r="V988" s="22"/>
      <c r="W988" s="22"/>
      <c r="X988" s="22"/>
    </row>
    <row r="989" spans="17:24" x14ac:dyDescent="0.25">
      <c r="Q989" s="22"/>
      <c r="R989" s="22"/>
      <c r="S989" s="22"/>
      <c r="T989" s="22"/>
      <c r="U989" s="22"/>
      <c r="V989" s="22"/>
      <c r="W989" s="22"/>
      <c r="X989" s="22"/>
    </row>
    <row r="990" spans="17:24" x14ac:dyDescent="0.25">
      <c r="Q990" s="22"/>
      <c r="R990" s="22"/>
      <c r="S990" s="22"/>
      <c r="T990" s="22"/>
      <c r="U990" s="22"/>
      <c r="V990" s="22"/>
      <c r="W990" s="22"/>
      <c r="X990" s="22"/>
    </row>
    <row r="991" spans="17:24" x14ac:dyDescent="0.25">
      <c r="Q991" s="22"/>
      <c r="R991" s="22"/>
      <c r="S991" s="22"/>
      <c r="T991" s="22"/>
      <c r="U991" s="22"/>
      <c r="V991" s="22"/>
      <c r="W991" s="22"/>
      <c r="X991" s="22"/>
    </row>
    <row r="992" spans="17:24" x14ac:dyDescent="0.25">
      <c r="Q992" s="22"/>
      <c r="R992" s="22"/>
      <c r="S992" s="22"/>
      <c r="T992" s="22"/>
      <c r="U992" s="22"/>
      <c r="V992" s="22"/>
      <c r="W992" s="22"/>
      <c r="X992" s="22"/>
    </row>
    <row r="993" spans="17:24" x14ac:dyDescent="0.25">
      <c r="Q993" s="22"/>
      <c r="R993" s="22"/>
      <c r="S993" s="22"/>
      <c r="T993" s="22"/>
      <c r="U993" s="22"/>
      <c r="V993" s="22"/>
      <c r="W993" s="22"/>
      <c r="X993" s="22"/>
    </row>
    <row r="994" spans="17:24" x14ac:dyDescent="0.25">
      <c r="Q994" s="22"/>
      <c r="R994" s="22"/>
      <c r="S994" s="22"/>
      <c r="T994" s="22"/>
      <c r="U994" s="22"/>
      <c r="V994" s="22"/>
      <c r="W994" s="22"/>
      <c r="X994" s="22"/>
    </row>
    <row r="995" spans="17:24" x14ac:dyDescent="0.25">
      <c r="Q995" s="22"/>
      <c r="R995" s="22"/>
      <c r="S995" s="22"/>
      <c r="T995" s="22"/>
      <c r="U995" s="22"/>
      <c r="V995" s="22"/>
      <c r="W995" s="22"/>
      <c r="X995" s="22"/>
    </row>
    <row r="996" spans="17:24" x14ac:dyDescent="0.25">
      <c r="Q996" s="22"/>
      <c r="R996" s="22"/>
      <c r="S996" s="22"/>
      <c r="T996" s="22"/>
      <c r="U996" s="22"/>
      <c r="V996" s="22"/>
      <c r="W996" s="22"/>
      <c r="X996" s="22"/>
    </row>
    <row r="997" spans="17:24" x14ac:dyDescent="0.25">
      <c r="Q997" s="22"/>
      <c r="R997" s="22"/>
      <c r="S997" s="22"/>
      <c r="T997" s="22"/>
      <c r="U997" s="22"/>
      <c r="V997" s="22"/>
      <c r="W997" s="22"/>
      <c r="X997" s="22"/>
    </row>
    <row r="998" spans="17:24" x14ac:dyDescent="0.25">
      <c r="Q998" s="22"/>
      <c r="R998" s="22"/>
      <c r="S998" s="22"/>
      <c r="T998" s="22"/>
      <c r="U998" s="22"/>
      <c r="V998" s="22"/>
      <c r="W998" s="22"/>
      <c r="X998" s="22"/>
    </row>
    <row r="999" spans="17:24" x14ac:dyDescent="0.25">
      <c r="Q999" s="22"/>
      <c r="R999" s="22"/>
      <c r="S999" s="22"/>
      <c r="T999" s="22"/>
      <c r="U999" s="22"/>
      <c r="V999" s="22"/>
      <c r="W999" s="22"/>
      <c r="X999" s="22"/>
    </row>
    <row r="1000" spans="17:24" x14ac:dyDescent="0.25">
      <c r="Q1000" s="22"/>
      <c r="R1000" s="22"/>
      <c r="S1000" s="22"/>
      <c r="T1000" s="22"/>
      <c r="U1000" s="22"/>
      <c r="V1000" s="22"/>
      <c r="W1000" s="22"/>
      <c r="X1000" s="22"/>
    </row>
    <row r="1001" spans="17:24" x14ac:dyDescent="0.25">
      <c r="Q1001" s="22"/>
      <c r="R1001" s="22"/>
      <c r="S1001" s="22"/>
      <c r="T1001" s="22"/>
      <c r="U1001" s="22"/>
      <c r="V1001" s="22"/>
      <c r="W1001" s="22"/>
      <c r="X1001" s="22"/>
    </row>
    <row r="1002" spans="17:24" x14ac:dyDescent="0.25">
      <c r="Q1002" s="22"/>
      <c r="R1002" s="22"/>
      <c r="S1002" s="22"/>
      <c r="T1002" s="22"/>
      <c r="U1002" s="22"/>
      <c r="V1002" s="22"/>
      <c r="W1002" s="22"/>
      <c r="X1002" s="22"/>
    </row>
    <row r="1003" spans="17:24" x14ac:dyDescent="0.25">
      <c r="Q1003" s="22"/>
      <c r="R1003" s="22"/>
      <c r="S1003" s="22"/>
      <c r="T1003" s="22"/>
      <c r="U1003" s="22"/>
      <c r="V1003" s="22"/>
      <c r="W1003" s="22"/>
      <c r="X1003" s="22"/>
    </row>
    <row r="1004" spans="17:24" x14ac:dyDescent="0.25">
      <c r="Q1004" s="22"/>
      <c r="R1004" s="22"/>
      <c r="S1004" s="22"/>
      <c r="T1004" s="22"/>
      <c r="U1004" s="22"/>
      <c r="V1004" s="22"/>
      <c r="W1004" s="22"/>
      <c r="X1004" s="22"/>
    </row>
    <row r="1005" spans="17:24" x14ac:dyDescent="0.25">
      <c r="Q1005" s="22"/>
      <c r="R1005" s="22"/>
      <c r="S1005" s="22"/>
      <c r="T1005" s="22"/>
      <c r="U1005" s="22"/>
      <c r="V1005" s="22"/>
      <c r="W1005" s="22"/>
      <c r="X1005" s="22"/>
    </row>
    <row r="1006" spans="17:24" x14ac:dyDescent="0.25">
      <c r="Q1006" s="22"/>
      <c r="R1006" s="22"/>
      <c r="S1006" s="22"/>
      <c r="T1006" s="22"/>
      <c r="U1006" s="22"/>
      <c r="V1006" s="22"/>
      <c r="W1006" s="22"/>
      <c r="X1006" s="22"/>
    </row>
    <row r="1007" spans="17:24" x14ac:dyDescent="0.25">
      <c r="Q1007" s="22"/>
      <c r="R1007" s="22"/>
      <c r="S1007" s="22"/>
      <c r="T1007" s="22"/>
      <c r="U1007" s="22"/>
      <c r="V1007" s="22"/>
      <c r="W1007" s="22"/>
      <c r="X1007" s="22"/>
    </row>
    <row r="1008" spans="17:24" x14ac:dyDescent="0.25">
      <c r="Q1008" s="22"/>
      <c r="R1008" s="22"/>
      <c r="S1008" s="22"/>
      <c r="T1008" s="22"/>
      <c r="U1008" s="22"/>
      <c r="V1008" s="22"/>
      <c r="W1008" s="22"/>
      <c r="X1008" s="22"/>
    </row>
    <row r="1009" spans="17:24" x14ac:dyDescent="0.25">
      <c r="Q1009" s="22"/>
      <c r="R1009" s="22"/>
      <c r="S1009" s="22"/>
      <c r="T1009" s="22"/>
      <c r="U1009" s="22"/>
      <c r="V1009" s="22"/>
      <c r="W1009" s="22"/>
      <c r="X1009" s="22"/>
    </row>
    <row r="1010" spans="17:24" x14ac:dyDescent="0.25">
      <c r="Q1010" s="22"/>
      <c r="R1010" s="22"/>
      <c r="S1010" s="22"/>
      <c r="T1010" s="22"/>
      <c r="U1010" s="22"/>
      <c r="V1010" s="22"/>
      <c r="W1010" s="22"/>
      <c r="X1010" s="22"/>
    </row>
    <row r="1011" spans="17:24" x14ac:dyDescent="0.25">
      <c r="Q1011" s="22"/>
      <c r="R1011" s="22"/>
      <c r="S1011" s="22"/>
      <c r="T1011" s="22"/>
      <c r="U1011" s="22"/>
      <c r="V1011" s="22"/>
      <c r="W1011" s="22"/>
      <c r="X1011" s="22"/>
    </row>
    <row r="1012" spans="17:24" x14ac:dyDescent="0.25">
      <c r="Q1012" s="22"/>
      <c r="R1012" s="22"/>
      <c r="S1012" s="22"/>
      <c r="T1012" s="22"/>
      <c r="U1012" s="22"/>
      <c r="V1012" s="22"/>
      <c r="W1012" s="22"/>
      <c r="X1012" s="22"/>
    </row>
    <row r="1013" spans="17:24" x14ac:dyDescent="0.25">
      <c r="Q1013" s="22"/>
      <c r="R1013" s="22"/>
      <c r="S1013" s="22"/>
      <c r="T1013" s="22"/>
      <c r="U1013" s="22"/>
      <c r="V1013" s="22"/>
      <c r="W1013" s="22"/>
      <c r="X1013" s="22"/>
    </row>
    <row r="1014" spans="17:24" x14ac:dyDescent="0.25">
      <c r="Q1014" s="22"/>
      <c r="R1014" s="22"/>
      <c r="S1014" s="22"/>
      <c r="T1014" s="22"/>
      <c r="U1014" s="22"/>
      <c r="V1014" s="22"/>
      <c r="W1014" s="22"/>
      <c r="X1014" s="22"/>
    </row>
    <row r="1015" spans="17:24" x14ac:dyDescent="0.25">
      <c r="Q1015" s="22"/>
      <c r="R1015" s="22"/>
      <c r="S1015" s="22"/>
      <c r="T1015" s="22"/>
      <c r="U1015" s="22"/>
      <c r="V1015" s="22"/>
      <c r="W1015" s="22"/>
      <c r="X1015" s="22"/>
    </row>
    <row r="1016" spans="17:24" x14ac:dyDescent="0.25">
      <c r="Q1016" s="22"/>
      <c r="R1016" s="22"/>
      <c r="S1016" s="22"/>
      <c r="T1016" s="22"/>
      <c r="U1016" s="22"/>
      <c r="V1016" s="22"/>
      <c r="W1016" s="22"/>
      <c r="X1016" s="22"/>
    </row>
    <row r="1017" spans="17:24" x14ac:dyDescent="0.25">
      <c r="Q1017" s="22"/>
      <c r="R1017" s="22"/>
      <c r="S1017" s="22"/>
      <c r="T1017" s="22"/>
      <c r="U1017" s="22"/>
      <c r="V1017" s="22"/>
      <c r="W1017" s="22"/>
      <c r="X1017" s="22"/>
    </row>
    <row r="1018" spans="17:24" x14ac:dyDescent="0.25">
      <c r="Q1018" s="22"/>
      <c r="R1018" s="22"/>
      <c r="S1018" s="22"/>
      <c r="T1018" s="22"/>
      <c r="U1018" s="22"/>
      <c r="V1018" s="22"/>
      <c r="W1018" s="22"/>
      <c r="X1018" s="22"/>
    </row>
    <row r="1019" spans="17:24" x14ac:dyDescent="0.25">
      <c r="Q1019" s="22"/>
      <c r="R1019" s="22"/>
      <c r="S1019" s="22"/>
      <c r="T1019" s="22"/>
      <c r="U1019" s="22"/>
      <c r="V1019" s="22"/>
      <c r="W1019" s="22"/>
      <c r="X1019" s="22"/>
    </row>
    <row r="1020" spans="17:24" x14ac:dyDescent="0.25">
      <c r="Q1020" s="22"/>
      <c r="R1020" s="22"/>
      <c r="S1020" s="22"/>
      <c r="T1020" s="22"/>
      <c r="U1020" s="22"/>
      <c r="V1020" s="22"/>
      <c r="W1020" s="22"/>
      <c r="X1020" s="22"/>
    </row>
    <row r="1021" spans="17:24" x14ac:dyDescent="0.25">
      <c r="Q1021" s="22"/>
      <c r="R1021" s="22"/>
      <c r="S1021" s="22"/>
      <c r="T1021" s="22"/>
      <c r="U1021" s="22"/>
      <c r="V1021" s="22"/>
      <c r="W1021" s="22"/>
      <c r="X1021" s="22"/>
    </row>
    <row r="1022" spans="17:24" x14ac:dyDescent="0.25">
      <c r="Q1022" s="22"/>
      <c r="R1022" s="22"/>
      <c r="S1022" s="22"/>
      <c r="T1022" s="22"/>
      <c r="U1022" s="22"/>
      <c r="V1022" s="22"/>
      <c r="W1022" s="22"/>
      <c r="X1022" s="22"/>
    </row>
    <row r="1023" spans="17:24" x14ac:dyDescent="0.25">
      <c r="Q1023" s="22"/>
      <c r="R1023" s="22"/>
      <c r="S1023" s="22"/>
      <c r="T1023" s="22"/>
      <c r="U1023" s="22"/>
      <c r="V1023" s="22"/>
      <c r="W1023" s="22"/>
      <c r="X1023" s="22"/>
    </row>
    <row r="1024" spans="17:24" x14ac:dyDescent="0.25">
      <c r="Q1024" s="22"/>
      <c r="R1024" s="22"/>
      <c r="S1024" s="22"/>
      <c r="T1024" s="22"/>
      <c r="U1024" s="22"/>
      <c r="V1024" s="22"/>
      <c r="W1024" s="22"/>
      <c r="X1024" s="22"/>
    </row>
    <row r="1025" spans="17:24" x14ac:dyDescent="0.25">
      <c r="Q1025" s="22"/>
      <c r="R1025" s="22"/>
      <c r="S1025" s="22"/>
      <c r="T1025" s="22"/>
      <c r="U1025" s="22"/>
      <c r="V1025" s="22"/>
      <c r="W1025" s="22"/>
      <c r="X1025" s="22"/>
    </row>
    <row r="1026" spans="17:24" x14ac:dyDescent="0.25">
      <c r="Q1026" s="22"/>
      <c r="R1026" s="22"/>
      <c r="S1026" s="22"/>
      <c r="T1026" s="22"/>
      <c r="U1026" s="22"/>
      <c r="V1026" s="22"/>
      <c r="W1026" s="22"/>
      <c r="X1026" s="22"/>
    </row>
    <row r="1027" spans="17:24" x14ac:dyDescent="0.25">
      <c r="Q1027" s="22"/>
      <c r="R1027" s="22"/>
      <c r="S1027" s="22"/>
      <c r="T1027" s="22"/>
      <c r="U1027" s="22"/>
      <c r="V1027" s="22"/>
      <c r="W1027" s="22"/>
      <c r="X1027" s="22"/>
    </row>
    <row r="1028" spans="17:24" x14ac:dyDescent="0.25">
      <c r="Q1028" s="22"/>
      <c r="R1028" s="22"/>
      <c r="S1028" s="22"/>
      <c r="T1028" s="22"/>
      <c r="U1028" s="22"/>
      <c r="V1028" s="22"/>
      <c r="W1028" s="22"/>
      <c r="X1028" s="22"/>
    </row>
    <row r="1029" spans="17:24" x14ac:dyDescent="0.25">
      <c r="Q1029" s="22"/>
      <c r="R1029" s="22"/>
      <c r="S1029" s="22"/>
      <c r="T1029" s="22"/>
      <c r="U1029" s="22"/>
      <c r="V1029" s="22"/>
      <c r="W1029" s="22"/>
      <c r="X1029" s="22"/>
    </row>
    <row r="1030" spans="17:24" x14ac:dyDescent="0.25">
      <c r="Q1030" s="22"/>
      <c r="R1030" s="22"/>
      <c r="S1030" s="22"/>
      <c r="T1030" s="22"/>
      <c r="U1030" s="22"/>
      <c r="V1030" s="22"/>
      <c r="W1030" s="22"/>
      <c r="X1030" s="22"/>
    </row>
    <row r="1031" spans="17:24" x14ac:dyDescent="0.25">
      <c r="Q1031" s="22"/>
      <c r="R1031" s="22"/>
      <c r="S1031" s="22"/>
      <c r="T1031" s="22"/>
      <c r="U1031" s="22"/>
      <c r="V1031" s="22"/>
      <c r="W1031" s="22"/>
      <c r="X1031" s="22"/>
    </row>
    <row r="1032" spans="17:24" x14ac:dyDescent="0.25">
      <c r="Q1032" s="22"/>
      <c r="R1032" s="22"/>
      <c r="S1032" s="22"/>
      <c r="T1032" s="22"/>
      <c r="U1032" s="22"/>
      <c r="V1032" s="22"/>
      <c r="W1032" s="22"/>
      <c r="X1032" s="22"/>
    </row>
    <row r="1033" spans="17:24" x14ac:dyDescent="0.25">
      <c r="Q1033" s="22"/>
      <c r="R1033" s="22"/>
      <c r="S1033" s="22"/>
      <c r="T1033" s="22"/>
      <c r="U1033" s="22"/>
      <c r="V1033" s="22"/>
      <c r="W1033" s="22"/>
      <c r="X1033" s="22"/>
    </row>
    <row r="1034" spans="17:24" x14ac:dyDescent="0.25">
      <c r="Q1034" s="22"/>
      <c r="R1034" s="22"/>
      <c r="S1034" s="22"/>
      <c r="T1034" s="22"/>
      <c r="U1034" s="22"/>
      <c r="V1034" s="22"/>
      <c r="W1034" s="22"/>
      <c r="X1034" s="22"/>
    </row>
    <row r="1035" spans="17:24" x14ac:dyDescent="0.25">
      <c r="Q1035" s="22"/>
      <c r="R1035" s="22"/>
      <c r="S1035" s="22"/>
      <c r="T1035" s="22"/>
      <c r="U1035" s="22"/>
      <c r="V1035" s="22"/>
      <c r="W1035" s="22"/>
      <c r="X1035" s="22"/>
    </row>
    <row r="1036" spans="17:24" x14ac:dyDescent="0.25">
      <c r="Q1036" s="22"/>
      <c r="R1036" s="22"/>
      <c r="S1036" s="22"/>
      <c r="T1036" s="22"/>
      <c r="U1036" s="22"/>
      <c r="V1036" s="22"/>
      <c r="W1036" s="22"/>
      <c r="X1036" s="22"/>
    </row>
    <row r="1037" spans="17:24" x14ac:dyDescent="0.25">
      <c r="Q1037" s="22"/>
      <c r="R1037" s="22"/>
      <c r="S1037" s="22"/>
      <c r="T1037" s="22"/>
      <c r="U1037" s="22"/>
      <c r="V1037" s="22"/>
      <c r="W1037" s="22"/>
      <c r="X1037" s="22"/>
    </row>
    <row r="1038" spans="17:24" x14ac:dyDescent="0.25">
      <c r="Q1038" s="22"/>
      <c r="R1038" s="22"/>
      <c r="S1038" s="22"/>
      <c r="T1038" s="22"/>
      <c r="U1038" s="22"/>
      <c r="V1038" s="22"/>
      <c r="W1038" s="22"/>
      <c r="X1038" s="22"/>
    </row>
    <row r="1039" spans="17:24" x14ac:dyDescent="0.25">
      <c r="Q1039" s="22"/>
      <c r="R1039" s="22"/>
      <c r="S1039" s="22"/>
      <c r="T1039" s="22"/>
      <c r="U1039" s="22"/>
      <c r="V1039" s="22"/>
      <c r="W1039" s="22"/>
      <c r="X1039" s="22"/>
    </row>
    <row r="1040" spans="17:24" x14ac:dyDescent="0.25">
      <c r="Q1040" s="22"/>
      <c r="R1040" s="22"/>
      <c r="S1040" s="22"/>
      <c r="T1040" s="22"/>
      <c r="U1040" s="22"/>
      <c r="V1040" s="22"/>
      <c r="W1040" s="22"/>
      <c r="X1040" s="22"/>
    </row>
    <row r="1041" spans="17:24" x14ac:dyDescent="0.25">
      <c r="Q1041" s="22"/>
      <c r="R1041" s="22"/>
      <c r="S1041" s="22"/>
      <c r="T1041" s="22"/>
      <c r="U1041" s="22"/>
      <c r="V1041" s="22"/>
      <c r="W1041" s="22"/>
      <c r="X1041" s="22"/>
    </row>
    <row r="1042" spans="17:24" x14ac:dyDescent="0.25">
      <c r="Q1042" s="22"/>
      <c r="R1042" s="22"/>
      <c r="S1042" s="22"/>
      <c r="T1042" s="22"/>
      <c r="U1042" s="22"/>
      <c r="V1042" s="22"/>
      <c r="W1042" s="22"/>
      <c r="X1042" s="22"/>
    </row>
    <row r="1043" spans="17:24" x14ac:dyDescent="0.25">
      <c r="Q1043" s="22"/>
      <c r="R1043" s="22"/>
      <c r="S1043" s="22"/>
      <c r="T1043" s="22"/>
      <c r="U1043" s="22"/>
      <c r="V1043" s="22"/>
      <c r="W1043" s="22"/>
      <c r="X1043" s="22"/>
    </row>
    <row r="1044" spans="17:24" x14ac:dyDescent="0.25">
      <c r="Q1044" s="22"/>
      <c r="R1044" s="22"/>
      <c r="S1044" s="22"/>
      <c r="T1044" s="22"/>
      <c r="U1044" s="22"/>
      <c r="V1044" s="22"/>
      <c r="W1044" s="22"/>
      <c r="X1044" s="22"/>
    </row>
    <row r="1045" spans="17:24" x14ac:dyDescent="0.25">
      <c r="Q1045" s="22"/>
      <c r="R1045" s="22"/>
      <c r="S1045" s="22"/>
      <c r="T1045" s="22"/>
      <c r="U1045" s="22"/>
      <c r="V1045" s="22"/>
      <c r="W1045" s="22"/>
      <c r="X1045" s="22"/>
    </row>
    <row r="1046" spans="17:24" x14ac:dyDescent="0.25">
      <c r="Q1046" s="22"/>
      <c r="R1046" s="22"/>
      <c r="S1046" s="22"/>
      <c r="T1046" s="22"/>
      <c r="U1046" s="22"/>
      <c r="V1046" s="22"/>
      <c r="W1046" s="22"/>
      <c r="X1046" s="22"/>
    </row>
    <row r="1047" spans="17:24" x14ac:dyDescent="0.25">
      <c r="Q1047" s="22"/>
      <c r="R1047" s="22"/>
      <c r="S1047" s="22"/>
      <c r="T1047" s="22"/>
      <c r="U1047" s="22"/>
      <c r="V1047" s="22"/>
      <c r="W1047" s="22"/>
      <c r="X1047" s="22"/>
    </row>
    <row r="1048" spans="17:24" x14ac:dyDescent="0.25">
      <c r="Q1048" s="22"/>
      <c r="R1048" s="22"/>
      <c r="S1048" s="22"/>
      <c r="T1048" s="22"/>
      <c r="U1048" s="22"/>
      <c r="V1048" s="22"/>
      <c r="W1048" s="22"/>
      <c r="X1048" s="22"/>
    </row>
    <row r="1049" spans="17:24" x14ac:dyDescent="0.25">
      <c r="Q1049" s="22"/>
      <c r="R1049" s="22"/>
      <c r="S1049" s="22"/>
      <c r="T1049" s="22"/>
      <c r="U1049" s="22"/>
      <c r="V1049" s="22"/>
      <c r="W1049" s="22"/>
      <c r="X1049" s="22"/>
    </row>
    <row r="1050" spans="17:24" x14ac:dyDescent="0.25">
      <c r="Q1050" s="22"/>
      <c r="R1050" s="22"/>
      <c r="S1050" s="22"/>
      <c r="T1050" s="22"/>
      <c r="U1050" s="22"/>
      <c r="V1050" s="22"/>
      <c r="W1050" s="22"/>
      <c r="X1050" s="22"/>
    </row>
    <row r="1051" spans="17:24" x14ac:dyDescent="0.25">
      <c r="Q1051" s="22"/>
      <c r="R1051" s="22"/>
      <c r="S1051" s="22"/>
      <c r="T1051" s="22"/>
      <c r="U1051" s="22"/>
      <c r="V1051" s="22"/>
      <c r="W1051" s="22"/>
      <c r="X1051" s="22"/>
    </row>
    <row r="1052" spans="17:24" x14ac:dyDescent="0.25">
      <c r="Q1052" s="22"/>
      <c r="R1052" s="22"/>
      <c r="S1052" s="22"/>
      <c r="T1052" s="22"/>
      <c r="U1052" s="22"/>
      <c r="V1052" s="22"/>
      <c r="W1052" s="22"/>
      <c r="X1052" s="22"/>
    </row>
    <row r="1053" spans="17:24" x14ac:dyDescent="0.25">
      <c r="Q1053" s="22"/>
      <c r="R1053" s="22"/>
      <c r="S1053" s="22"/>
      <c r="T1053" s="22"/>
      <c r="U1053" s="22"/>
      <c r="V1053" s="22"/>
      <c r="W1053" s="22"/>
      <c r="X1053" s="22"/>
    </row>
    <row r="1054" spans="17:24" x14ac:dyDescent="0.25">
      <c r="Q1054" s="22"/>
      <c r="R1054" s="22"/>
      <c r="S1054" s="22"/>
      <c r="T1054" s="22"/>
      <c r="U1054" s="22"/>
      <c r="V1054" s="22"/>
      <c r="W1054" s="22"/>
      <c r="X1054" s="22"/>
    </row>
    <row r="1055" spans="17:24" x14ac:dyDescent="0.25">
      <c r="Q1055" s="22"/>
      <c r="R1055" s="22"/>
      <c r="S1055" s="22"/>
      <c r="T1055" s="22"/>
      <c r="U1055" s="22"/>
      <c r="V1055" s="22"/>
      <c r="W1055" s="22"/>
      <c r="X1055" s="22"/>
    </row>
    <row r="1056" spans="17:24" x14ac:dyDescent="0.25">
      <c r="Q1056" s="22"/>
      <c r="R1056" s="22"/>
      <c r="S1056" s="22"/>
      <c r="T1056" s="22"/>
      <c r="U1056" s="22"/>
      <c r="V1056" s="22"/>
      <c r="W1056" s="22"/>
      <c r="X1056" s="22"/>
    </row>
    <row r="1057" spans="17:24" x14ac:dyDescent="0.25">
      <c r="Q1057" s="22"/>
      <c r="R1057" s="22"/>
      <c r="S1057" s="22"/>
      <c r="T1057" s="22"/>
      <c r="U1057" s="22"/>
      <c r="V1057" s="22"/>
      <c r="W1057" s="22"/>
      <c r="X1057" s="22"/>
    </row>
    <row r="1058" spans="17:24" x14ac:dyDescent="0.25">
      <c r="Q1058" s="22"/>
      <c r="R1058" s="22"/>
      <c r="S1058" s="22"/>
      <c r="T1058" s="22"/>
      <c r="U1058" s="22"/>
      <c r="V1058" s="22"/>
      <c r="W1058" s="22"/>
      <c r="X1058" s="22"/>
    </row>
    <row r="1059" spans="17:24" x14ac:dyDescent="0.25">
      <c r="Q1059" s="22"/>
      <c r="R1059" s="22"/>
      <c r="S1059" s="22"/>
      <c r="T1059" s="22"/>
      <c r="U1059" s="22"/>
      <c r="V1059" s="22"/>
      <c r="W1059" s="22"/>
      <c r="X1059" s="22"/>
    </row>
    <row r="1060" spans="17:24" x14ac:dyDescent="0.25">
      <c r="Q1060" s="22"/>
      <c r="R1060" s="22"/>
      <c r="S1060" s="22"/>
      <c r="T1060" s="22"/>
      <c r="U1060" s="22"/>
      <c r="V1060" s="22"/>
      <c r="W1060" s="22"/>
      <c r="X1060" s="22"/>
    </row>
    <row r="1061" spans="17:24" x14ac:dyDescent="0.25">
      <c r="Q1061" s="22"/>
      <c r="R1061" s="22"/>
      <c r="S1061" s="22"/>
      <c r="T1061" s="22"/>
      <c r="U1061" s="22"/>
      <c r="V1061" s="22"/>
      <c r="W1061" s="22"/>
      <c r="X1061" s="22"/>
    </row>
    <row r="1062" spans="17:24" x14ac:dyDescent="0.25">
      <c r="Q1062" s="22"/>
      <c r="R1062" s="22"/>
      <c r="S1062" s="22"/>
      <c r="T1062" s="22"/>
      <c r="U1062" s="22"/>
      <c r="V1062" s="22"/>
      <c r="W1062" s="22"/>
      <c r="X1062" s="22"/>
    </row>
    <row r="1063" spans="17:24" x14ac:dyDescent="0.25">
      <c r="Q1063" s="22"/>
      <c r="R1063" s="22"/>
      <c r="S1063" s="22"/>
      <c r="T1063" s="22"/>
      <c r="U1063" s="22"/>
      <c r="V1063" s="22"/>
      <c r="W1063" s="22"/>
      <c r="X1063" s="22"/>
    </row>
    <row r="1064" spans="17:24" x14ac:dyDescent="0.25">
      <c r="Q1064" s="22"/>
      <c r="R1064" s="22"/>
      <c r="S1064" s="22"/>
      <c r="T1064" s="22"/>
      <c r="U1064" s="22"/>
      <c r="V1064" s="22"/>
      <c r="W1064" s="22"/>
      <c r="X1064" s="22"/>
    </row>
    <row r="1065" spans="17:24" x14ac:dyDescent="0.25">
      <c r="Q1065" s="22"/>
      <c r="R1065" s="22"/>
      <c r="S1065" s="22"/>
      <c r="T1065" s="22"/>
      <c r="U1065" s="22"/>
      <c r="V1065" s="22"/>
      <c r="W1065" s="22"/>
      <c r="X1065" s="22"/>
    </row>
    <row r="1066" spans="17:24" x14ac:dyDescent="0.25">
      <c r="Q1066" s="22"/>
      <c r="R1066" s="22"/>
      <c r="S1066" s="22"/>
      <c r="T1066" s="22"/>
      <c r="U1066" s="22"/>
      <c r="V1066" s="22"/>
      <c r="W1066" s="22"/>
      <c r="X1066" s="22"/>
    </row>
    <row r="1067" spans="17:24" x14ac:dyDescent="0.25">
      <c r="Q1067" s="22"/>
      <c r="R1067" s="22"/>
      <c r="S1067" s="22"/>
      <c r="T1067" s="22"/>
      <c r="U1067" s="22"/>
      <c r="V1067" s="22"/>
      <c r="W1067" s="22"/>
      <c r="X1067" s="22"/>
    </row>
    <row r="1068" spans="17:24" x14ac:dyDescent="0.25">
      <c r="Q1068" s="22"/>
      <c r="R1068" s="22"/>
      <c r="S1068" s="22"/>
      <c r="T1068" s="22"/>
      <c r="U1068" s="22"/>
      <c r="V1068" s="22"/>
      <c r="W1068" s="22"/>
      <c r="X1068" s="22"/>
    </row>
    <row r="1069" spans="17:24" x14ac:dyDescent="0.25">
      <c r="Q1069" s="22"/>
      <c r="R1069" s="22"/>
      <c r="S1069" s="22"/>
      <c r="T1069" s="22"/>
      <c r="U1069" s="22"/>
      <c r="V1069" s="22"/>
      <c r="W1069" s="22"/>
      <c r="X1069" s="22"/>
    </row>
    <row r="1070" spans="17:24" x14ac:dyDescent="0.25">
      <c r="Q1070" s="22"/>
      <c r="R1070" s="22"/>
      <c r="S1070" s="22"/>
      <c r="T1070" s="22"/>
      <c r="U1070" s="22"/>
      <c r="V1070" s="22"/>
      <c r="W1070" s="22"/>
      <c r="X1070" s="22"/>
    </row>
    <row r="1071" spans="17:24" x14ac:dyDescent="0.25">
      <c r="Q1071" s="22"/>
      <c r="R1071" s="22"/>
      <c r="S1071" s="22"/>
      <c r="T1071" s="22"/>
      <c r="U1071" s="22"/>
      <c r="V1071" s="22"/>
      <c r="W1071" s="22"/>
      <c r="X1071" s="22"/>
    </row>
    <row r="1072" spans="17:24" x14ac:dyDescent="0.25">
      <c r="Q1072" s="22"/>
      <c r="R1072" s="22"/>
      <c r="S1072" s="22"/>
      <c r="T1072" s="22"/>
      <c r="U1072" s="22"/>
      <c r="V1072" s="22"/>
      <c r="W1072" s="22"/>
      <c r="X1072" s="22"/>
    </row>
    <row r="1073" spans="17:24" x14ac:dyDescent="0.25">
      <c r="Q1073" s="22"/>
      <c r="R1073" s="22"/>
      <c r="S1073" s="22"/>
      <c r="T1073" s="22"/>
      <c r="U1073" s="22"/>
      <c r="V1073" s="22"/>
      <c r="W1073" s="22"/>
      <c r="X1073" s="22"/>
    </row>
    <row r="1074" spans="17:24" x14ac:dyDescent="0.25">
      <c r="Q1074" s="22"/>
      <c r="R1074" s="22"/>
      <c r="S1074" s="22"/>
      <c r="T1074" s="22"/>
      <c r="U1074" s="22"/>
      <c r="V1074" s="22"/>
      <c r="W1074" s="22"/>
      <c r="X1074" s="22"/>
    </row>
    <row r="1075" spans="17:24" x14ac:dyDescent="0.25">
      <c r="Q1075" s="22"/>
      <c r="R1075" s="22"/>
      <c r="S1075" s="22"/>
      <c r="T1075" s="22"/>
      <c r="U1075" s="22"/>
      <c r="V1075" s="22"/>
      <c r="W1075" s="22"/>
      <c r="X1075" s="22"/>
    </row>
    <row r="1076" spans="17:24" x14ac:dyDescent="0.25">
      <c r="Q1076" s="22"/>
      <c r="R1076" s="22"/>
      <c r="S1076" s="22"/>
      <c r="T1076" s="22"/>
      <c r="U1076" s="22"/>
      <c r="V1076" s="22"/>
      <c r="W1076" s="22"/>
      <c r="X1076" s="22"/>
    </row>
    <row r="1077" spans="17:24" x14ac:dyDescent="0.25">
      <c r="Q1077" s="22"/>
      <c r="R1077" s="22"/>
      <c r="S1077" s="22"/>
      <c r="T1077" s="22"/>
      <c r="U1077" s="22"/>
      <c r="V1077" s="22"/>
      <c r="W1077" s="22"/>
      <c r="X1077" s="22"/>
    </row>
    <row r="1078" spans="17:24" x14ac:dyDescent="0.25">
      <c r="Q1078" s="22"/>
      <c r="R1078" s="22"/>
      <c r="S1078" s="22"/>
      <c r="T1078" s="22"/>
      <c r="U1078" s="22"/>
      <c r="V1078" s="22"/>
      <c r="W1078" s="22"/>
      <c r="X1078" s="22"/>
    </row>
    <row r="1079" spans="17:24" x14ac:dyDescent="0.25">
      <c r="Q1079" s="22"/>
      <c r="R1079" s="22"/>
      <c r="S1079" s="22"/>
      <c r="T1079" s="22"/>
      <c r="U1079" s="22"/>
      <c r="V1079" s="22"/>
      <c r="W1079" s="22"/>
      <c r="X1079" s="22"/>
    </row>
    <row r="1080" spans="17:24" x14ac:dyDescent="0.25">
      <c r="Q1080" s="22"/>
      <c r="R1080" s="22"/>
      <c r="S1080" s="22"/>
      <c r="T1080" s="22"/>
      <c r="U1080" s="22"/>
      <c r="V1080" s="22"/>
      <c r="W1080" s="22"/>
      <c r="X1080" s="22"/>
    </row>
    <row r="1081" spans="17:24" x14ac:dyDescent="0.25">
      <c r="Q1081" s="22"/>
      <c r="R1081" s="22"/>
      <c r="S1081" s="22"/>
      <c r="T1081" s="22"/>
      <c r="U1081" s="22"/>
      <c r="V1081" s="22"/>
      <c r="W1081" s="22"/>
      <c r="X1081" s="22"/>
    </row>
    <row r="1082" spans="17:24" x14ac:dyDescent="0.25">
      <c r="Q1082" s="22"/>
      <c r="R1082" s="22"/>
      <c r="S1082" s="22"/>
      <c r="T1082" s="22"/>
      <c r="U1082" s="22"/>
      <c r="V1082" s="22"/>
      <c r="W1082" s="22"/>
      <c r="X1082" s="22"/>
    </row>
    <row r="1083" spans="17:24" x14ac:dyDescent="0.25">
      <c r="Q1083" s="22"/>
      <c r="R1083" s="22"/>
      <c r="S1083" s="22"/>
      <c r="T1083" s="22"/>
      <c r="U1083" s="22"/>
      <c r="V1083" s="22"/>
      <c r="W1083" s="22"/>
      <c r="X1083" s="22"/>
    </row>
    <row r="1084" spans="17:24" x14ac:dyDescent="0.25">
      <c r="Q1084" s="22"/>
      <c r="R1084" s="22"/>
      <c r="S1084" s="22"/>
      <c r="T1084" s="22"/>
      <c r="U1084" s="22"/>
      <c r="V1084" s="22"/>
      <c r="W1084" s="22"/>
      <c r="X1084" s="22"/>
    </row>
    <row r="1085" spans="17:24" x14ac:dyDescent="0.25">
      <c r="Q1085" s="22"/>
      <c r="R1085" s="22"/>
      <c r="S1085" s="22"/>
      <c r="T1085" s="22"/>
      <c r="U1085" s="22"/>
      <c r="V1085" s="22"/>
      <c r="W1085" s="22"/>
      <c r="X1085" s="22"/>
    </row>
    <row r="1086" spans="17:24" x14ac:dyDescent="0.25">
      <c r="Q1086" s="22"/>
      <c r="R1086" s="22"/>
      <c r="S1086" s="22"/>
      <c r="T1086" s="22"/>
      <c r="U1086" s="22"/>
      <c r="V1086" s="22"/>
      <c r="W1086" s="22"/>
      <c r="X1086" s="22"/>
    </row>
    <row r="1087" spans="17:24" x14ac:dyDescent="0.25">
      <c r="Q1087" s="22"/>
      <c r="R1087" s="22"/>
      <c r="S1087" s="22"/>
      <c r="T1087" s="22"/>
      <c r="U1087" s="22"/>
      <c r="V1087" s="22"/>
      <c r="W1087" s="22"/>
      <c r="X1087" s="22"/>
    </row>
    <row r="1088" spans="17:24" x14ac:dyDescent="0.25">
      <c r="Q1088" s="22"/>
      <c r="R1088" s="22"/>
      <c r="S1088" s="22"/>
      <c r="T1088" s="22"/>
      <c r="U1088" s="22"/>
      <c r="V1088" s="22"/>
      <c r="W1088" s="22"/>
      <c r="X1088" s="22"/>
    </row>
    <row r="1089" spans="17:24" x14ac:dyDescent="0.25">
      <c r="Q1089" s="22"/>
      <c r="R1089" s="22"/>
      <c r="S1089" s="22"/>
      <c r="T1089" s="22"/>
      <c r="U1089" s="22"/>
      <c r="V1089" s="22"/>
      <c r="W1089" s="22"/>
      <c r="X1089" s="22"/>
    </row>
    <row r="1090" spans="17:24" x14ac:dyDescent="0.25">
      <c r="Q1090" s="22"/>
      <c r="R1090" s="22"/>
      <c r="S1090" s="22"/>
      <c r="T1090" s="22"/>
      <c r="U1090" s="22"/>
      <c r="V1090" s="22"/>
      <c r="W1090" s="22"/>
      <c r="X1090" s="22"/>
    </row>
    <row r="1091" spans="17:24" x14ac:dyDescent="0.25">
      <c r="Q1091" s="22"/>
      <c r="R1091" s="22"/>
      <c r="S1091" s="22"/>
      <c r="T1091" s="22"/>
      <c r="U1091" s="22"/>
      <c r="V1091" s="22"/>
      <c r="W1091" s="22"/>
      <c r="X1091" s="22"/>
    </row>
    <row r="1092" spans="17:24" x14ac:dyDescent="0.25">
      <c r="Q1092" s="22"/>
      <c r="R1092" s="22"/>
      <c r="S1092" s="22"/>
      <c r="T1092" s="22"/>
      <c r="U1092" s="22"/>
      <c r="V1092" s="22"/>
      <c r="W1092" s="22"/>
      <c r="X1092" s="22"/>
    </row>
    <row r="1093" spans="17:24" x14ac:dyDescent="0.25">
      <c r="Q1093" s="22"/>
      <c r="R1093" s="22"/>
      <c r="S1093" s="22"/>
      <c r="T1093" s="22"/>
      <c r="U1093" s="22"/>
      <c r="V1093" s="22"/>
      <c r="W1093" s="22"/>
      <c r="X1093" s="22"/>
    </row>
    <row r="1094" spans="17:24" x14ac:dyDescent="0.25">
      <c r="Q1094" s="22"/>
      <c r="R1094" s="22"/>
      <c r="S1094" s="22"/>
      <c r="T1094" s="22"/>
      <c r="U1094" s="22"/>
      <c r="V1094" s="22"/>
      <c r="W1094" s="22"/>
      <c r="X1094" s="22"/>
    </row>
    <row r="1095" spans="17:24" x14ac:dyDescent="0.25">
      <c r="Q1095" s="22"/>
      <c r="R1095" s="22"/>
      <c r="S1095" s="22"/>
      <c r="T1095" s="22"/>
      <c r="U1095" s="22"/>
      <c r="V1095" s="22"/>
      <c r="W1095" s="22"/>
      <c r="X1095" s="22"/>
    </row>
    <row r="1096" spans="17:24" x14ac:dyDescent="0.25">
      <c r="Q1096" s="22"/>
      <c r="R1096" s="22"/>
      <c r="S1096" s="22"/>
      <c r="T1096" s="22"/>
      <c r="U1096" s="22"/>
      <c r="V1096" s="22"/>
      <c r="W1096" s="22"/>
      <c r="X1096" s="22"/>
    </row>
    <row r="1097" spans="17:24" x14ac:dyDescent="0.25">
      <c r="Q1097" s="22"/>
      <c r="R1097" s="22"/>
      <c r="S1097" s="22"/>
      <c r="T1097" s="22"/>
      <c r="U1097" s="22"/>
      <c r="V1097" s="22"/>
      <c r="W1097" s="22"/>
      <c r="X1097" s="22"/>
    </row>
    <row r="1098" spans="17:24" x14ac:dyDescent="0.25">
      <c r="Q1098" s="22"/>
      <c r="R1098" s="22"/>
      <c r="S1098" s="22"/>
      <c r="T1098" s="22"/>
      <c r="U1098" s="22"/>
      <c r="V1098" s="22"/>
      <c r="W1098" s="22"/>
      <c r="X1098" s="22"/>
    </row>
    <row r="1099" spans="17:24" x14ac:dyDescent="0.25">
      <c r="Q1099" s="22"/>
      <c r="R1099" s="22"/>
      <c r="S1099" s="22"/>
      <c r="T1099" s="22"/>
      <c r="U1099" s="22"/>
      <c r="V1099" s="22"/>
      <c r="W1099" s="22"/>
      <c r="X1099" s="22"/>
    </row>
    <row r="1100" spans="17:24" x14ac:dyDescent="0.25">
      <c r="Q1100" s="22"/>
      <c r="R1100" s="22"/>
      <c r="S1100" s="22"/>
      <c r="T1100" s="22"/>
      <c r="U1100" s="22"/>
      <c r="V1100" s="22"/>
      <c r="W1100" s="22"/>
      <c r="X1100" s="22"/>
    </row>
    <row r="1101" spans="17:24" x14ac:dyDescent="0.25">
      <c r="Q1101" s="22"/>
      <c r="R1101" s="22"/>
      <c r="S1101" s="22"/>
      <c r="T1101" s="22"/>
      <c r="U1101" s="22"/>
      <c r="V1101" s="22"/>
      <c r="W1101" s="22"/>
      <c r="X1101" s="22"/>
    </row>
    <row r="1102" spans="17:24" x14ac:dyDescent="0.25">
      <c r="Q1102" s="22"/>
      <c r="R1102" s="22"/>
      <c r="S1102" s="22"/>
      <c r="T1102" s="22"/>
      <c r="U1102" s="22"/>
      <c r="V1102" s="22"/>
      <c r="W1102" s="22"/>
      <c r="X1102" s="22"/>
    </row>
    <row r="1103" spans="17:24" x14ac:dyDescent="0.25">
      <c r="Q1103" s="22"/>
      <c r="R1103" s="22"/>
      <c r="S1103" s="22"/>
      <c r="T1103" s="22"/>
      <c r="U1103" s="22"/>
      <c r="V1103" s="22"/>
      <c r="W1103" s="22"/>
      <c r="X1103" s="22"/>
    </row>
    <row r="1104" spans="17:24" x14ac:dyDescent="0.25">
      <c r="Q1104" s="22"/>
      <c r="R1104" s="22"/>
      <c r="S1104" s="22"/>
      <c r="T1104" s="22"/>
      <c r="U1104" s="22"/>
      <c r="V1104" s="22"/>
      <c r="W1104" s="22"/>
      <c r="X1104" s="22"/>
    </row>
    <row r="1105" spans="17:24" x14ac:dyDescent="0.25">
      <c r="Q1105" s="22"/>
      <c r="R1105" s="22"/>
      <c r="S1105" s="22"/>
      <c r="T1105" s="22"/>
      <c r="U1105" s="22"/>
      <c r="V1105" s="22"/>
      <c r="W1105" s="22"/>
      <c r="X1105" s="22"/>
    </row>
    <row r="1106" spans="17:24" x14ac:dyDescent="0.25">
      <c r="Q1106" s="22"/>
      <c r="R1106" s="22"/>
      <c r="S1106" s="22"/>
      <c r="T1106" s="22"/>
      <c r="U1106" s="22"/>
      <c r="V1106" s="22"/>
      <c r="W1106" s="22"/>
      <c r="X1106" s="22"/>
    </row>
    <row r="1107" spans="17:24" x14ac:dyDescent="0.25">
      <c r="Q1107" s="22"/>
      <c r="R1107" s="22"/>
      <c r="S1107" s="22"/>
      <c r="T1107" s="22"/>
      <c r="U1107" s="22"/>
      <c r="V1107" s="22"/>
      <c r="W1107" s="22"/>
      <c r="X1107" s="22"/>
    </row>
    <row r="1108" spans="17:24" x14ac:dyDescent="0.25">
      <c r="Q1108" s="22"/>
      <c r="R1108" s="22"/>
      <c r="S1108" s="22"/>
      <c r="T1108" s="22"/>
      <c r="U1108" s="22"/>
      <c r="V1108" s="22"/>
      <c r="W1108" s="22"/>
      <c r="X1108" s="22"/>
    </row>
    <row r="1109" spans="17:24" x14ac:dyDescent="0.25">
      <c r="Q1109" s="22"/>
      <c r="R1109" s="22"/>
      <c r="S1109" s="22"/>
      <c r="T1109" s="22"/>
      <c r="U1109" s="22"/>
      <c r="V1109" s="22"/>
      <c r="W1109" s="22"/>
      <c r="X1109" s="22"/>
    </row>
    <row r="1110" spans="17:24" x14ac:dyDescent="0.25">
      <c r="Q1110" s="22"/>
      <c r="R1110" s="22"/>
      <c r="S1110" s="22"/>
      <c r="T1110" s="22"/>
      <c r="U1110" s="22"/>
      <c r="V1110" s="22"/>
      <c r="W1110" s="22"/>
      <c r="X1110" s="22"/>
    </row>
    <row r="1111" spans="17:24" x14ac:dyDescent="0.25">
      <c r="Q1111" s="22"/>
      <c r="R1111" s="22"/>
      <c r="S1111" s="22"/>
      <c r="T1111" s="22"/>
      <c r="U1111" s="22"/>
      <c r="V1111" s="22"/>
      <c r="W1111" s="22"/>
      <c r="X1111" s="22"/>
    </row>
    <row r="1112" spans="17:24" x14ac:dyDescent="0.25">
      <c r="Q1112" s="22"/>
      <c r="R1112" s="22"/>
      <c r="S1112" s="22"/>
      <c r="T1112" s="22"/>
      <c r="U1112" s="22"/>
      <c r="V1112" s="22"/>
      <c r="W1112" s="22"/>
      <c r="X1112" s="22"/>
    </row>
    <row r="1113" spans="17:24" x14ac:dyDescent="0.25">
      <c r="Q1113" s="22"/>
      <c r="R1113" s="22"/>
      <c r="S1113" s="22"/>
      <c r="T1113" s="22"/>
      <c r="U1113" s="22"/>
      <c r="V1113" s="22"/>
      <c r="W1113" s="22"/>
      <c r="X1113" s="22"/>
    </row>
    <row r="1114" spans="17:24" x14ac:dyDescent="0.25">
      <c r="Q1114" s="22"/>
      <c r="R1114" s="22"/>
      <c r="S1114" s="22"/>
      <c r="T1114" s="22"/>
      <c r="U1114" s="22"/>
      <c r="V1114" s="22"/>
      <c r="W1114" s="22"/>
      <c r="X1114" s="22"/>
    </row>
    <row r="1115" spans="17:24" x14ac:dyDescent="0.25">
      <c r="Q1115" s="22"/>
      <c r="R1115" s="22"/>
      <c r="S1115" s="22"/>
      <c r="T1115" s="22"/>
      <c r="U1115" s="22"/>
      <c r="V1115" s="22"/>
      <c r="W1115" s="22"/>
      <c r="X1115" s="22"/>
    </row>
    <row r="1116" spans="17:24" x14ac:dyDescent="0.25">
      <c r="Q1116" s="22"/>
      <c r="R1116" s="22"/>
      <c r="S1116" s="22"/>
      <c r="T1116" s="22"/>
      <c r="U1116" s="22"/>
      <c r="V1116" s="22"/>
      <c r="W1116" s="22"/>
      <c r="X1116" s="22"/>
    </row>
    <row r="1117" spans="17:24" x14ac:dyDescent="0.25">
      <c r="Q1117" s="22"/>
      <c r="R1117" s="22"/>
      <c r="S1117" s="22"/>
      <c r="T1117" s="22"/>
      <c r="U1117" s="22"/>
      <c r="V1117" s="22"/>
      <c r="W1117" s="22"/>
      <c r="X1117" s="22"/>
    </row>
    <row r="1118" spans="17:24" x14ac:dyDescent="0.25">
      <c r="Q1118" s="22"/>
      <c r="R1118" s="22"/>
      <c r="S1118" s="22"/>
      <c r="T1118" s="22"/>
      <c r="U1118" s="22"/>
      <c r="V1118" s="22"/>
      <c r="W1118" s="22"/>
      <c r="X1118" s="22"/>
    </row>
    <row r="1119" spans="17:24" x14ac:dyDescent="0.25">
      <c r="Q1119" s="22"/>
      <c r="R1119" s="22"/>
      <c r="S1119" s="22"/>
      <c r="T1119" s="22"/>
      <c r="U1119" s="22"/>
      <c r="V1119" s="22"/>
      <c r="W1119" s="22"/>
      <c r="X1119" s="22"/>
    </row>
    <row r="1120" spans="17:24" x14ac:dyDescent="0.25">
      <c r="Q1120" s="22"/>
      <c r="R1120" s="22"/>
      <c r="S1120" s="22"/>
      <c r="T1120" s="22"/>
      <c r="U1120" s="22"/>
      <c r="V1120" s="22"/>
      <c r="W1120" s="22"/>
      <c r="X1120" s="22"/>
    </row>
    <row r="1121" spans="17:24" x14ac:dyDescent="0.25">
      <c r="Q1121" s="22"/>
      <c r="R1121" s="22"/>
      <c r="S1121" s="22"/>
      <c r="T1121" s="22"/>
      <c r="U1121" s="22"/>
      <c r="V1121" s="22"/>
      <c r="W1121" s="22"/>
      <c r="X1121" s="22"/>
    </row>
    <row r="1122" spans="17:24" x14ac:dyDescent="0.25">
      <c r="Q1122" s="22"/>
      <c r="R1122" s="22"/>
      <c r="S1122" s="22"/>
      <c r="T1122" s="22"/>
      <c r="U1122" s="22"/>
      <c r="V1122" s="22"/>
      <c r="W1122" s="22"/>
      <c r="X1122" s="22"/>
    </row>
    <row r="1123" spans="17:24" x14ac:dyDescent="0.25">
      <c r="Q1123" s="22"/>
      <c r="R1123" s="22"/>
      <c r="S1123" s="22"/>
      <c r="T1123" s="22"/>
      <c r="U1123" s="22"/>
      <c r="V1123" s="22"/>
      <c r="W1123" s="22"/>
      <c r="X1123" s="22"/>
    </row>
    <row r="1124" spans="17:24" x14ac:dyDescent="0.25">
      <c r="Q1124" s="22"/>
      <c r="R1124" s="22"/>
      <c r="S1124" s="22"/>
      <c r="T1124" s="22"/>
      <c r="U1124" s="22"/>
      <c r="V1124" s="22"/>
      <c r="W1124" s="22"/>
      <c r="X1124" s="22"/>
    </row>
    <row r="1125" spans="17:24" x14ac:dyDescent="0.25">
      <c r="Q1125" s="22"/>
      <c r="R1125" s="22"/>
      <c r="S1125" s="22"/>
      <c r="T1125" s="22"/>
      <c r="U1125" s="22"/>
      <c r="V1125" s="22"/>
      <c r="W1125" s="22"/>
      <c r="X1125" s="22"/>
    </row>
    <row r="1126" spans="17:24" x14ac:dyDescent="0.25">
      <c r="Q1126" s="22"/>
      <c r="R1126" s="22"/>
      <c r="S1126" s="22"/>
      <c r="T1126" s="22"/>
      <c r="U1126" s="22"/>
      <c r="V1126" s="22"/>
      <c r="W1126" s="22"/>
      <c r="X1126" s="22"/>
    </row>
    <row r="1127" spans="17:24" x14ac:dyDescent="0.25">
      <c r="Q1127" s="22"/>
      <c r="R1127" s="22"/>
      <c r="S1127" s="22"/>
      <c r="T1127" s="22"/>
      <c r="U1127" s="22"/>
      <c r="V1127" s="22"/>
      <c r="W1127" s="22"/>
      <c r="X1127" s="22"/>
    </row>
    <row r="1128" spans="17:24" x14ac:dyDescent="0.25">
      <c r="Q1128" s="22"/>
      <c r="R1128" s="22"/>
      <c r="S1128" s="22"/>
      <c r="T1128" s="22"/>
      <c r="U1128" s="22"/>
      <c r="V1128" s="22"/>
      <c r="W1128" s="22"/>
      <c r="X1128" s="22"/>
    </row>
    <row r="1129" spans="17:24" x14ac:dyDescent="0.25">
      <c r="Q1129" s="22"/>
      <c r="R1129" s="22"/>
      <c r="S1129" s="22"/>
      <c r="T1129" s="22"/>
      <c r="U1129" s="22"/>
      <c r="V1129" s="22"/>
      <c r="W1129" s="22"/>
      <c r="X1129" s="22"/>
    </row>
    <row r="1130" spans="17:24" x14ac:dyDescent="0.25">
      <c r="Q1130" s="22"/>
      <c r="R1130" s="22"/>
      <c r="S1130" s="22"/>
      <c r="T1130" s="22"/>
      <c r="U1130" s="22"/>
      <c r="V1130" s="22"/>
      <c r="W1130" s="22"/>
      <c r="X1130" s="22"/>
    </row>
    <row r="1131" spans="17:24" x14ac:dyDescent="0.25">
      <c r="Q1131" s="22"/>
      <c r="R1131" s="22"/>
      <c r="S1131" s="22"/>
      <c r="T1131" s="22"/>
      <c r="U1131" s="22"/>
      <c r="V1131" s="22"/>
      <c r="W1131" s="22"/>
      <c r="X1131" s="22"/>
    </row>
    <row r="1132" spans="17:24" x14ac:dyDescent="0.25">
      <c r="Q1132" s="22"/>
      <c r="R1132" s="22"/>
      <c r="S1132" s="22"/>
      <c r="T1132" s="22"/>
      <c r="U1132" s="22"/>
      <c r="V1132" s="22"/>
      <c r="W1132" s="22"/>
      <c r="X1132" s="22"/>
    </row>
    <row r="1133" spans="17:24" x14ac:dyDescent="0.25">
      <c r="Q1133" s="22"/>
      <c r="R1133" s="22"/>
      <c r="S1133" s="22"/>
      <c r="T1133" s="22"/>
      <c r="U1133" s="22"/>
      <c r="V1133" s="22"/>
      <c r="W1133" s="22"/>
      <c r="X1133" s="22"/>
    </row>
    <row r="1134" spans="17:24" x14ac:dyDescent="0.25">
      <c r="Q1134" s="22"/>
      <c r="R1134" s="22"/>
      <c r="S1134" s="22"/>
      <c r="T1134" s="22"/>
      <c r="U1134" s="22"/>
      <c r="V1134" s="22"/>
      <c r="W1134" s="22"/>
      <c r="X1134" s="22"/>
    </row>
    <row r="1135" spans="17:24" x14ac:dyDescent="0.25">
      <c r="Q1135" s="22"/>
      <c r="R1135" s="22"/>
      <c r="S1135" s="22"/>
      <c r="T1135" s="22"/>
      <c r="U1135" s="22"/>
      <c r="V1135" s="22"/>
      <c r="W1135" s="22"/>
      <c r="X1135" s="22"/>
    </row>
    <row r="1136" spans="17:24" x14ac:dyDescent="0.25">
      <c r="Q1136" s="22"/>
      <c r="R1136" s="22"/>
      <c r="S1136" s="22"/>
      <c r="T1136" s="22"/>
      <c r="U1136" s="22"/>
      <c r="V1136" s="22"/>
      <c r="W1136" s="22"/>
      <c r="X1136" s="22"/>
    </row>
    <row r="1137" spans="17:24" x14ac:dyDescent="0.25">
      <c r="Q1137" s="22"/>
      <c r="R1137" s="22"/>
      <c r="S1137" s="22"/>
      <c r="T1137" s="22"/>
      <c r="U1137" s="22"/>
      <c r="V1137" s="22"/>
      <c r="W1137" s="22"/>
      <c r="X1137" s="22"/>
    </row>
    <row r="1138" spans="17:24" x14ac:dyDescent="0.25">
      <c r="Q1138" s="22"/>
      <c r="R1138" s="22"/>
      <c r="S1138" s="22"/>
      <c r="T1138" s="22"/>
      <c r="U1138" s="22"/>
      <c r="V1138" s="22"/>
      <c r="W1138" s="22"/>
      <c r="X1138" s="22"/>
    </row>
    <row r="1139" spans="17:24" x14ac:dyDescent="0.25">
      <c r="Q1139" s="22"/>
      <c r="R1139" s="22"/>
      <c r="S1139" s="22"/>
      <c r="T1139" s="22"/>
      <c r="U1139" s="22"/>
      <c r="V1139" s="22"/>
      <c r="W1139" s="22"/>
      <c r="X1139" s="22"/>
    </row>
    <row r="1140" spans="17:24" x14ac:dyDescent="0.25">
      <c r="Q1140" s="22"/>
      <c r="R1140" s="22"/>
      <c r="S1140" s="22"/>
      <c r="T1140" s="22"/>
      <c r="U1140" s="22"/>
      <c r="V1140" s="22"/>
      <c r="W1140" s="22"/>
      <c r="X1140" s="22"/>
    </row>
    <row r="1141" spans="17:24" x14ac:dyDescent="0.25">
      <c r="Q1141" s="22"/>
      <c r="R1141" s="22"/>
      <c r="S1141" s="22"/>
      <c r="T1141" s="22"/>
      <c r="U1141" s="22"/>
      <c r="V1141" s="22"/>
      <c r="W1141" s="22"/>
      <c r="X1141" s="22"/>
    </row>
    <row r="1142" spans="17:24" x14ac:dyDescent="0.25">
      <c r="Q1142" s="22"/>
      <c r="R1142" s="22"/>
      <c r="S1142" s="22"/>
      <c r="T1142" s="22"/>
      <c r="U1142" s="22"/>
      <c r="V1142" s="22"/>
      <c r="W1142" s="22"/>
      <c r="X1142" s="22"/>
    </row>
    <row r="1143" spans="17:24" x14ac:dyDescent="0.25">
      <c r="Q1143" s="22"/>
      <c r="R1143" s="22"/>
      <c r="S1143" s="22"/>
      <c r="T1143" s="22"/>
      <c r="U1143" s="22"/>
      <c r="V1143" s="22"/>
      <c r="W1143" s="22"/>
      <c r="X1143" s="22"/>
    </row>
    <row r="1144" spans="17:24" x14ac:dyDescent="0.25">
      <c r="Q1144" s="22"/>
      <c r="R1144" s="22"/>
      <c r="S1144" s="22"/>
      <c r="T1144" s="22"/>
      <c r="U1144" s="22"/>
      <c r="V1144" s="22"/>
      <c r="W1144" s="22"/>
      <c r="X1144" s="22"/>
    </row>
    <row r="1145" spans="17:24" x14ac:dyDescent="0.25">
      <c r="Q1145" s="22"/>
      <c r="R1145" s="22"/>
      <c r="S1145" s="22"/>
      <c r="T1145" s="22"/>
      <c r="U1145" s="22"/>
      <c r="V1145" s="22"/>
      <c r="W1145" s="22"/>
      <c r="X1145" s="22"/>
    </row>
    <row r="1146" spans="17:24" x14ac:dyDescent="0.25">
      <c r="Q1146" s="22"/>
      <c r="R1146" s="22"/>
      <c r="S1146" s="22"/>
      <c r="T1146" s="22"/>
      <c r="U1146" s="22"/>
      <c r="V1146" s="22"/>
      <c r="W1146" s="22"/>
      <c r="X1146" s="22"/>
    </row>
    <row r="1147" spans="17:24" x14ac:dyDescent="0.25">
      <c r="Q1147" s="22"/>
      <c r="R1147" s="22"/>
      <c r="S1147" s="22"/>
      <c r="T1147" s="22"/>
      <c r="U1147" s="22"/>
      <c r="V1147" s="22"/>
      <c r="W1147" s="22"/>
      <c r="X1147" s="22"/>
    </row>
    <row r="1148" spans="17:24" x14ac:dyDescent="0.25">
      <c r="Q1148" s="22"/>
      <c r="R1148" s="22"/>
      <c r="S1148" s="22"/>
      <c r="T1148" s="22"/>
      <c r="U1148" s="22"/>
      <c r="V1148" s="22"/>
      <c r="W1148" s="22"/>
      <c r="X1148" s="22"/>
    </row>
    <row r="1149" spans="17:24" x14ac:dyDescent="0.25">
      <c r="Q1149" s="22"/>
      <c r="R1149" s="22"/>
      <c r="S1149" s="22"/>
      <c r="T1149" s="22"/>
      <c r="U1149" s="22"/>
      <c r="V1149" s="22"/>
      <c r="W1149" s="22"/>
      <c r="X1149" s="22"/>
    </row>
    <row r="1150" spans="17:24" x14ac:dyDescent="0.25">
      <c r="Q1150" s="22"/>
      <c r="R1150" s="22"/>
      <c r="S1150" s="22"/>
      <c r="T1150" s="22"/>
      <c r="U1150" s="22"/>
      <c r="V1150" s="22"/>
      <c r="W1150" s="22"/>
      <c r="X1150" s="22"/>
    </row>
    <row r="1151" spans="17:24" x14ac:dyDescent="0.25">
      <c r="Q1151" s="22"/>
      <c r="R1151" s="22"/>
      <c r="S1151" s="22"/>
      <c r="T1151" s="22"/>
      <c r="U1151" s="22"/>
      <c r="V1151" s="22"/>
      <c r="W1151" s="22"/>
      <c r="X1151" s="22"/>
    </row>
    <row r="1152" spans="17:24" x14ac:dyDescent="0.25">
      <c r="Q1152" s="22"/>
      <c r="R1152" s="22"/>
      <c r="S1152" s="22"/>
      <c r="T1152" s="22"/>
      <c r="U1152" s="22"/>
      <c r="V1152" s="22"/>
      <c r="W1152" s="22"/>
      <c r="X1152" s="22"/>
    </row>
    <row r="1153" spans="17:24" x14ac:dyDescent="0.25">
      <c r="Q1153" s="22"/>
      <c r="R1153" s="22"/>
      <c r="S1153" s="22"/>
      <c r="T1153" s="22"/>
      <c r="U1153" s="22"/>
      <c r="V1153" s="22"/>
      <c r="W1153" s="22"/>
      <c r="X1153" s="22"/>
    </row>
    <row r="1154" spans="17:24" x14ac:dyDescent="0.25">
      <c r="Q1154" s="22"/>
      <c r="R1154" s="22"/>
      <c r="S1154" s="22"/>
      <c r="T1154" s="22"/>
      <c r="U1154" s="22"/>
      <c r="V1154" s="22"/>
      <c r="W1154" s="22"/>
      <c r="X1154" s="22"/>
    </row>
    <row r="1155" spans="17:24" x14ac:dyDescent="0.25">
      <c r="Q1155" s="22"/>
      <c r="R1155" s="22"/>
      <c r="S1155" s="22"/>
      <c r="T1155" s="22"/>
      <c r="U1155" s="22"/>
      <c r="V1155" s="22"/>
      <c r="W1155" s="22"/>
      <c r="X1155" s="22"/>
    </row>
    <row r="1156" spans="17:24" x14ac:dyDescent="0.25">
      <c r="Q1156" s="22"/>
      <c r="R1156" s="22"/>
      <c r="S1156" s="22"/>
      <c r="T1156" s="22"/>
      <c r="U1156" s="22"/>
      <c r="V1156" s="22"/>
      <c r="W1156" s="22"/>
      <c r="X1156" s="22"/>
    </row>
    <row r="1157" spans="17:24" x14ac:dyDescent="0.25">
      <c r="Q1157" s="22"/>
      <c r="R1157" s="22"/>
      <c r="S1157" s="22"/>
      <c r="T1157" s="22"/>
      <c r="U1157" s="22"/>
      <c r="V1157" s="22"/>
      <c r="W1157" s="22"/>
      <c r="X1157" s="22"/>
    </row>
    <row r="1158" spans="17:24" x14ac:dyDescent="0.25">
      <c r="Q1158" s="22"/>
      <c r="R1158" s="22"/>
      <c r="S1158" s="22"/>
      <c r="T1158" s="22"/>
      <c r="U1158" s="22"/>
      <c r="V1158" s="22"/>
      <c r="W1158" s="22"/>
      <c r="X1158" s="22"/>
    </row>
    <row r="1159" spans="17:24" x14ac:dyDescent="0.25">
      <c r="Q1159" s="22"/>
      <c r="R1159" s="22"/>
      <c r="S1159" s="22"/>
      <c r="T1159" s="22"/>
      <c r="U1159" s="22"/>
      <c r="V1159" s="22"/>
      <c r="W1159" s="22"/>
      <c r="X1159" s="22"/>
    </row>
    <row r="1160" spans="17:24" x14ac:dyDescent="0.25">
      <c r="Q1160" s="22"/>
      <c r="R1160" s="22"/>
      <c r="S1160" s="22"/>
      <c r="T1160" s="22"/>
      <c r="U1160" s="22"/>
      <c r="V1160" s="22"/>
      <c r="W1160" s="22"/>
      <c r="X1160" s="22"/>
    </row>
    <row r="1161" spans="17:24" x14ac:dyDescent="0.25">
      <c r="Q1161" s="22"/>
      <c r="R1161" s="22"/>
      <c r="S1161" s="22"/>
      <c r="T1161" s="22"/>
      <c r="U1161" s="22"/>
      <c r="V1161" s="22"/>
      <c r="W1161" s="22"/>
      <c r="X1161" s="22"/>
    </row>
    <row r="1162" spans="17:24" x14ac:dyDescent="0.25">
      <c r="Q1162" s="22"/>
      <c r="R1162" s="22"/>
      <c r="S1162" s="22"/>
      <c r="T1162" s="22"/>
      <c r="U1162" s="22"/>
      <c r="V1162" s="22"/>
      <c r="W1162" s="22"/>
      <c r="X1162" s="22"/>
    </row>
    <row r="1163" spans="17:24" x14ac:dyDescent="0.25">
      <c r="Q1163" s="22"/>
      <c r="R1163" s="22"/>
      <c r="S1163" s="22"/>
      <c r="T1163" s="22"/>
      <c r="U1163" s="22"/>
      <c r="V1163" s="22"/>
      <c r="W1163" s="22"/>
      <c r="X1163" s="22"/>
    </row>
    <row r="1164" spans="17:24" x14ac:dyDescent="0.25">
      <c r="Q1164" s="22"/>
      <c r="R1164" s="22"/>
      <c r="S1164" s="22"/>
      <c r="T1164" s="22"/>
      <c r="U1164" s="22"/>
      <c r="V1164" s="22"/>
      <c r="W1164" s="22"/>
      <c r="X1164" s="22"/>
    </row>
    <row r="1165" spans="17:24" x14ac:dyDescent="0.25">
      <c r="Q1165" s="22"/>
      <c r="R1165" s="22"/>
      <c r="S1165" s="22"/>
      <c r="T1165" s="22"/>
      <c r="U1165" s="22"/>
      <c r="V1165" s="22"/>
      <c r="W1165" s="22"/>
      <c r="X1165" s="22"/>
    </row>
    <row r="1166" spans="17:24" x14ac:dyDescent="0.25">
      <c r="Q1166" s="22"/>
      <c r="R1166" s="22"/>
      <c r="S1166" s="22"/>
      <c r="T1166" s="22"/>
      <c r="U1166" s="22"/>
      <c r="V1166" s="22"/>
      <c r="W1166" s="22"/>
      <c r="X1166" s="22"/>
    </row>
    <row r="1167" spans="17:24" x14ac:dyDescent="0.25">
      <c r="Q1167" s="22"/>
      <c r="R1167" s="22"/>
      <c r="S1167" s="22"/>
      <c r="T1167" s="22"/>
      <c r="U1167" s="22"/>
      <c r="V1167" s="22"/>
      <c r="W1167" s="22"/>
      <c r="X1167" s="22"/>
    </row>
    <row r="1168" spans="17:24" x14ac:dyDescent="0.25">
      <c r="Q1168" s="22"/>
      <c r="R1168" s="22"/>
      <c r="S1168" s="22"/>
      <c r="T1168" s="22"/>
      <c r="U1168" s="22"/>
      <c r="V1168" s="22"/>
      <c r="W1168" s="22"/>
      <c r="X1168" s="22"/>
    </row>
    <row r="1169" spans="17:24" x14ac:dyDescent="0.25">
      <c r="Q1169" s="22"/>
      <c r="R1169" s="22"/>
      <c r="S1169" s="22"/>
      <c r="T1169" s="22"/>
      <c r="U1169" s="22"/>
      <c r="V1169" s="22"/>
      <c r="W1169" s="22"/>
      <c r="X1169" s="22"/>
    </row>
    <row r="1170" spans="17:24" x14ac:dyDescent="0.25">
      <c r="Q1170" s="22"/>
      <c r="R1170" s="22"/>
      <c r="S1170" s="22"/>
      <c r="T1170" s="22"/>
      <c r="U1170" s="22"/>
      <c r="V1170" s="22"/>
      <c r="W1170" s="22"/>
      <c r="X1170" s="22"/>
    </row>
    <row r="1171" spans="17:24" x14ac:dyDescent="0.25">
      <c r="Q1171" s="22"/>
      <c r="R1171" s="22"/>
      <c r="S1171" s="22"/>
      <c r="T1171" s="22"/>
      <c r="U1171" s="22"/>
      <c r="V1171" s="22"/>
      <c r="W1171" s="22"/>
      <c r="X1171" s="22"/>
    </row>
    <row r="1172" spans="17:24" x14ac:dyDescent="0.25">
      <c r="Q1172" s="22"/>
      <c r="R1172" s="22"/>
      <c r="S1172" s="22"/>
      <c r="T1172" s="22"/>
      <c r="U1172" s="22"/>
      <c r="V1172" s="22"/>
      <c r="W1172" s="22"/>
      <c r="X1172" s="22"/>
    </row>
    <row r="1173" spans="17:24" x14ac:dyDescent="0.25">
      <c r="Q1173" s="22"/>
      <c r="R1173" s="22"/>
      <c r="S1173" s="22"/>
      <c r="T1173" s="22"/>
      <c r="U1173" s="22"/>
      <c r="V1173" s="22"/>
      <c r="W1173" s="22"/>
      <c r="X1173" s="22"/>
    </row>
    <row r="1174" spans="17:24" x14ac:dyDescent="0.25">
      <c r="Q1174" s="22"/>
      <c r="R1174" s="22"/>
      <c r="S1174" s="22"/>
      <c r="T1174" s="22"/>
      <c r="U1174" s="22"/>
      <c r="V1174" s="22"/>
      <c r="W1174" s="22"/>
      <c r="X1174" s="22"/>
    </row>
    <row r="1175" spans="17:24" x14ac:dyDescent="0.25">
      <c r="Q1175" s="22"/>
      <c r="R1175" s="22"/>
      <c r="S1175" s="22"/>
      <c r="T1175" s="22"/>
      <c r="U1175" s="22"/>
      <c r="V1175" s="22"/>
      <c r="W1175" s="22"/>
      <c r="X1175" s="22"/>
    </row>
    <row r="1176" spans="17:24" x14ac:dyDescent="0.25">
      <c r="Q1176" s="22"/>
      <c r="R1176" s="22"/>
      <c r="S1176" s="22"/>
      <c r="T1176" s="22"/>
      <c r="U1176" s="22"/>
      <c r="V1176" s="22"/>
      <c r="W1176" s="22"/>
      <c r="X1176" s="22"/>
    </row>
    <row r="1177" spans="17:24" x14ac:dyDescent="0.25">
      <c r="Q1177" s="22"/>
      <c r="R1177" s="22"/>
      <c r="S1177" s="22"/>
      <c r="T1177" s="22"/>
      <c r="U1177" s="22"/>
      <c r="V1177" s="22"/>
      <c r="W1177" s="22"/>
      <c r="X1177" s="22"/>
    </row>
    <row r="1178" spans="17:24" x14ac:dyDescent="0.25">
      <c r="Q1178" s="22"/>
      <c r="R1178" s="22"/>
      <c r="S1178" s="22"/>
      <c r="T1178" s="22"/>
      <c r="U1178" s="22"/>
      <c r="V1178" s="22"/>
      <c r="W1178" s="22"/>
      <c r="X1178" s="22"/>
    </row>
    <row r="1179" spans="17:24" x14ac:dyDescent="0.25">
      <c r="Q1179" s="22"/>
      <c r="R1179" s="22"/>
      <c r="S1179" s="22"/>
      <c r="T1179" s="22"/>
      <c r="U1179" s="22"/>
      <c r="V1179" s="22"/>
      <c r="W1179" s="22"/>
      <c r="X1179" s="22"/>
    </row>
    <row r="1180" spans="17:24" x14ac:dyDescent="0.25">
      <c r="Q1180" s="22"/>
      <c r="R1180" s="22"/>
      <c r="S1180" s="22"/>
      <c r="T1180" s="22"/>
      <c r="U1180" s="22"/>
      <c r="V1180" s="22"/>
      <c r="W1180" s="22"/>
      <c r="X1180" s="22"/>
    </row>
    <row r="1181" spans="17:24" x14ac:dyDescent="0.25">
      <c r="Q1181" s="22"/>
      <c r="R1181" s="22"/>
      <c r="S1181" s="22"/>
      <c r="T1181" s="22"/>
      <c r="U1181" s="22"/>
      <c r="V1181" s="22"/>
      <c r="W1181" s="22"/>
      <c r="X1181" s="22"/>
    </row>
    <row r="1182" spans="17:24" x14ac:dyDescent="0.25">
      <c r="Q1182" s="22"/>
      <c r="R1182" s="22"/>
      <c r="S1182" s="22"/>
      <c r="T1182" s="22"/>
      <c r="U1182" s="22"/>
      <c r="V1182" s="22"/>
      <c r="W1182" s="22"/>
      <c r="X1182" s="22"/>
    </row>
    <row r="1183" spans="17:24" x14ac:dyDescent="0.25">
      <c r="Q1183" s="22"/>
      <c r="R1183" s="22"/>
      <c r="S1183" s="22"/>
      <c r="T1183" s="22"/>
      <c r="U1183" s="22"/>
      <c r="V1183" s="22"/>
      <c r="W1183" s="22"/>
      <c r="X1183" s="22"/>
    </row>
    <row r="1184" spans="17:24" x14ac:dyDescent="0.25">
      <c r="Q1184" s="22"/>
      <c r="R1184" s="22"/>
      <c r="S1184" s="22"/>
      <c r="T1184" s="22"/>
      <c r="U1184" s="22"/>
      <c r="V1184" s="22"/>
      <c r="W1184" s="22"/>
      <c r="X1184" s="22"/>
    </row>
    <row r="1185" spans="17:24" x14ac:dyDescent="0.25">
      <c r="Q1185" s="22"/>
      <c r="R1185" s="22"/>
      <c r="S1185" s="22"/>
      <c r="T1185" s="22"/>
      <c r="U1185" s="22"/>
      <c r="V1185" s="22"/>
      <c r="W1185" s="22"/>
      <c r="X1185" s="22"/>
    </row>
    <row r="1186" spans="17:24" x14ac:dyDescent="0.25">
      <c r="Q1186" s="22"/>
      <c r="R1186" s="22"/>
      <c r="S1186" s="22"/>
      <c r="T1186" s="22"/>
      <c r="U1186" s="22"/>
      <c r="V1186" s="22"/>
      <c r="W1186" s="22"/>
      <c r="X1186" s="22"/>
    </row>
    <row r="1187" spans="17:24" x14ac:dyDescent="0.25">
      <c r="Q1187" s="22"/>
      <c r="R1187" s="22"/>
      <c r="S1187" s="22"/>
      <c r="T1187" s="22"/>
      <c r="U1187" s="22"/>
      <c r="V1187" s="22"/>
      <c r="W1187" s="22"/>
      <c r="X1187" s="22"/>
    </row>
    <row r="1188" spans="17:24" x14ac:dyDescent="0.25">
      <c r="Q1188" s="22"/>
      <c r="R1188" s="22"/>
      <c r="S1188" s="22"/>
      <c r="T1188" s="22"/>
      <c r="U1188" s="22"/>
      <c r="V1188" s="22"/>
      <c r="W1188" s="22"/>
      <c r="X1188" s="22"/>
    </row>
    <row r="1189" spans="17:24" x14ac:dyDescent="0.25">
      <c r="Q1189" s="22"/>
      <c r="R1189" s="22"/>
      <c r="S1189" s="22"/>
      <c r="T1189" s="22"/>
      <c r="U1189" s="22"/>
      <c r="V1189" s="22"/>
      <c r="W1189" s="22"/>
      <c r="X1189" s="22"/>
    </row>
    <row r="1190" spans="17:24" x14ac:dyDescent="0.25">
      <c r="Q1190" s="22"/>
      <c r="R1190" s="22"/>
      <c r="S1190" s="22"/>
      <c r="T1190" s="22"/>
      <c r="U1190" s="22"/>
      <c r="V1190" s="22"/>
      <c r="W1190" s="22"/>
      <c r="X1190" s="22"/>
    </row>
    <row r="1191" spans="17:24" x14ac:dyDescent="0.25">
      <c r="Q1191" s="22"/>
      <c r="R1191" s="22"/>
      <c r="S1191" s="22"/>
      <c r="T1191" s="22"/>
      <c r="U1191" s="22"/>
      <c r="V1191" s="22"/>
      <c r="W1191" s="22"/>
      <c r="X1191" s="22"/>
    </row>
    <row r="1192" spans="17:24" x14ac:dyDescent="0.25">
      <c r="Q1192" s="22"/>
      <c r="R1192" s="22"/>
      <c r="S1192" s="22"/>
      <c r="T1192" s="22"/>
      <c r="U1192" s="22"/>
      <c r="V1192" s="22"/>
      <c r="W1192" s="22"/>
      <c r="X1192" s="22"/>
    </row>
    <row r="1193" spans="17:24" x14ac:dyDescent="0.25">
      <c r="Q1193" s="22"/>
      <c r="R1193" s="22"/>
      <c r="S1193" s="22"/>
      <c r="T1193" s="22"/>
      <c r="U1193" s="22"/>
      <c r="V1193" s="22"/>
      <c r="W1193" s="22"/>
      <c r="X1193" s="22"/>
    </row>
    <row r="1194" spans="17:24" x14ac:dyDescent="0.25">
      <c r="Q1194" s="22"/>
      <c r="R1194" s="22"/>
      <c r="S1194" s="22"/>
      <c r="T1194" s="22"/>
      <c r="U1194" s="22"/>
      <c r="V1194" s="22"/>
      <c r="W1194" s="22"/>
      <c r="X1194" s="22"/>
    </row>
    <row r="1195" spans="17:24" x14ac:dyDescent="0.25">
      <c r="Q1195" s="22"/>
      <c r="R1195" s="22"/>
      <c r="S1195" s="22"/>
      <c r="T1195" s="22"/>
      <c r="U1195" s="22"/>
      <c r="V1195" s="22"/>
      <c r="W1195" s="22"/>
      <c r="X1195" s="22"/>
    </row>
    <row r="1196" spans="17:24" x14ac:dyDescent="0.25">
      <c r="Q1196" s="22"/>
      <c r="R1196" s="22"/>
      <c r="S1196" s="22"/>
      <c r="T1196" s="22"/>
      <c r="U1196" s="22"/>
      <c r="V1196" s="22"/>
      <c r="W1196" s="22"/>
      <c r="X1196" s="22"/>
    </row>
    <row r="1197" spans="17:24" x14ac:dyDescent="0.25">
      <c r="Q1197" s="22"/>
      <c r="R1197" s="22"/>
      <c r="S1197" s="22"/>
      <c r="T1197" s="22"/>
      <c r="U1197" s="22"/>
      <c r="V1197" s="22"/>
      <c r="W1197" s="22"/>
      <c r="X1197" s="22"/>
    </row>
    <row r="1198" spans="17:24" x14ac:dyDescent="0.25">
      <c r="Q1198" s="22"/>
      <c r="R1198" s="22"/>
      <c r="S1198" s="22"/>
      <c r="T1198" s="22"/>
      <c r="U1198" s="22"/>
      <c r="V1198" s="22"/>
      <c r="W1198" s="22"/>
      <c r="X1198" s="22"/>
    </row>
    <row r="1199" spans="17:24" x14ac:dyDescent="0.25">
      <c r="Q1199" s="22"/>
      <c r="R1199" s="22"/>
      <c r="S1199" s="22"/>
      <c r="T1199" s="22"/>
      <c r="U1199" s="22"/>
      <c r="V1199" s="22"/>
      <c r="W1199" s="22"/>
      <c r="X1199" s="22"/>
    </row>
    <row r="1200" spans="17:24" x14ac:dyDescent="0.25">
      <c r="Q1200" s="22"/>
      <c r="R1200" s="22"/>
      <c r="S1200" s="22"/>
      <c r="T1200" s="22"/>
      <c r="U1200" s="22"/>
      <c r="V1200" s="22"/>
      <c r="W1200" s="22"/>
      <c r="X1200" s="22"/>
    </row>
    <row r="1201" spans="17:24" x14ac:dyDescent="0.25">
      <c r="Q1201" s="22"/>
      <c r="R1201" s="22"/>
      <c r="S1201" s="22"/>
      <c r="T1201" s="22"/>
      <c r="U1201" s="22"/>
      <c r="V1201" s="22"/>
      <c r="W1201" s="22"/>
      <c r="X1201" s="22"/>
    </row>
    <row r="1202" spans="17:24" x14ac:dyDescent="0.25">
      <c r="Q1202" s="22"/>
      <c r="R1202" s="22"/>
      <c r="S1202" s="22"/>
      <c r="T1202" s="22"/>
      <c r="U1202" s="22"/>
      <c r="V1202" s="22"/>
      <c r="W1202" s="22"/>
      <c r="X1202" s="22"/>
    </row>
    <row r="1203" spans="17:24" x14ac:dyDescent="0.25">
      <c r="Q1203" s="22"/>
      <c r="R1203" s="22"/>
      <c r="S1203" s="22"/>
      <c r="T1203" s="22"/>
      <c r="U1203" s="22"/>
      <c r="V1203" s="22"/>
      <c r="W1203" s="22"/>
      <c r="X1203" s="22"/>
    </row>
    <row r="1204" spans="17:24" x14ac:dyDescent="0.25">
      <c r="Q1204" s="22"/>
      <c r="R1204" s="22"/>
      <c r="S1204" s="22"/>
      <c r="T1204" s="22"/>
      <c r="U1204" s="22"/>
      <c r="V1204" s="22"/>
      <c r="W1204" s="22"/>
      <c r="X1204" s="22"/>
    </row>
    <row r="1205" spans="17:24" x14ac:dyDescent="0.25">
      <c r="Q1205" s="22"/>
      <c r="R1205" s="22"/>
      <c r="S1205" s="22"/>
      <c r="T1205" s="22"/>
      <c r="U1205" s="22"/>
      <c r="V1205" s="22"/>
      <c r="W1205" s="22"/>
      <c r="X1205" s="22"/>
    </row>
    <row r="1206" spans="17:24" x14ac:dyDescent="0.25">
      <c r="Q1206" s="22"/>
      <c r="R1206" s="22"/>
      <c r="S1206" s="22"/>
      <c r="T1206" s="22"/>
      <c r="U1206" s="22"/>
      <c r="V1206" s="22"/>
      <c r="W1206" s="22"/>
      <c r="X1206" s="22"/>
    </row>
    <row r="1207" spans="17:24" x14ac:dyDescent="0.25">
      <c r="Q1207" s="22"/>
      <c r="R1207" s="22"/>
      <c r="S1207" s="22"/>
      <c r="T1207" s="22"/>
      <c r="U1207" s="22"/>
      <c r="V1207" s="22"/>
      <c r="W1207" s="22"/>
      <c r="X1207" s="22"/>
    </row>
    <row r="1208" spans="17:24" x14ac:dyDescent="0.25">
      <c r="Q1208" s="22"/>
      <c r="R1208" s="22"/>
      <c r="S1208" s="22"/>
      <c r="T1208" s="22"/>
      <c r="U1208" s="22"/>
      <c r="V1208" s="22"/>
      <c r="W1208" s="22"/>
      <c r="X1208" s="22"/>
    </row>
    <row r="1209" spans="17:24" x14ac:dyDescent="0.25">
      <c r="Q1209" s="22"/>
      <c r="R1209" s="22"/>
      <c r="S1209" s="22"/>
      <c r="T1209" s="22"/>
      <c r="U1209" s="22"/>
      <c r="V1209" s="22"/>
      <c r="W1209" s="22"/>
      <c r="X1209" s="22"/>
    </row>
    <row r="1210" spans="17:24" x14ac:dyDescent="0.25">
      <c r="Q1210" s="22"/>
      <c r="R1210" s="22"/>
      <c r="S1210" s="22"/>
      <c r="T1210" s="22"/>
      <c r="U1210" s="22"/>
      <c r="V1210" s="22"/>
      <c r="W1210" s="22"/>
      <c r="X1210" s="22"/>
    </row>
    <row r="1211" spans="17:24" x14ac:dyDescent="0.25">
      <c r="Q1211" s="22"/>
      <c r="R1211" s="22"/>
      <c r="S1211" s="22"/>
      <c r="T1211" s="22"/>
      <c r="U1211" s="22"/>
      <c r="V1211" s="22"/>
      <c r="W1211" s="22"/>
      <c r="X1211" s="22"/>
    </row>
    <row r="1212" spans="17:24" x14ac:dyDescent="0.25">
      <c r="Q1212" s="22"/>
      <c r="R1212" s="22"/>
      <c r="S1212" s="22"/>
      <c r="T1212" s="22"/>
      <c r="U1212" s="22"/>
      <c r="V1212" s="22"/>
      <c r="W1212" s="22"/>
      <c r="X1212" s="22"/>
    </row>
    <row r="1213" spans="17:24" x14ac:dyDescent="0.25">
      <c r="Q1213" s="22"/>
      <c r="R1213" s="22"/>
      <c r="S1213" s="22"/>
      <c r="T1213" s="22"/>
      <c r="U1213" s="22"/>
      <c r="V1213" s="22"/>
      <c r="W1213" s="22"/>
      <c r="X1213" s="22"/>
    </row>
    <row r="1214" spans="17:24" x14ac:dyDescent="0.25">
      <c r="Q1214" s="22"/>
      <c r="R1214" s="22"/>
      <c r="S1214" s="22"/>
      <c r="T1214" s="22"/>
      <c r="U1214" s="22"/>
      <c r="V1214" s="22"/>
      <c r="W1214" s="22"/>
      <c r="X1214" s="22"/>
    </row>
    <row r="1215" spans="17:24" x14ac:dyDescent="0.25">
      <c r="Q1215" s="22"/>
      <c r="R1215" s="22"/>
      <c r="S1215" s="22"/>
      <c r="T1215" s="22"/>
      <c r="U1215" s="22"/>
      <c r="V1215" s="22"/>
      <c r="W1215" s="22"/>
      <c r="X1215" s="22"/>
    </row>
    <row r="1216" spans="17:24" x14ac:dyDescent="0.25">
      <c r="Q1216" s="22"/>
      <c r="R1216" s="22"/>
      <c r="S1216" s="22"/>
      <c r="T1216" s="22"/>
      <c r="U1216" s="22"/>
      <c r="V1216" s="22"/>
      <c r="W1216" s="22"/>
      <c r="X1216" s="22"/>
    </row>
    <row r="1217" spans="17:24" x14ac:dyDescent="0.25">
      <c r="Q1217" s="22"/>
      <c r="R1217" s="22"/>
      <c r="S1217" s="22"/>
      <c r="T1217" s="22"/>
      <c r="U1217" s="22"/>
      <c r="V1217" s="22"/>
      <c r="W1217" s="22"/>
      <c r="X1217" s="22"/>
    </row>
    <row r="1218" spans="17:24" x14ac:dyDescent="0.25">
      <c r="Q1218" s="22"/>
      <c r="R1218" s="22"/>
      <c r="S1218" s="22"/>
      <c r="T1218" s="22"/>
      <c r="U1218" s="22"/>
      <c r="V1218" s="22"/>
      <c r="W1218" s="22"/>
      <c r="X1218" s="22"/>
    </row>
    <row r="1219" spans="17:24" x14ac:dyDescent="0.25">
      <c r="Q1219" s="22"/>
      <c r="R1219" s="22"/>
      <c r="S1219" s="22"/>
      <c r="T1219" s="22"/>
      <c r="U1219" s="22"/>
      <c r="V1219" s="22"/>
      <c r="W1219" s="22"/>
      <c r="X1219" s="22"/>
    </row>
    <row r="1220" spans="17:24" x14ac:dyDescent="0.25">
      <c r="Q1220" s="22"/>
      <c r="R1220" s="22"/>
      <c r="S1220" s="22"/>
      <c r="T1220" s="22"/>
      <c r="U1220" s="22"/>
      <c r="V1220" s="22"/>
      <c r="W1220" s="22"/>
      <c r="X1220" s="22"/>
    </row>
    <row r="1221" spans="17:24" x14ac:dyDescent="0.25">
      <c r="Q1221" s="22"/>
      <c r="R1221" s="22"/>
      <c r="S1221" s="22"/>
      <c r="T1221" s="22"/>
      <c r="U1221" s="22"/>
      <c r="V1221" s="22"/>
      <c r="W1221" s="22"/>
      <c r="X1221" s="22"/>
    </row>
    <row r="1222" spans="17:24" x14ac:dyDescent="0.25">
      <c r="Q1222" s="22"/>
      <c r="R1222" s="22"/>
      <c r="S1222" s="22"/>
      <c r="T1222" s="22"/>
      <c r="U1222" s="22"/>
      <c r="V1222" s="22"/>
      <c r="W1222" s="22"/>
      <c r="X1222" s="22"/>
    </row>
    <row r="1223" spans="17:24" x14ac:dyDescent="0.25">
      <c r="Q1223" s="22"/>
      <c r="R1223" s="22"/>
      <c r="S1223" s="22"/>
      <c r="T1223" s="22"/>
      <c r="U1223" s="22"/>
      <c r="V1223" s="22"/>
      <c r="W1223" s="22"/>
      <c r="X1223" s="22"/>
    </row>
    <row r="1224" spans="17:24" x14ac:dyDescent="0.25">
      <c r="Q1224" s="22"/>
      <c r="R1224" s="22"/>
      <c r="S1224" s="22"/>
      <c r="T1224" s="22"/>
      <c r="U1224" s="22"/>
      <c r="V1224" s="22"/>
      <c r="W1224" s="22"/>
      <c r="X1224" s="22"/>
    </row>
    <row r="1225" spans="17:24" x14ac:dyDescent="0.25">
      <c r="Q1225" s="22"/>
      <c r="R1225" s="22"/>
      <c r="S1225" s="22"/>
      <c r="T1225" s="22"/>
      <c r="U1225" s="22"/>
      <c r="V1225" s="22"/>
      <c r="W1225" s="22"/>
      <c r="X1225" s="22"/>
    </row>
    <row r="1226" spans="17:24" x14ac:dyDescent="0.25">
      <c r="Q1226" s="22"/>
      <c r="R1226" s="22"/>
      <c r="S1226" s="22"/>
      <c r="T1226" s="22"/>
      <c r="U1226" s="22"/>
      <c r="V1226" s="22"/>
      <c r="W1226" s="22"/>
      <c r="X1226" s="22"/>
    </row>
    <row r="1227" spans="17:24" x14ac:dyDescent="0.25">
      <c r="Q1227" s="22"/>
      <c r="R1227" s="22"/>
      <c r="S1227" s="22"/>
      <c r="T1227" s="22"/>
      <c r="U1227" s="22"/>
      <c r="V1227" s="22"/>
      <c r="W1227" s="22"/>
      <c r="X1227" s="22"/>
    </row>
    <row r="1228" spans="17:24" x14ac:dyDescent="0.25">
      <c r="Q1228" s="22"/>
      <c r="R1228" s="22"/>
      <c r="S1228" s="22"/>
      <c r="T1228" s="22"/>
      <c r="U1228" s="22"/>
      <c r="V1228" s="22"/>
      <c r="W1228" s="22"/>
      <c r="X1228" s="22"/>
    </row>
    <row r="1229" spans="17:24" x14ac:dyDescent="0.25">
      <c r="Q1229" s="22"/>
      <c r="R1229" s="22"/>
      <c r="S1229" s="22"/>
      <c r="T1229" s="22"/>
      <c r="U1229" s="22"/>
      <c r="V1229" s="22"/>
      <c r="W1229" s="22"/>
      <c r="X1229" s="22"/>
    </row>
    <row r="1230" spans="17:24" x14ac:dyDescent="0.25">
      <c r="Q1230" s="22"/>
      <c r="R1230" s="22"/>
      <c r="S1230" s="22"/>
      <c r="T1230" s="22"/>
      <c r="U1230" s="22"/>
      <c r="V1230" s="22"/>
      <c r="W1230" s="22"/>
      <c r="X1230" s="22"/>
    </row>
    <row r="1231" spans="17:24" x14ac:dyDescent="0.25">
      <c r="Q1231" s="22"/>
      <c r="R1231" s="22"/>
      <c r="S1231" s="22"/>
      <c r="T1231" s="22"/>
      <c r="U1231" s="22"/>
      <c r="V1231" s="22"/>
      <c r="W1231" s="22"/>
      <c r="X1231" s="22"/>
    </row>
    <row r="1232" spans="17:24" x14ac:dyDescent="0.25">
      <c r="Q1232" s="22"/>
      <c r="R1232" s="22"/>
      <c r="S1232" s="22"/>
      <c r="T1232" s="22"/>
      <c r="U1232" s="22"/>
      <c r="V1232" s="22"/>
      <c r="W1232" s="22"/>
      <c r="X1232" s="22"/>
    </row>
    <row r="1233" spans="17:24" x14ac:dyDescent="0.25">
      <c r="Q1233" s="22"/>
      <c r="R1233" s="22"/>
      <c r="S1233" s="22"/>
      <c r="T1233" s="22"/>
      <c r="U1233" s="22"/>
      <c r="V1233" s="22"/>
      <c r="W1233" s="22"/>
      <c r="X1233" s="22"/>
    </row>
    <row r="1234" spans="17:24" x14ac:dyDescent="0.25">
      <c r="Q1234" s="22"/>
      <c r="R1234" s="22"/>
      <c r="S1234" s="22"/>
      <c r="T1234" s="22"/>
      <c r="U1234" s="22"/>
      <c r="V1234" s="22"/>
      <c r="W1234" s="22"/>
      <c r="X1234" s="22"/>
    </row>
    <row r="1235" spans="17:24" x14ac:dyDescent="0.25">
      <c r="Q1235" s="22"/>
      <c r="R1235" s="22"/>
      <c r="S1235" s="22"/>
      <c r="T1235" s="22"/>
      <c r="U1235" s="22"/>
      <c r="V1235" s="22"/>
      <c r="W1235" s="22"/>
      <c r="X1235" s="22"/>
    </row>
    <row r="1236" spans="17:24" x14ac:dyDescent="0.25">
      <c r="Q1236" s="22"/>
      <c r="R1236" s="22"/>
      <c r="S1236" s="22"/>
      <c r="T1236" s="22"/>
      <c r="U1236" s="22"/>
      <c r="V1236" s="22"/>
      <c r="W1236" s="22"/>
      <c r="X1236" s="22"/>
    </row>
    <row r="1237" spans="17:24" x14ac:dyDescent="0.25">
      <c r="Q1237" s="22"/>
      <c r="R1237" s="22"/>
      <c r="S1237" s="22"/>
      <c r="T1237" s="22"/>
      <c r="U1237" s="22"/>
      <c r="V1237" s="22"/>
      <c r="W1237" s="22"/>
      <c r="X1237" s="22"/>
    </row>
    <row r="1238" spans="17:24" x14ac:dyDescent="0.25">
      <c r="Q1238" s="22"/>
      <c r="R1238" s="22"/>
      <c r="S1238" s="22"/>
      <c r="T1238" s="22"/>
      <c r="U1238" s="22"/>
      <c r="V1238" s="22"/>
      <c r="W1238" s="22"/>
      <c r="X1238" s="22"/>
    </row>
    <row r="1239" spans="17:24" x14ac:dyDescent="0.25">
      <c r="Q1239" s="22"/>
      <c r="R1239" s="22"/>
      <c r="S1239" s="22"/>
      <c r="T1239" s="22"/>
      <c r="U1239" s="22"/>
      <c r="V1239" s="22"/>
      <c r="W1239" s="22"/>
      <c r="X1239" s="22"/>
    </row>
    <row r="1240" spans="17:24" x14ac:dyDescent="0.25">
      <c r="Q1240" s="22"/>
      <c r="R1240" s="22"/>
      <c r="S1240" s="22"/>
      <c r="T1240" s="22"/>
      <c r="U1240" s="22"/>
      <c r="V1240" s="22"/>
      <c r="W1240" s="22"/>
      <c r="X1240" s="22"/>
    </row>
    <row r="1241" spans="17:24" x14ac:dyDescent="0.25">
      <c r="Q1241" s="22"/>
      <c r="R1241" s="22"/>
      <c r="S1241" s="22"/>
      <c r="T1241" s="22"/>
      <c r="U1241" s="22"/>
      <c r="V1241" s="22"/>
      <c r="W1241" s="22"/>
      <c r="X1241" s="22"/>
    </row>
    <row r="1242" spans="17:24" x14ac:dyDescent="0.25">
      <c r="Q1242" s="22"/>
      <c r="R1242" s="22"/>
      <c r="S1242" s="22"/>
      <c r="T1242" s="22"/>
      <c r="U1242" s="22"/>
      <c r="V1242" s="22"/>
      <c r="W1242" s="22"/>
      <c r="X1242" s="22"/>
    </row>
    <row r="1243" spans="17:24" x14ac:dyDescent="0.25">
      <c r="Q1243" s="22"/>
      <c r="R1243" s="22"/>
      <c r="S1243" s="22"/>
      <c r="T1243" s="22"/>
      <c r="U1243" s="22"/>
      <c r="V1243" s="22"/>
      <c r="W1243" s="22"/>
      <c r="X1243" s="22"/>
    </row>
    <row r="1244" spans="17:24" x14ac:dyDescent="0.25">
      <c r="Q1244" s="22"/>
      <c r="R1244" s="22"/>
      <c r="S1244" s="22"/>
      <c r="T1244" s="22"/>
      <c r="U1244" s="22"/>
      <c r="V1244" s="22"/>
      <c r="W1244" s="22"/>
      <c r="X1244" s="22"/>
    </row>
    <row r="1245" spans="17:24" x14ac:dyDescent="0.25">
      <c r="Q1245" s="22"/>
      <c r="R1245" s="22"/>
      <c r="S1245" s="22"/>
      <c r="T1245" s="22"/>
      <c r="U1245" s="22"/>
      <c r="V1245" s="22"/>
      <c r="W1245" s="22"/>
      <c r="X1245" s="22"/>
    </row>
    <row r="1246" spans="17:24" x14ac:dyDescent="0.25">
      <c r="Q1246" s="22"/>
      <c r="R1246" s="22"/>
      <c r="S1246" s="22"/>
      <c r="T1246" s="22"/>
      <c r="U1246" s="22"/>
      <c r="V1246" s="22"/>
      <c r="W1246" s="22"/>
      <c r="X1246" s="22"/>
    </row>
    <row r="1247" spans="17:24" x14ac:dyDescent="0.25">
      <c r="Q1247" s="22"/>
      <c r="R1247" s="22"/>
      <c r="S1247" s="22"/>
      <c r="T1247" s="22"/>
      <c r="U1247" s="22"/>
      <c r="V1247" s="22"/>
      <c r="W1247" s="22"/>
      <c r="X1247" s="22"/>
    </row>
    <row r="1248" spans="17:24" x14ac:dyDescent="0.25">
      <c r="Q1248" s="22"/>
      <c r="R1248" s="22"/>
      <c r="S1248" s="22"/>
      <c r="T1248" s="22"/>
      <c r="U1248" s="22"/>
      <c r="V1248" s="22"/>
      <c r="W1248" s="22"/>
      <c r="X1248" s="22"/>
    </row>
    <row r="1249" spans="17:24" x14ac:dyDescent="0.25">
      <c r="Q1249" s="22"/>
      <c r="R1249" s="22"/>
      <c r="S1249" s="22"/>
      <c r="T1249" s="22"/>
      <c r="U1249" s="22"/>
      <c r="V1249" s="22"/>
      <c r="W1249" s="22"/>
      <c r="X1249" s="22"/>
    </row>
    <row r="1250" spans="17:24" x14ac:dyDescent="0.25">
      <c r="Q1250" s="22"/>
      <c r="R1250" s="22"/>
      <c r="S1250" s="22"/>
      <c r="T1250" s="22"/>
      <c r="U1250" s="22"/>
      <c r="V1250" s="22"/>
      <c r="W1250" s="22"/>
      <c r="X1250" s="22"/>
    </row>
    <row r="1251" spans="17:24" x14ac:dyDescent="0.25">
      <c r="Q1251" s="22"/>
      <c r="R1251" s="22"/>
      <c r="S1251" s="22"/>
      <c r="T1251" s="22"/>
      <c r="U1251" s="22"/>
      <c r="V1251" s="22"/>
      <c r="W1251" s="22"/>
      <c r="X1251" s="22"/>
    </row>
    <row r="1252" spans="17:24" x14ac:dyDescent="0.25">
      <c r="Q1252" s="22"/>
      <c r="R1252" s="22"/>
      <c r="S1252" s="22"/>
      <c r="T1252" s="22"/>
      <c r="U1252" s="22"/>
      <c r="V1252" s="22"/>
      <c r="W1252" s="22"/>
      <c r="X1252" s="22"/>
    </row>
    <row r="1253" spans="17:24" x14ac:dyDescent="0.25">
      <c r="Q1253" s="22"/>
      <c r="R1253" s="22"/>
      <c r="S1253" s="22"/>
      <c r="T1253" s="22"/>
      <c r="U1253" s="22"/>
      <c r="V1253" s="22"/>
      <c r="W1253" s="22"/>
      <c r="X1253" s="22"/>
    </row>
    <row r="1254" spans="17:24" x14ac:dyDescent="0.25">
      <c r="Q1254" s="22"/>
      <c r="R1254" s="22"/>
      <c r="S1254" s="22"/>
      <c r="T1254" s="22"/>
      <c r="U1254" s="22"/>
      <c r="V1254" s="22"/>
      <c r="W1254" s="22"/>
      <c r="X1254" s="22"/>
    </row>
    <row r="1255" spans="17:24" x14ac:dyDescent="0.25">
      <c r="Q1255" s="22"/>
      <c r="R1255" s="22"/>
      <c r="S1255" s="22"/>
      <c r="T1255" s="22"/>
      <c r="U1255" s="22"/>
      <c r="V1255" s="22"/>
      <c r="W1255" s="22"/>
      <c r="X1255" s="22"/>
    </row>
    <row r="1256" spans="17:24" x14ac:dyDescent="0.25">
      <c r="Q1256" s="22"/>
      <c r="R1256" s="22"/>
      <c r="S1256" s="22"/>
      <c r="T1256" s="22"/>
      <c r="U1256" s="22"/>
      <c r="V1256" s="22"/>
      <c r="W1256" s="22"/>
      <c r="X1256" s="22"/>
    </row>
    <row r="1257" spans="17:24" x14ac:dyDescent="0.25">
      <c r="Q1257" s="22"/>
      <c r="R1257" s="22"/>
      <c r="S1257" s="22"/>
      <c r="T1257" s="22"/>
      <c r="U1257" s="22"/>
      <c r="V1257" s="22"/>
      <c r="W1257" s="22"/>
      <c r="X1257" s="22"/>
    </row>
    <row r="1258" spans="17:24" x14ac:dyDescent="0.25">
      <c r="Q1258" s="22"/>
      <c r="R1258" s="22"/>
      <c r="S1258" s="22"/>
      <c r="T1258" s="22"/>
      <c r="U1258" s="22"/>
      <c r="V1258" s="22"/>
      <c r="W1258" s="22"/>
      <c r="X1258" s="22"/>
    </row>
    <row r="1259" spans="17:24" x14ac:dyDescent="0.25">
      <c r="Q1259" s="22"/>
      <c r="R1259" s="22"/>
      <c r="S1259" s="22"/>
      <c r="T1259" s="22"/>
      <c r="U1259" s="22"/>
      <c r="V1259" s="22"/>
      <c r="W1259" s="22"/>
      <c r="X1259" s="22"/>
    </row>
    <row r="1260" spans="17:24" x14ac:dyDescent="0.25">
      <c r="Q1260" s="22"/>
      <c r="R1260" s="22"/>
      <c r="S1260" s="22"/>
      <c r="T1260" s="22"/>
      <c r="U1260" s="22"/>
      <c r="V1260" s="22"/>
      <c r="W1260" s="22"/>
      <c r="X1260" s="22"/>
    </row>
    <row r="1261" spans="17:24" x14ac:dyDescent="0.25">
      <c r="Q1261" s="22"/>
      <c r="R1261" s="22"/>
      <c r="S1261" s="22"/>
      <c r="T1261" s="22"/>
      <c r="U1261" s="22"/>
      <c r="V1261" s="22"/>
      <c r="W1261" s="22"/>
      <c r="X1261" s="22"/>
    </row>
    <row r="1262" spans="17:24" x14ac:dyDescent="0.25">
      <c r="Q1262" s="22"/>
      <c r="R1262" s="22"/>
      <c r="S1262" s="22"/>
      <c r="T1262" s="22"/>
      <c r="U1262" s="22"/>
      <c r="V1262" s="22"/>
      <c r="W1262" s="22"/>
      <c r="X1262" s="22"/>
    </row>
    <row r="1263" spans="17:24" x14ac:dyDescent="0.25">
      <c r="Q1263" s="22"/>
      <c r="R1263" s="22"/>
      <c r="S1263" s="22"/>
      <c r="T1263" s="22"/>
      <c r="U1263" s="22"/>
      <c r="V1263" s="22"/>
      <c r="W1263" s="22"/>
      <c r="X1263" s="22"/>
    </row>
    <row r="1264" spans="17:24" x14ac:dyDescent="0.25">
      <c r="Q1264" s="22"/>
      <c r="R1264" s="22"/>
      <c r="S1264" s="22"/>
      <c r="T1264" s="22"/>
      <c r="U1264" s="22"/>
      <c r="V1264" s="22"/>
      <c r="W1264" s="22"/>
      <c r="X1264" s="22"/>
    </row>
    <row r="1265" spans="17:24" x14ac:dyDescent="0.25">
      <c r="Q1265" s="22"/>
      <c r="R1265" s="22"/>
      <c r="S1265" s="22"/>
      <c r="T1265" s="22"/>
      <c r="U1265" s="22"/>
      <c r="V1265" s="22"/>
      <c r="W1265" s="22"/>
      <c r="X1265" s="22"/>
    </row>
    <row r="1266" spans="17:24" x14ac:dyDescent="0.25">
      <c r="Q1266" s="22"/>
      <c r="R1266" s="22"/>
      <c r="S1266" s="22"/>
      <c r="T1266" s="22"/>
      <c r="U1266" s="22"/>
      <c r="V1266" s="22"/>
      <c r="W1266" s="22"/>
      <c r="X1266" s="22"/>
    </row>
    <row r="1267" spans="17:24" x14ac:dyDescent="0.25">
      <c r="Q1267" s="22"/>
      <c r="R1267" s="22"/>
      <c r="S1267" s="22"/>
      <c r="T1267" s="22"/>
      <c r="U1267" s="22"/>
      <c r="V1267" s="22"/>
      <c r="W1267" s="22"/>
      <c r="X1267" s="22"/>
    </row>
    <row r="1268" spans="17:24" x14ac:dyDescent="0.25">
      <c r="Q1268" s="22"/>
      <c r="R1268" s="22"/>
      <c r="S1268" s="22"/>
      <c r="T1268" s="22"/>
      <c r="U1268" s="22"/>
      <c r="V1268" s="22"/>
      <c r="W1268" s="22"/>
      <c r="X1268" s="22"/>
    </row>
    <row r="1269" spans="17:24" x14ac:dyDescent="0.25">
      <c r="Q1269" s="22"/>
      <c r="R1269" s="22"/>
      <c r="S1269" s="22"/>
      <c r="T1269" s="22"/>
      <c r="U1269" s="22"/>
      <c r="V1269" s="22"/>
      <c r="W1269" s="22"/>
      <c r="X1269" s="22"/>
    </row>
    <row r="1270" spans="17:24" x14ac:dyDescent="0.25">
      <c r="Q1270" s="22"/>
      <c r="R1270" s="22"/>
      <c r="S1270" s="22"/>
      <c r="T1270" s="22"/>
      <c r="U1270" s="22"/>
      <c r="V1270" s="22"/>
      <c r="W1270" s="22"/>
      <c r="X1270" s="22"/>
    </row>
    <row r="1271" spans="17:24" x14ac:dyDescent="0.25">
      <c r="Q1271" s="22"/>
      <c r="R1271" s="22"/>
      <c r="S1271" s="22"/>
      <c r="T1271" s="22"/>
      <c r="U1271" s="22"/>
      <c r="V1271" s="22"/>
      <c r="W1271" s="22"/>
      <c r="X1271" s="22"/>
    </row>
    <row r="1272" spans="17:24" x14ac:dyDescent="0.25">
      <c r="Q1272" s="22"/>
      <c r="R1272" s="22"/>
      <c r="S1272" s="22"/>
      <c r="T1272" s="22"/>
      <c r="U1272" s="22"/>
      <c r="V1272" s="22"/>
      <c r="W1272" s="22"/>
      <c r="X1272" s="22"/>
    </row>
    <row r="1273" spans="17:24" x14ac:dyDescent="0.25">
      <c r="Q1273" s="22"/>
      <c r="R1273" s="22"/>
      <c r="S1273" s="22"/>
      <c r="T1273" s="22"/>
      <c r="U1273" s="22"/>
      <c r="V1273" s="22"/>
      <c r="W1273" s="22"/>
      <c r="X1273" s="22"/>
    </row>
    <row r="1274" spans="17:24" x14ac:dyDescent="0.25">
      <c r="Q1274" s="22"/>
      <c r="R1274" s="22"/>
      <c r="S1274" s="22"/>
      <c r="T1274" s="22"/>
      <c r="U1274" s="22"/>
      <c r="V1274" s="22"/>
      <c r="W1274" s="22"/>
      <c r="X1274" s="22"/>
    </row>
    <row r="1275" spans="17:24" x14ac:dyDescent="0.25">
      <c r="Q1275" s="22"/>
      <c r="R1275" s="22"/>
      <c r="S1275" s="22"/>
      <c r="T1275" s="22"/>
      <c r="U1275" s="22"/>
      <c r="V1275" s="22"/>
      <c r="W1275" s="22"/>
      <c r="X1275" s="22"/>
    </row>
    <row r="1276" spans="17:24" x14ac:dyDescent="0.25">
      <c r="Q1276" s="22"/>
      <c r="R1276" s="22"/>
      <c r="S1276" s="22"/>
      <c r="T1276" s="22"/>
      <c r="U1276" s="22"/>
      <c r="V1276" s="22"/>
      <c r="W1276" s="22"/>
      <c r="X1276" s="22"/>
    </row>
    <row r="1277" spans="17:24" x14ac:dyDescent="0.25">
      <c r="Q1277" s="22"/>
      <c r="R1277" s="22"/>
      <c r="S1277" s="22"/>
      <c r="T1277" s="22"/>
      <c r="U1277" s="22"/>
      <c r="V1277" s="22"/>
      <c r="W1277" s="22"/>
      <c r="X1277" s="22"/>
    </row>
    <row r="1278" spans="17:24" x14ac:dyDescent="0.25">
      <c r="Q1278" s="22"/>
      <c r="R1278" s="22"/>
      <c r="S1278" s="22"/>
      <c r="T1278" s="22"/>
      <c r="U1278" s="22"/>
      <c r="V1278" s="22"/>
      <c r="W1278" s="22"/>
      <c r="X1278" s="22"/>
    </row>
    <row r="1279" spans="17:24" x14ac:dyDescent="0.25">
      <c r="Q1279" s="22"/>
      <c r="R1279" s="22"/>
      <c r="S1279" s="22"/>
      <c r="T1279" s="22"/>
      <c r="U1279" s="22"/>
      <c r="V1279" s="22"/>
      <c r="W1279" s="22"/>
      <c r="X1279" s="22"/>
    </row>
    <row r="1280" spans="17:24" x14ac:dyDescent="0.25">
      <c r="Q1280" s="22"/>
      <c r="R1280" s="22"/>
      <c r="S1280" s="22"/>
      <c r="T1280" s="22"/>
      <c r="U1280" s="22"/>
      <c r="V1280" s="22"/>
      <c r="W1280" s="22"/>
      <c r="X1280" s="22"/>
    </row>
    <row r="1281" spans="17:24" x14ac:dyDescent="0.25">
      <c r="Q1281" s="22"/>
      <c r="R1281" s="22"/>
      <c r="S1281" s="22"/>
      <c r="T1281" s="22"/>
      <c r="U1281" s="22"/>
      <c r="V1281" s="22"/>
      <c r="W1281" s="22"/>
      <c r="X1281" s="22"/>
    </row>
    <row r="1282" spans="17:24" x14ac:dyDescent="0.25">
      <c r="Q1282" s="22"/>
      <c r="R1282" s="22"/>
      <c r="S1282" s="22"/>
      <c r="T1282" s="22"/>
      <c r="U1282" s="22"/>
      <c r="V1282" s="22"/>
      <c r="W1282" s="22"/>
      <c r="X1282" s="22"/>
    </row>
    <row r="1283" spans="17:24" x14ac:dyDescent="0.25">
      <c r="Q1283" s="22"/>
      <c r="R1283" s="22"/>
      <c r="S1283" s="22"/>
      <c r="T1283" s="22"/>
      <c r="U1283" s="22"/>
      <c r="V1283" s="22"/>
      <c r="W1283" s="22"/>
      <c r="X1283" s="22"/>
    </row>
    <row r="1284" spans="17:24" x14ac:dyDescent="0.25">
      <c r="Q1284" s="22"/>
      <c r="R1284" s="22"/>
      <c r="S1284" s="22"/>
      <c r="T1284" s="22"/>
      <c r="U1284" s="22"/>
      <c r="V1284" s="22"/>
      <c r="W1284" s="22"/>
      <c r="X1284" s="22"/>
    </row>
    <row r="1285" spans="17:24" x14ac:dyDescent="0.25">
      <c r="Q1285" s="22"/>
      <c r="R1285" s="22"/>
      <c r="S1285" s="22"/>
      <c r="T1285" s="22"/>
      <c r="U1285" s="22"/>
      <c r="V1285" s="22"/>
      <c r="W1285" s="22"/>
      <c r="X1285" s="22"/>
    </row>
    <row r="1286" spans="17:24" x14ac:dyDescent="0.25">
      <c r="Q1286" s="22"/>
      <c r="R1286" s="22"/>
      <c r="S1286" s="22"/>
      <c r="T1286" s="22"/>
      <c r="U1286" s="22"/>
      <c r="V1286" s="22"/>
      <c r="W1286" s="22"/>
      <c r="X1286" s="22"/>
    </row>
    <row r="1287" spans="17:24" x14ac:dyDescent="0.25">
      <c r="Q1287" s="22"/>
      <c r="R1287" s="22"/>
      <c r="S1287" s="22"/>
      <c r="T1287" s="22"/>
      <c r="U1287" s="22"/>
      <c r="V1287" s="22"/>
      <c r="W1287" s="22"/>
      <c r="X1287" s="22"/>
    </row>
    <row r="1288" spans="17:24" x14ac:dyDescent="0.25">
      <c r="Q1288" s="22"/>
      <c r="R1288" s="22"/>
      <c r="S1288" s="22"/>
      <c r="T1288" s="22"/>
      <c r="U1288" s="22"/>
      <c r="V1288" s="22"/>
      <c r="W1288" s="22"/>
      <c r="X1288" s="22"/>
    </row>
    <row r="1289" spans="17:24" x14ac:dyDescent="0.25">
      <c r="Q1289" s="22"/>
      <c r="R1289" s="22"/>
      <c r="S1289" s="22"/>
      <c r="T1289" s="22"/>
      <c r="U1289" s="22"/>
      <c r="V1289" s="22"/>
      <c r="W1289" s="22"/>
      <c r="X1289" s="22"/>
    </row>
    <row r="1290" spans="17:24" x14ac:dyDescent="0.25">
      <c r="Q1290" s="22"/>
      <c r="R1290" s="22"/>
      <c r="S1290" s="22"/>
      <c r="T1290" s="22"/>
      <c r="U1290" s="22"/>
      <c r="V1290" s="22"/>
      <c r="W1290" s="22"/>
      <c r="X1290" s="22"/>
    </row>
    <row r="1291" spans="17:24" x14ac:dyDescent="0.25">
      <c r="Q1291" s="22"/>
      <c r="R1291" s="22"/>
      <c r="S1291" s="22"/>
      <c r="T1291" s="22"/>
      <c r="U1291" s="22"/>
      <c r="V1291" s="22"/>
      <c r="W1291" s="22"/>
      <c r="X1291" s="22"/>
    </row>
    <row r="1292" spans="17:24" x14ac:dyDescent="0.25">
      <c r="Q1292" s="22"/>
      <c r="R1292" s="22"/>
      <c r="S1292" s="22"/>
      <c r="T1292" s="22"/>
      <c r="U1292" s="22"/>
      <c r="V1292" s="22"/>
      <c r="W1292" s="22"/>
      <c r="X1292" s="22"/>
    </row>
    <row r="1293" spans="17:24" x14ac:dyDescent="0.25">
      <c r="Q1293" s="22"/>
      <c r="R1293" s="22"/>
      <c r="S1293" s="22"/>
      <c r="T1293" s="22"/>
      <c r="U1293" s="22"/>
      <c r="V1293" s="22"/>
      <c r="W1293" s="22"/>
      <c r="X1293" s="22"/>
    </row>
    <row r="1294" spans="17:24" x14ac:dyDescent="0.25">
      <c r="Q1294" s="22"/>
      <c r="R1294" s="22"/>
      <c r="S1294" s="22"/>
      <c r="T1294" s="22"/>
      <c r="U1294" s="22"/>
      <c r="V1294" s="22"/>
      <c r="W1294" s="22"/>
      <c r="X1294" s="22"/>
    </row>
    <row r="1295" spans="17:24" x14ac:dyDescent="0.25">
      <c r="Q1295" s="22"/>
      <c r="R1295" s="22"/>
      <c r="S1295" s="22"/>
      <c r="T1295" s="22"/>
      <c r="U1295" s="22"/>
      <c r="V1295" s="22"/>
      <c r="W1295" s="22"/>
      <c r="X1295" s="22"/>
    </row>
    <row r="1296" spans="17:24" x14ac:dyDescent="0.25">
      <c r="Q1296" s="22"/>
      <c r="R1296" s="22"/>
      <c r="S1296" s="22"/>
      <c r="T1296" s="22"/>
      <c r="U1296" s="22"/>
      <c r="V1296" s="22"/>
      <c r="W1296" s="22"/>
      <c r="X1296" s="22"/>
    </row>
    <row r="1297" spans="17:24" x14ac:dyDescent="0.25">
      <c r="Q1297" s="22"/>
      <c r="R1297" s="22"/>
      <c r="S1297" s="22"/>
      <c r="T1297" s="22"/>
      <c r="U1297" s="22"/>
      <c r="V1297" s="22"/>
      <c r="W1297" s="22"/>
      <c r="X1297" s="22"/>
    </row>
    <row r="1298" spans="17:24" x14ac:dyDescent="0.25">
      <c r="Q1298" s="22"/>
      <c r="R1298" s="22"/>
      <c r="S1298" s="22"/>
      <c r="T1298" s="22"/>
      <c r="U1298" s="22"/>
      <c r="V1298" s="22"/>
      <c r="W1298" s="22"/>
      <c r="X1298" s="22"/>
    </row>
    <row r="1299" spans="17:24" x14ac:dyDescent="0.25">
      <c r="Q1299" s="22"/>
      <c r="R1299" s="22"/>
      <c r="S1299" s="22"/>
      <c r="T1299" s="22"/>
      <c r="U1299" s="22"/>
      <c r="V1299" s="22"/>
      <c r="W1299" s="22"/>
      <c r="X1299" s="22"/>
    </row>
    <row r="1300" spans="17:24" x14ac:dyDescent="0.25">
      <c r="Q1300" s="22"/>
      <c r="R1300" s="22"/>
      <c r="S1300" s="22"/>
      <c r="T1300" s="22"/>
      <c r="U1300" s="22"/>
      <c r="V1300" s="22"/>
      <c r="W1300" s="22"/>
      <c r="X1300" s="22"/>
    </row>
    <row r="1301" spans="17:24" x14ac:dyDescent="0.25">
      <c r="Q1301" s="22"/>
      <c r="R1301" s="22"/>
      <c r="S1301" s="22"/>
      <c r="T1301" s="22"/>
      <c r="U1301" s="22"/>
      <c r="V1301" s="22"/>
      <c r="W1301" s="22"/>
      <c r="X1301" s="22"/>
    </row>
    <row r="1302" spans="17:24" x14ac:dyDescent="0.25">
      <c r="Q1302" s="22"/>
      <c r="R1302" s="22"/>
      <c r="S1302" s="22"/>
      <c r="T1302" s="22"/>
      <c r="U1302" s="22"/>
      <c r="V1302" s="22"/>
      <c r="W1302" s="22"/>
      <c r="X1302" s="22"/>
    </row>
    <row r="1303" spans="17:24" x14ac:dyDescent="0.25">
      <c r="Q1303" s="22"/>
      <c r="R1303" s="22"/>
      <c r="S1303" s="22"/>
      <c r="T1303" s="22"/>
      <c r="U1303" s="22"/>
      <c r="V1303" s="22"/>
      <c r="W1303" s="22"/>
      <c r="X1303" s="22"/>
    </row>
    <row r="1304" spans="17:24" x14ac:dyDescent="0.25">
      <c r="Q1304" s="22"/>
      <c r="R1304" s="22"/>
      <c r="S1304" s="22"/>
      <c r="T1304" s="22"/>
      <c r="U1304" s="22"/>
      <c r="V1304" s="22"/>
      <c r="W1304" s="22"/>
      <c r="X1304" s="22"/>
    </row>
    <row r="1305" spans="17:24" x14ac:dyDescent="0.25">
      <c r="Q1305" s="22"/>
      <c r="R1305" s="22"/>
      <c r="S1305" s="22"/>
      <c r="T1305" s="22"/>
      <c r="U1305" s="22"/>
      <c r="V1305" s="22"/>
      <c r="W1305" s="22"/>
      <c r="X1305" s="22"/>
    </row>
    <row r="1306" spans="17:24" x14ac:dyDescent="0.25">
      <c r="Q1306" s="22"/>
      <c r="R1306" s="22"/>
      <c r="S1306" s="22"/>
      <c r="T1306" s="22"/>
      <c r="U1306" s="22"/>
      <c r="V1306" s="22"/>
      <c r="W1306" s="22"/>
      <c r="X1306" s="22"/>
    </row>
    <row r="1307" spans="17:24" x14ac:dyDescent="0.25">
      <c r="Q1307" s="22"/>
      <c r="R1307" s="22"/>
      <c r="S1307" s="22"/>
      <c r="T1307" s="22"/>
      <c r="U1307" s="22"/>
      <c r="V1307" s="22"/>
      <c r="W1307" s="22"/>
      <c r="X1307" s="22"/>
    </row>
    <row r="1308" spans="17:24" x14ac:dyDescent="0.25">
      <c r="Q1308" s="22"/>
      <c r="R1308" s="22"/>
      <c r="S1308" s="22"/>
      <c r="T1308" s="22"/>
      <c r="U1308" s="22"/>
      <c r="V1308" s="22"/>
      <c r="W1308" s="22"/>
      <c r="X1308" s="22"/>
    </row>
    <row r="1309" spans="17:24" x14ac:dyDescent="0.25">
      <c r="Q1309" s="22"/>
      <c r="R1309" s="22"/>
      <c r="S1309" s="22"/>
      <c r="T1309" s="22"/>
      <c r="U1309" s="22"/>
      <c r="V1309" s="22"/>
      <c r="W1309" s="22"/>
      <c r="X1309" s="22"/>
    </row>
    <row r="1310" spans="17:24" x14ac:dyDescent="0.25">
      <c r="Q1310" s="22"/>
      <c r="R1310" s="22"/>
      <c r="S1310" s="22"/>
      <c r="T1310" s="22"/>
      <c r="U1310" s="22"/>
      <c r="V1310" s="22"/>
      <c r="W1310" s="22"/>
      <c r="X1310" s="22"/>
    </row>
    <row r="1311" spans="17:24" x14ac:dyDescent="0.25">
      <c r="Q1311" s="22"/>
      <c r="R1311" s="22"/>
      <c r="S1311" s="22"/>
      <c r="T1311" s="22"/>
      <c r="U1311" s="22"/>
      <c r="V1311" s="22"/>
      <c r="W1311" s="22"/>
      <c r="X1311" s="22"/>
    </row>
    <row r="1312" spans="17:24" x14ac:dyDescent="0.25">
      <c r="Q1312" s="22"/>
      <c r="R1312" s="22"/>
      <c r="S1312" s="22"/>
      <c r="T1312" s="22"/>
      <c r="U1312" s="22"/>
      <c r="V1312" s="22"/>
      <c r="W1312" s="22"/>
      <c r="X1312" s="22"/>
    </row>
    <row r="1313" spans="17:24" x14ac:dyDescent="0.25">
      <c r="Q1313" s="22"/>
      <c r="R1313" s="22"/>
      <c r="S1313" s="22"/>
      <c r="T1313" s="22"/>
      <c r="U1313" s="22"/>
      <c r="V1313" s="22"/>
      <c r="W1313" s="22"/>
      <c r="X1313" s="22"/>
    </row>
    <row r="1314" spans="17:24" x14ac:dyDescent="0.25">
      <c r="Q1314" s="22"/>
      <c r="R1314" s="22"/>
      <c r="S1314" s="22"/>
      <c r="T1314" s="22"/>
      <c r="U1314" s="22"/>
      <c r="V1314" s="22"/>
      <c r="W1314" s="22"/>
      <c r="X1314" s="22"/>
    </row>
    <row r="1315" spans="17:24" x14ac:dyDescent="0.25">
      <c r="Q1315" s="22"/>
      <c r="R1315" s="22"/>
      <c r="S1315" s="22"/>
      <c r="T1315" s="22"/>
      <c r="U1315" s="22"/>
      <c r="V1315" s="22"/>
      <c r="W1315" s="22"/>
      <c r="X1315" s="22"/>
    </row>
    <row r="1316" spans="17:24" x14ac:dyDescent="0.25">
      <c r="Q1316" s="22"/>
      <c r="R1316" s="22"/>
      <c r="S1316" s="22"/>
      <c r="T1316" s="22"/>
      <c r="U1316" s="22"/>
      <c r="V1316" s="22"/>
      <c r="W1316" s="22"/>
      <c r="X1316" s="22"/>
    </row>
    <row r="1317" spans="17:24" x14ac:dyDescent="0.25">
      <c r="Q1317" s="22"/>
      <c r="R1317" s="22"/>
      <c r="S1317" s="22"/>
      <c r="T1317" s="22"/>
      <c r="U1317" s="22"/>
      <c r="V1317" s="22"/>
      <c r="W1317" s="22"/>
      <c r="X1317" s="22"/>
    </row>
    <row r="1318" spans="17:24" x14ac:dyDescent="0.25">
      <c r="Q1318" s="22"/>
      <c r="R1318" s="22"/>
      <c r="S1318" s="22"/>
      <c r="T1318" s="22"/>
      <c r="U1318" s="22"/>
      <c r="V1318" s="22"/>
      <c r="W1318" s="22"/>
      <c r="X1318" s="22"/>
    </row>
    <row r="1319" spans="17:24" x14ac:dyDescent="0.25">
      <c r="Q1319" s="22"/>
      <c r="R1319" s="22"/>
      <c r="S1319" s="22"/>
      <c r="T1319" s="22"/>
      <c r="U1319" s="22"/>
      <c r="V1319" s="22"/>
      <c r="W1319" s="22"/>
      <c r="X1319" s="22"/>
    </row>
    <row r="1320" spans="17:24" x14ac:dyDescent="0.25">
      <c r="Q1320" s="22"/>
      <c r="R1320" s="22"/>
      <c r="S1320" s="22"/>
      <c r="T1320" s="22"/>
      <c r="U1320" s="22"/>
      <c r="V1320" s="22"/>
      <c r="W1320" s="22"/>
      <c r="X1320" s="22"/>
    </row>
    <row r="1321" spans="17:24" x14ac:dyDescent="0.25">
      <c r="Q1321" s="22"/>
      <c r="R1321" s="22"/>
      <c r="S1321" s="22"/>
      <c r="T1321" s="22"/>
      <c r="U1321" s="22"/>
      <c r="V1321" s="22"/>
      <c r="W1321" s="22"/>
      <c r="X1321" s="22"/>
    </row>
    <row r="1322" spans="17:24" x14ac:dyDescent="0.25">
      <c r="Q1322" s="22"/>
      <c r="R1322" s="22"/>
      <c r="S1322" s="22"/>
      <c r="T1322" s="22"/>
      <c r="U1322" s="22"/>
      <c r="V1322" s="22"/>
      <c r="W1322" s="22"/>
      <c r="X1322" s="22"/>
    </row>
    <row r="1323" spans="17:24" x14ac:dyDescent="0.25">
      <c r="Q1323" s="22"/>
      <c r="R1323" s="22"/>
      <c r="S1323" s="22"/>
      <c r="T1323" s="22"/>
      <c r="U1323" s="22"/>
      <c r="V1323" s="22"/>
      <c r="W1323" s="22"/>
      <c r="X1323" s="22"/>
    </row>
    <row r="1324" spans="17:24" x14ac:dyDescent="0.25">
      <c r="Q1324" s="22"/>
      <c r="R1324" s="22"/>
      <c r="S1324" s="22"/>
      <c r="T1324" s="22"/>
      <c r="U1324" s="22"/>
      <c r="V1324" s="22"/>
      <c r="W1324" s="22"/>
      <c r="X1324" s="22"/>
    </row>
    <row r="1325" spans="17:24" x14ac:dyDescent="0.25">
      <c r="Q1325" s="22"/>
      <c r="R1325" s="22"/>
      <c r="S1325" s="22"/>
      <c r="T1325" s="22"/>
      <c r="U1325" s="22"/>
      <c r="V1325" s="22"/>
      <c r="W1325" s="22"/>
      <c r="X1325" s="22"/>
    </row>
    <row r="1326" spans="17:24" x14ac:dyDescent="0.25">
      <c r="Q1326" s="22"/>
      <c r="R1326" s="22"/>
      <c r="S1326" s="22"/>
      <c r="T1326" s="22"/>
      <c r="U1326" s="22"/>
      <c r="V1326" s="22"/>
      <c r="W1326" s="22"/>
      <c r="X1326" s="22"/>
    </row>
    <row r="1327" spans="17:24" x14ac:dyDescent="0.25">
      <c r="Q1327" s="22"/>
      <c r="R1327" s="22"/>
      <c r="S1327" s="22"/>
      <c r="T1327" s="22"/>
      <c r="U1327" s="22"/>
      <c r="V1327" s="22"/>
      <c r="W1327" s="22"/>
      <c r="X1327" s="22"/>
    </row>
    <row r="1328" spans="17:24" x14ac:dyDescent="0.25">
      <c r="Q1328" s="22"/>
      <c r="R1328" s="22"/>
      <c r="S1328" s="22"/>
      <c r="T1328" s="22"/>
      <c r="U1328" s="22"/>
      <c r="V1328" s="22"/>
      <c r="W1328" s="22"/>
      <c r="X1328" s="22"/>
    </row>
    <row r="1329" spans="17:24" x14ac:dyDescent="0.25">
      <c r="Q1329" s="22"/>
      <c r="R1329" s="22"/>
      <c r="S1329" s="22"/>
      <c r="T1329" s="22"/>
      <c r="U1329" s="22"/>
      <c r="V1329" s="22"/>
      <c r="W1329" s="22"/>
      <c r="X1329" s="22"/>
    </row>
    <row r="1330" spans="17:24" x14ac:dyDescent="0.25">
      <c r="Q1330" s="22"/>
      <c r="R1330" s="22"/>
      <c r="S1330" s="22"/>
      <c r="T1330" s="22"/>
      <c r="U1330" s="22"/>
      <c r="V1330" s="22"/>
      <c r="W1330" s="22"/>
      <c r="X1330" s="22"/>
    </row>
    <row r="1331" spans="17:24" x14ac:dyDescent="0.25">
      <c r="Q1331" s="22"/>
      <c r="R1331" s="22"/>
      <c r="S1331" s="22"/>
      <c r="T1331" s="22"/>
      <c r="U1331" s="22"/>
      <c r="V1331" s="22"/>
      <c r="W1331" s="22"/>
      <c r="X1331" s="22"/>
    </row>
    <row r="1332" spans="17:24" x14ac:dyDescent="0.25">
      <c r="Q1332" s="22"/>
      <c r="R1332" s="22"/>
      <c r="S1332" s="22"/>
      <c r="T1332" s="22"/>
      <c r="U1332" s="22"/>
      <c r="V1332" s="22"/>
      <c r="W1332" s="22"/>
      <c r="X1332" s="22"/>
    </row>
    <row r="1333" spans="17:24" x14ac:dyDescent="0.25">
      <c r="Q1333" s="22"/>
      <c r="R1333" s="22"/>
      <c r="S1333" s="22"/>
      <c r="T1333" s="22"/>
      <c r="U1333" s="22"/>
      <c r="V1333" s="22"/>
      <c r="W1333" s="22"/>
      <c r="X1333" s="22"/>
    </row>
    <row r="1334" spans="17:24" x14ac:dyDescent="0.25">
      <c r="Q1334" s="22"/>
      <c r="R1334" s="22"/>
      <c r="S1334" s="22"/>
      <c r="T1334" s="22"/>
      <c r="U1334" s="22"/>
      <c r="V1334" s="22"/>
      <c r="W1334" s="22"/>
      <c r="X1334" s="22"/>
    </row>
    <row r="1335" spans="17:24" x14ac:dyDescent="0.25">
      <c r="Q1335" s="22"/>
      <c r="R1335" s="22"/>
      <c r="S1335" s="22"/>
      <c r="T1335" s="22"/>
      <c r="U1335" s="22"/>
      <c r="V1335" s="22"/>
      <c r="W1335" s="22"/>
      <c r="X1335" s="22"/>
    </row>
    <row r="1336" spans="17:24" x14ac:dyDescent="0.25">
      <c r="Q1336" s="22"/>
      <c r="R1336" s="22"/>
      <c r="S1336" s="22"/>
      <c r="T1336" s="22"/>
      <c r="U1336" s="22"/>
      <c r="V1336" s="22"/>
      <c r="W1336" s="22"/>
      <c r="X1336" s="22"/>
    </row>
    <row r="1337" spans="17:24" x14ac:dyDescent="0.25">
      <c r="Q1337" s="22"/>
      <c r="R1337" s="22"/>
      <c r="S1337" s="22"/>
      <c r="T1337" s="22"/>
      <c r="U1337" s="22"/>
      <c r="V1337" s="22"/>
      <c r="W1337" s="22"/>
      <c r="X1337" s="22"/>
    </row>
    <row r="1338" spans="17:24" x14ac:dyDescent="0.25">
      <c r="Q1338" s="22"/>
      <c r="R1338" s="22"/>
      <c r="S1338" s="22"/>
      <c r="T1338" s="22"/>
      <c r="U1338" s="22"/>
      <c r="V1338" s="22"/>
      <c r="W1338" s="22"/>
      <c r="X1338" s="22"/>
    </row>
    <row r="1339" spans="17:24" x14ac:dyDescent="0.25">
      <c r="Q1339" s="22"/>
      <c r="R1339" s="22"/>
      <c r="S1339" s="22"/>
      <c r="T1339" s="22"/>
      <c r="U1339" s="22"/>
      <c r="V1339" s="22"/>
      <c r="W1339" s="22"/>
      <c r="X1339" s="22"/>
    </row>
    <row r="1340" spans="17:24" x14ac:dyDescent="0.25">
      <c r="Q1340" s="22"/>
      <c r="R1340" s="22"/>
      <c r="S1340" s="22"/>
      <c r="T1340" s="22"/>
      <c r="U1340" s="22"/>
      <c r="V1340" s="22"/>
      <c r="W1340" s="22"/>
      <c r="X1340" s="22"/>
    </row>
    <row r="1341" spans="17:24" x14ac:dyDescent="0.25">
      <c r="Q1341" s="22"/>
      <c r="R1341" s="22"/>
      <c r="S1341" s="22"/>
      <c r="T1341" s="22"/>
      <c r="U1341" s="22"/>
      <c r="V1341" s="22"/>
      <c r="W1341" s="22"/>
      <c r="X1341" s="22"/>
    </row>
    <row r="1342" spans="17:24" x14ac:dyDescent="0.25">
      <c r="Q1342" s="22"/>
      <c r="R1342" s="22"/>
      <c r="S1342" s="22"/>
      <c r="T1342" s="22"/>
      <c r="U1342" s="22"/>
      <c r="V1342" s="22"/>
      <c r="W1342" s="22"/>
      <c r="X1342" s="22"/>
    </row>
    <row r="1343" spans="17:24" x14ac:dyDescent="0.25">
      <c r="Q1343" s="22"/>
      <c r="R1343" s="22"/>
      <c r="S1343" s="22"/>
      <c r="T1343" s="22"/>
      <c r="U1343" s="22"/>
      <c r="V1343" s="22"/>
      <c r="W1343" s="22"/>
      <c r="X1343" s="22"/>
    </row>
    <row r="1344" spans="17:24" x14ac:dyDescent="0.25">
      <c r="Q1344" s="22"/>
      <c r="R1344" s="22"/>
      <c r="S1344" s="22"/>
      <c r="T1344" s="22"/>
      <c r="U1344" s="22"/>
      <c r="V1344" s="22"/>
      <c r="W1344" s="22"/>
      <c r="X1344" s="22"/>
    </row>
    <row r="1345" spans="17:24" x14ac:dyDescent="0.25">
      <c r="Q1345" s="22"/>
      <c r="R1345" s="22"/>
      <c r="S1345" s="22"/>
      <c r="T1345" s="22"/>
      <c r="U1345" s="22"/>
      <c r="V1345" s="22"/>
      <c r="W1345" s="22"/>
      <c r="X1345" s="22"/>
    </row>
    <row r="1346" spans="17:24" x14ac:dyDescent="0.25">
      <c r="Q1346" s="22"/>
      <c r="R1346" s="22"/>
      <c r="S1346" s="22"/>
      <c r="T1346" s="22"/>
      <c r="U1346" s="22"/>
      <c r="V1346" s="22"/>
      <c r="W1346" s="22"/>
      <c r="X1346" s="22"/>
    </row>
    <row r="1347" spans="17:24" x14ac:dyDescent="0.25">
      <c r="Q1347" s="22"/>
      <c r="R1347" s="22"/>
      <c r="S1347" s="22"/>
      <c r="T1347" s="22"/>
      <c r="U1347" s="22"/>
      <c r="V1347" s="22"/>
      <c r="W1347" s="22"/>
      <c r="X1347" s="22"/>
    </row>
    <row r="1348" spans="17:24" x14ac:dyDescent="0.25">
      <c r="Q1348" s="22"/>
      <c r="R1348" s="22"/>
      <c r="S1348" s="22"/>
      <c r="T1348" s="22"/>
      <c r="U1348" s="22"/>
      <c r="V1348" s="22"/>
      <c r="W1348" s="22"/>
      <c r="X1348" s="22"/>
    </row>
    <row r="1349" spans="17:24" x14ac:dyDescent="0.25">
      <c r="Q1349" s="22"/>
      <c r="R1349" s="22"/>
      <c r="S1349" s="22"/>
      <c r="T1349" s="22"/>
      <c r="U1349" s="22"/>
      <c r="V1349" s="22"/>
      <c r="W1349" s="22"/>
      <c r="X1349" s="22"/>
    </row>
    <row r="1350" spans="17:24" x14ac:dyDescent="0.25">
      <c r="Q1350" s="22"/>
      <c r="R1350" s="22"/>
      <c r="S1350" s="22"/>
      <c r="T1350" s="22"/>
      <c r="U1350" s="22"/>
      <c r="V1350" s="22"/>
      <c r="W1350" s="22"/>
      <c r="X1350" s="22"/>
    </row>
    <row r="1351" spans="17:24" x14ac:dyDescent="0.25">
      <c r="Q1351" s="22"/>
      <c r="R1351" s="22"/>
      <c r="S1351" s="22"/>
      <c r="T1351" s="22"/>
      <c r="U1351" s="22"/>
      <c r="V1351" s="22"/>
      <c r="W1351" s="22"/>
      <c r="X1351" s="22"/>
    </row>
    <row r="1352" spans="17:24" x14ac:dyDescent="0.25">
      <c r="Q1352" s="22"/>
      <c r="R1352" s="22"/>
      <c r="S1352" s="22"/>
      <c r="T1352" s="22"/>
      <c r="U1352" s="22"/>
      <c r="V1352" s="22"/>
      <c r="W1352" s="22"/>
      <c r="X1352" s="22"/>
    </row>
    <row r="1353" spans="17:24" x14ac:dyDescent="0.25">
      <c r="Q1353" s="22"/>
      <c r="R1353" s="22"/>
      <c r="S1353" s="22"/>
      <c r="T1353" s="22"/>
      <c r="U1353" s="22"/>
      <c r="V1353" s="22"/>
      <c r="W1353" s="22"/>
      <c r="X1353" s="22"/>
    </row>
    <row r="1354" spans="17:24" x14ac:dyDescent="0.25">
      <c r="Q1354" s="22"/>
      <c r="R1354" s="22"/>
      <c r="S1354" s="22"/>
      <c r="T1354" s="22"/>
      <c r="U1354" s="22"/>
      <c r="V1354" s="22"/>
      <c r="W1354" s="22"/>
      <c r="X1354" s="22"/>
    </row>
    <row r="1355" spans="17:24" x14ac:dyDescent="0.25">
      <c r="Q1355" s="22"/>
      <c r="R1355" s="22"/>
      <c r="S1355" s="22"/>
      <c r="T1355" s="22"/>
      <c r="U1355" s="22"/>
      <c r="V1355" s="22"/>
      <c r="W1355" s="22"/>
      <c r="X1355" s="22"/>
    </row>
    <row r="1356" spans="17:24" x14ac:dyDescent="0.25">
      <c r="Q1356" s="22"/>
      <c r="R1356" s="22"/>
      <c r="S1356" s="22"/>
      <c r="T1356" s="22"/>
      <c r="U1356" s="22"/>
      <c r="V1356" s="22"/>
      <c r="W1356" s="22"/>
      <c r="X1356" s="22"/>
    </row>
    <row r="1357" spans="17:24" x14ac:dyDescent="0.25">
      <c r="Q1357" s="22"/>
      <c r="R1357" s="22"/>
      <c r="S1357" s="22"/>
      <c r="T1357" s="22"/>
      <c r="U1357" s="22"/>
      <c r="V1357" s="22"/>
      <c r="W1357" s="22"/>
      <c r="X1357" s="22"/>
    </row>
    <row r="1358" spans="17:24" x14ac:dyDescent="0.25">
      <c r="Q1358" s="22"/>
      <c r="R1358" s="22"/>
      <c r="S1358" s="22"/>
      <c r="T1358" s="22"/>
      <c r="U1358" s="22"/>
      <c r="V1358" s="22"/>
      <c r="W1358" s="22"/>
      <c r="X1358" s="22"/>
    </row>
    <row r="1359" spans="17:24" x14ac:dyDescent="0.25">
      <c r="Q1359" s="22"/>
      <c r="R1359" s="22"/>
      <c r="S1359" s="22"/>
      <c r="T1359" s="22"/>
      <c r="U1359" s="22"/>
      <c r="V1359" s="22"/>
      <c r="W1359" s="22"/>
      <c r="X1359" s="22"/>
    </row>
    <row r="1360" spans="17:24" x14ac:dyDescent="0.25">
      <c r="Q1360" s="22"/>
      <c r="R1360" s="22"/>
      <c r="S1360" s="22"/>
      <c r="T1360" s="22"/>
      <c r="U1360" s="22"/>
      <c r="V1360" s="22"/>
      <c r="W1360" s="22"/>
      <c r="X1360" s="22"/>
    </row>
    <row r="1361" spans="17:24" x14ac:dyDescent="0.25">
      <c r="Q1361" s="22"/>
      <c r="R1361" s="22"/>
      <c r="S1361" s="22"/>
      <c r="T1361" s="22"/>
      <c r="U1361" s="22"/>
      <c r="V1361" s="22"/>
      <c r="W1361" s="22"/>
      <c r="X1361" s="22"/>
    </row>
    <row r="1362" spans="17:24" x14ac:dyDescent="0.25">
      <c r="Q1362" s="22"/>
      <c r="R1362" s="22"/>
      <c r="S1362" s="22"/>
      <c r="T1362" s="22"/>
      <c r="U1362" s="22"/>
      <c r="V1362" s="22"/>
      <c r="W1362" s="22"/>
      <c r="X1362" s="22"/>
    </row>
    <row r="1363" spans="17:24" x14ac:dyDescent="0.25">
      <c r="Q1363" s="22"/>
      <c r="R1363" s="22"/>
      <c r="S1363" s="22"/>
      <c r="T1363" s="22"/>
      <c r="U1363" s="22"/>
      <c r="V1363" s="22"/>
      <c r="W1363" s="22"/>
      <c r="X1363" s="22"/>
    </row>
    <row r="1364" spans="17:24" x14ac:dyDescent="0.25">
      <c r="Q1364" s="22"/>
      <c r="R1364" s="22"/>
      <c r="S1364" s="22"/>
      <c r="T1364" s="22"/>
      <c r="U1364" s="22"/>
      <c r="V1364" s="22"/>
      <c r="W1364" s="22"/>
      <c r="X1364" s="22"/>
    </row>
    <row r="1365" spans="17:24" x14ac:dyDescent="0.25">
      <c r="Q1365" s="22"/>
      <c r="R1365" s="22"/>
      <c r="S1365" s="22"/>
      <c r="T1365" s="22"/>
      <c r="U1365" s="22"/>
      <c r="V1365" s="22"/>
      <c r="W1365" s="22"/>
      <c r="X1365" s="22"/>
    </row>
    <row r="1366" spans="17:24" x14ac:dyDescent="0.25">
      <c r="Q1366" s="22"/>
      <c r="R1366" s="22"/>
      <c r="S1366" s="22"/>
      <c r="T1366" s="22"/>
      <c r="U1366" s="22"/>
      <c r="V1366" s="22"/>
      <c r="W1366" s="22"/>
      <c r="X1366" s="22"/>
    </row>
    <row r="1367" spans="17:24" x14ac:dyDescent="0.25">
      <c r="Q1367" s="22"/>
      <c r="R1367" s="22"/>
      <c r="S1367" s="22"/>
      <c r="T1367" s="22"/>
      <c r="U1367" s="22"/>
      <c r="V1367" s="22"/>
      <c r="W1367" s="22"/>
      <c r="X1367" s="22"/>
    </row>
    <row r="1368" spans="17:24" x14ac:dyDescent="0.25">
      <c r="Q1368" s="22"/>
      <c r="R1368" s="22"/>
      <c r="S1368" s="22"/>
      <c r="T1368" s="22"/>
      <c r="U1368" s="22"/>
      <c r="V1368" s="22"/>
      <c r="W1368" s="22"/>
      <c r="X1368" s="22"/>
    </row>
    <row r="1369" spans="17:24" x14ac:dyDescent="0.25">
      <c r="Q1369" s="22"/>
      <c r="R1369" s="22"/>
      <c r="S1369" s="22"/>
      <c r="T1369" s="22"/>
      <c r="U1369" s="22"/>
      <c r="V1369" s="22"/>
      <c r="W1369" s="22"/>
      <c r="X1369" s="22"/>
    </row>
    <row r="1370" spans="17:24" x14ac:dyDescent="0.25">
      <c r="Q1370" s="22"/>
      <c r="R1370" s="22"/>
      <c r="S1370" s="22"/>
      <c r="T1370" s="22"/>
      <c r="U1370" s="22"/>
      <c r="V1370" s="22"/>
      <c r="W1370" s="22"/>
      <c r="X1370" s="22"/>
    </row>
    <row r="1371" spans="17:24" x14ac:dyDescent="0.25">
      <c r="Q1371" s="22"/>
      <c r="R1371" s="22"/>
      <c r="S1371" s="22"/>
      <c r="T1371" s="22"/>
      <c r="U1371" s="22"/>
      <c r="V1371" s="22"/>
      <c r="W1371" s="22"/>
      <c r="X1371" s="22"/>
    </row>
    <row r="1372" spans="17:24" x14ac:dyDescent="0.25">
      <c r="Q1372" s="22"/>
      <c r="R1372" s="22"/>
      <c r="S1372" s="22"/>
      <c r="T1372" s="22"/>
      <c r="U1372" s="22"/>
      <c r="V1372" s="22"/>
      <c r="W1372" s="22"/>
      <c r="X1372" s="22"/>
    </row>
    <row r="1373" spans="17:24" x14ac:dyDescent="0.25">
      <c r="Q1373" s="22"/>
      <c r="R1373" s="22"/>
      <c r="S1373" s="22"/>
      <c r="T1373" s="22"/>
      <c r="U1373" s="22"/>
      <c r="V1373" s="22"/>
      <c r="W1373" s="22"/>
      <c r="X1373" s="22"/>
    </row>
    <row r="1374" spans="17:24" x14ac:dyDescent="0.25">
      <c r="Q1374" s="22"/>
      <c r="R1374" s="22"/>
      <c r="S1374" s="22"/>
      <c r="T1374" s="22"/>
      <c r="U1374" s="22"/>
      <c r="V1374" s="22"/>
      <c r="W1374" s="22"/>
      <c r="X1374" s="22"/>
    </row>
    <row r="1375" spans="17:24" x14ac:dyDescent="0.25">
      <c r="Q1375" s="22"/>
      <c r="R1375" s="22"/>
      <c r="S1375" s="22"/>
      <c r="T1375" s="22"/>
      <c r="U1375" s="22"/>
      <c r="V1375" s="22"/>
      <c r="W1375" s="22"/>
      <c r="X1375" s="22"/>
    </row>
    <row r="1376" spans="17:24" x14ac:dyDescent="0.25">
      <c r="Q1376" s="22"/>
      <c r="R1376" s="22"/>
      <c r="S1376" s="22"/>
      <c r="T1376" s="22"/>
      <c r="U1376" s="22"/>
      <c r="V1376" s="22"/>
      <c r="W1376" s="22"/>
      <c r="X1376" s="22"/>
    </row>
    <row r="1377" spans="17:24" x14ac:dyDescent="0.25">
      <c r="Q1377" s="22"/>
      <c r="R1377" s="22"/>
      <c r="S1377" s="22"/>
      <c r="T1377" s="22"/>
      <c r="U1377" s="22"/>
      <c r="V1377" s="22"/>
      <c r="W1377" s="22"/>
      <c r="X1377" s="22"/>
    </row>
    <row r="1378" spans="17:24" x14ac:dyDescent="0.25">
      <c r="Q1378" s="22"/>
      <c r="R1378" s="22"/>
      <c r="S1378" s="22"/>
      <c r="T1378" s="22"/>
      <c r="U1378" s="22"/>
      <c r="V1378" s="22"/>
      <c r="W1378" s="22"/>
      <c r="X1378" s="22"/>
    </row>
    <row r="1379" spans="17:24" x14ac:dyDescent="0.25">
      <c r="Q1379" s="22"/>
      <c r="R1379" s="22"/>
      <c r="S1379" s="22"/>
      <c r="T1379" s="22"/>
      <c r="U1379" s="22"/>
      <c r="V1379" s="22"/>
      <c r="W1379" s="22"/>
      <c r="X1379" s="22"/>
    </row>
    <row r="1380" spans="17:24" x14ac:dyDescent="0.25">
      <c r="Q1380" s="22"/>
      <c r="R1380" s="22"/>
      <c r="S1380" s="22"/>
      <c r="T1380" s="22"/>
      <c r="U1380" s="22"/>
      <c r="V1380" s="22"/>
      <c r="W1380" s="22"/>
      <c r="X1380" s="22"/>
    </row>
    <row r="1381" spans="17:24" x14ac:dyDescent="0.25">
      <c r="Q1381" s="22"/>
      <c r="R1381" s="22"/>
      <c r="S1381" s="22"/>
      <c r="T1381" s="22"/>
      <c r="U1381" s="22"/>
      <c r="V1381" s="22"/>
      <c r="W1381" s="22"/>
      <c r="X1381" s="22"/>
    </row>
    <row r="1382" spans="17:24" x14ac:dyDescent="0.25">
      <c r="Q1382" s="22"/>
      <c r="R1382" s="22"/>
      <c r="S1382" s="22"/>
      <c r="T1382" s="22"/>
      <c r="U1382" s="22"/>
      <c r="V1382" s="22"/>
      <c r="W1382" s="22"/>
      <c r="X1382" s="22"/>
    </row>
    <row r="1383" spans="17:24" x14ac:dyDescent="0.25">
      <c r="Q1383" s="22"/>
      <c r="R1383" s="22"/>
      <c r="S1383" s="22"/>
      <c r="T1383" s="22"/>
      <c r="U1383" s="22"/>
      <c r="V1383" s="22"/>
      <c r="W1383" s="22"/>
      <c r="X1383" s="22"/>
    </row>
    <row r="1384" spans="17:24" x14ac:dyDescent="0.25">
      <c r="Q1384" s="22"/>
      <c r="R1384" s="22"/>
      <c r="S1384" s="22"/>
      <c r="T1384" s="22"/>
      <c r="U1384" s="22"/>
      <c r="V1384" s="22"/>
      <c r="W1384" s="22"/>
      <c r="X1384" s="22"/>
    </row>
    <row r="1385" spans="17:24" x14ac:dyDescent="0.25">
      <c r="Q1385" s="22"/>
      <c r="R1385" s="22"/>
      <c r="S1385" s="22"/>
      <c r="T1385" s="22"/>
      <c r="U1385" s="22"/>
      <c r="V1385" s="22"/>
      <c r="W1385" s="22"/>
      <c r="X1385" s="22"/>
    </row>
    <row r="1386" spans="17:24" x14ac:dyDescent="0.25">
      <c r="Q1386" s="22"/>
      <c r="R1386" s="22"/>
      <c r="S1386" s="22"/>
      <c r="T1386" s="22"/>
      <c r="U1386" s="22"/>
      <c r="V1386" s="22"/>
      <c r="W1386" s="22"/>
      <c r="X1386" s="22"/>
    </row>
    <row r="1387" spans="17:24" x14ac:dyDescent="0.25">
      <c r="Q1387" s="22"/>
      <c r="R1387" s="22"/>
      <c r="S1387" s="22"/>
      <c r="T1387" s="22"/>
      <c r="U1387" s="22"/>
      <c r="V1387" s="22"/>
      <c r="W1387" s="22"/>
      <c r="X1387" s="22"/>
    </row>
    <row r="1388" spans="17:24" x14ac:dyDescent="0.25">
      <c r="Q1388" s="22"/>
      <c r="R1388" s="22"/>
      <c r="S1388" s="22"/>
      <c r="T1388" s="22"/>
      <c r="U1388" s="22"/>
      <c r="V1388" s="22"/>
      <c r="W1388" s="22"/>
      <c r="X1388" s="22"/>
    </row>
    <row r="1389" spans="17:24" x14ac:dyDescent="0.25">
      <c r="Q1389" s="22"/>
      <c r="R1389" s="22"/>
      <c r="S1389" s="22"/>
      <c r="T1389" s="22"/>
      <c r="U1389" s="22"/>
      <c r="V1389" s="22"/>
      <c r="W1389" s="22"/>
      <c r="X1389" s="22"/>
    </row>
    <row r="1390" spans="17:24" x14ac:dyDescent="0.25">
      <c r="Q1390" s="22"/>
      <c r="R1390" s="22"/>
      <c r="S1390" s="22"/>
      <c r="T1390" s="22"/>
      <c r="U1390" s="22"/>
      <c r="V1390" s="22"/>
      <c r="W1390" s="22"/>
      <c r="X1390" s="22"/>
    </row>
    <row r="1391" spans="17:24" x14ac:dyDescent="0.25">
      <c r="Q1391" s="22"/>
      <c r="R1391" s="22"/>
      <c r="S1391" s="22"/>
      <c r="T1391" s="22"/>
      <c r="U1391" s="22"/>
      <c r="V1391" s="22"/>
      <c r="W1391" s="22"/>
      <c r="X1391" s="22"/>
    </row>
    <row r="1392" spans="17:24" x14ac:dyDescent="0.25">
      <c r="Q1392" s="22"/>
      <c r="R1392" s="22"/>
      <c r="S1392" s="22"/>
      <c r="T1392" s="22"/>
      <c r="U1392" s="22"/>
      <c r="V1392" s="22"/>
      <c r="W1392" s="22"/>
      <c r="X1392" s="22"/>
    </row>
    <row r="1393" spans="17:24" x14ac:dyDescent="0.25">
      <c r="Q1393" s="22"/>
      <c r="R1393" s="22"/>
      <c r="S1393" s="22"/>
      <c r="T1393" s="22"/>
      <c r="U1393" s="22"/>
      <c r="V1393" s="22"/>
      <c r="W1393" s="22"/>
      <c r="X1393" s="22"/>
    </row>
    <row r="1394" spans="17:24" x14ac:dyDescent="0.25">
      <c r="Q1394" s="22"/>
      <c r="R1394" s="22"/>
      <c r="S1394" s="22"/>
      <c r="T1394" s="22"/>
      <c r="U1394" s="22"/>
      <c r="V1394" s="22"/>
      <c r="W1394" s="22"/>
      <c r="X1394" s="22"/>
    </row>
    <row r="1395" spans="17:24" x14ac:dyDescent="0.25">
      <c r="Q1395" s="22"/>
      <c r="R1395" s="22"/>
      <c r="S1395" s="22"/>
      <c r="T1395" s="22"/>
      <c r="U1395" s="22"/>
      <c r="V1395" s="22"/>
      <c r="W1395" s="22"/>
      <c r="X1395" s="22"/>
    </row>
    <row r="1396" spans="17:24" x14ac:dyDescent="0.25">
      <c r="Q1396" s="22"/>
      <c r="R1396" s="22"/>
      <c r="S1396" s="22"/>
      <c r="T1396" s="22"/>
      <c r="U1396" s="22"/>
      <c r="V1396" s="22"/>
      <c r="W1396" s="22"/>
      <c r="X1396" s="22"/>
    </row>
    <row r="1397" spans="17:24" x14ac:dyDescent="0.25">
      <c r="Q1397" s="22"/>
      <c r="R1397" s="22"/>
      <c r="S1397" s="22"/>
      <c r="T1397" s="22"/>
      <c r="U1397" s="22"/>
      <c r="V1397" s="22"/>
      <c r="W1397" s="22"/>
      <c r="X1397" s="22"/>
    </row>
    <row r="1398" spans="17:24" x14ac:dyDescent="0.25">
      <c r="Q1398" s="22"/>
      <c r="R1398" s="22"/>
      <c r="S1398" s="22"/>
      <c r="T1398" s="22"/>
      <c r="U1398" s="22"/>
      <c r="V1398" s="22"/>
      <c r="W1398" s="22"/>
      <c r="X1398" s="22"/>
    </row>
    <row r="1399" spans="17:24" x14ac:dyDescent="0.25">
      <c r="Q1399" s="22"/>
      <c r="R1399" s="22"/>
      <c r="S1399" s="22"/>
      <c r="T1399" s="22"/>
      <c r="U1399" s="22"/>
      <c r="V1399" s="22"/>
      <c r="W1399" s="22"/>
      <c r="X1399" s="22"/>
    </row>
    <row r="1400" spans="17:24" x14ac:dyDescent="0.25">
      <c r="Q1400" s="22"/>
      <c r="R1400" s="22"/>
      <c r="S1400" s="22"/>
      <c r="T1400" s="22"/>
      <c r="U1400" s="22"/>
      <c r="V1400" s="22"/>
      <c r="W1400" s="22"/>
      <c r="X1400" s="22"/>
    </row>
    <row r="1401" spans="17:24" x14ac:dyDescent="0.25">
      <c r="Q1401" s="22"/>
      <c r="R1401" s="22"/>
      <c r="S1401" s="22"/>
      <c r="T1401" s="22"/>
      <c r="U1401" s="22"/>
      <c r="V1401" s="22"/>
      <c r="W1401" s="22"/>
      <c r="X1401" s="22"/>
    </row>
    <row r="1402" spans="17:24" x14ac:dyDescent="0.25">
      <c r="Q1402" s="22"/>
      <c r="R1402" s="22"/>
      <c r="S1402" s="22"/>
      <c r="T1402" s="22"/>
      <c r="U1402" s="22"/>
      <c r="V1402" s="22"/>
      <c r="W1402" s="22"/>
      <c r="X1402" s="22"/>
    </row>
    <row r="1403" spans="17:24" x14ac:dyDescent="0.25">
      <c r="Q1403" s="22"/>
      <c r="R1403" s="22"/>
      <c r="S1403" s="22"/>
      <c r="T1403" s="22"/>
      <c r="U1403" s="22"/>
      <c r="V1403" s="22"/>
      <c r="W1403" s="22"/>
      <c r="X1403" s="22"/>
    </row>
    <row r="1404" spans="17:24" x14ac:dyDescent="0.25">
      <c r="Q1404" s="22"/>
      <c r="R1404" s="22"/>
      <c r="S1404" s="22"/>
      <c r="T1404" s="22"/>
      <c r="U1404" s="22"/>
      <c r="V1404" s="22"/>
      <c r="W1404" s="22"/>
      <c r="X1404" s="22"/>
    </row>
    <row r="1405" spans="17:24" x14ac:dyDescent="0.25">
      <c r="Q1405" s="22"/>
      <c r="R1405" s="22"/>
      <c r="S1405" s="22"/>
      <c r="T1405" s="22"/>
      <c r="U1405" s="22"/>
      <c r="V1405" s="22"/>
      <c r="W1405" s="22"/>
      <c r="X1405" s="22"/>
    </row>
    <row r="1406" spans="17:24" x14ac:dyDescent="0.25">
      <c r="Q1406" s="22"/>
      <c r="R1406" s="22"/>
      <c r="S1406" s="22"/>
      <c r="T1406" s="22"/>
      <c r="U1406" s="22"/>
      <c r="V1406" s="22"/>
      <c r="W1406" s="22"/>
      <c r="X1406" s="22"/>
    </row>
    <row r="1407" spans="17:24" x14ac:dyDescent="0.25">
      <c r="Q1407" s="22"/>
      <c r="R1407" s="22"/>
      <c r="S1407" s="22"/>
      <c r="T1407" s="22"/>
      <c r="U1407" s="22"/>
      <c r="V1407" s="22"/>
      <c r="W1407" s="22"/>
      <c r="X1407" s="22"/>
    </row>
    <row r="1408" spans="17:24" x14ac:dyDescent="0.25">
      <c r="Q1408" s="22"/>
      <c r="R1408" s="22"/>
      <c r="S1408" s="22"/>
      <c r="T1408" s="22"/>
      <c r="U1408" s="22"/>
      <c r="V1408" s="22"/>
      <c r="W1408" s="22"/>
      <c r="X1408" s="22"/>
    </row>
    <row r="1409" spans="17:24" x14ac:dyDescent="0.25">
      <c r="Q1409" s="22"/>
      <c r="R1409" s="22"/>
      <c r="S1409" s="22"/>
      <c r="T1409" s="22"/>
      <c r="U1409" s="22"/>
      <c r="V1409" s="22"/>
      <c r="W1409" s="22"/>
      <c r="X1409" s="22"/>
    </row>
    <row r="1410" spans="17:24" x14ac:dyDescent="0.25">
      <c r="Q1410" s="22"/>
      <c r="R1410" s="22"/>
      <c r="S1410" s="22"/>
      <c r="T1410" s="22"/>
      <c r="U1410" s="22"/>
      <c r="V1410" s="22"/>
      <c r="W1410" s="22"/>
      <c r="X1410" s="22"/>
    </row>
    <row r="1411" spans="17:24" x14ac:dyDescent="0.25">
      <c r="Q1411" s="22"/>
      <c r="R1411" s="22"/>
      <c r="S1411" s="22"/>
      <c r="T1411" s="22"/>
      <c r="U1411" s="22"/>
      <c r="V1411" s="22"/>
      <c r="W1411" s="22"/>
      <c r="X1411" s="22"/>
    </row>
    <row r="1412" spans="17:24" x14ac:dyDescent="0.25">
      <c r="Q1412" s="22"/>
      <c r="R1412" s="22"/>
      <c r="S1412" s="22"/>
      <c r="T1412" s="22"/>
      <c r="U1412" s="22"/>
      <c r="V1412" s="22"/>
      <c r="W1412" s="22"/>
      <c r="X1412" s="22"/>
    </row>
    <row r="1413" spans="17:24" x14ac:dyDescent="0.25">
      <c r="Q1413" s="22"/>
      <c r="R1413" s="22"/>
      <c r="S1413" s="22"/>
      <c r="T1413" s="22"/>
      <c r="U1413" s="22"/>
      <c r="V1413" s="22"/>
      <c r="W1413" s="22"/>
      <c r="X1413" s="22"/>
    </row>
    <row r="1414" spans="17:24" x14ac:dyDescent="0.25">
      <c r="Q1414" s="22"/>
      <c r="R1414" s="22"/>
      <c r="S1414" s="22"/>
      <c r="T1414" s="22"/>
      <c r="U1414" s="22"/>
      <c r="V1414" s="22"/>
      <c r="W1414" s="22"/>
      <c r="X1414" s="22"/>
    </row>
    <row r="1415" spans="17:24" x14ac:dyDescent="0.25">
      <c r="Q1415" s="22"/>
      <c r="R1415" s="22"/>
      <c r="S1415" s="22"/>
      <c r="T1415" s="22"/>
      <c r="U1415" s="22"/>
      <c r="V1415" s="22"/>
      <c r="W1415" s="22"/>
      <c r="X1415" s="22"/>
    </row>
    <row r="1416" spans="17:24" x14ac:dyDescent="0.25">
      <c r="Q1416" s="22"/>
      <c r="R1416" s="22"/>
      <c r="S1416" s="22"/>
      <c r="T1416" s="22"/>
      <c r="U1416" s="22"/>
      <c r="V1416" s="22"/>
      <c r="W1416" s="22"/>
      <c r="X1416" s="22"/>
    </row>
    <row r="1417" spans="17:24" x14ac:dyDescent="0.25">
      <c r="Q1417" s="22"/>
      <c r="R1417" s="22"/>
      <c r="S1417" s="22"/>
      <c r="T1417" s="22"/>
      <c r="U1417" s="22"/>
      <c r="V1417" s="22"/>
      <c r="W1417" s="22"/>
      <c r="X1417" s="22"/>
    </row>
    <row r="1418" spans="17:24" x14ac:dyDescent="0.25">
      <c r="Q1418" s="22"/>
      <c r="R1418" s="22"/>
      <c r="S1418" s="22"/>
      <c r="T1418" s="22"/>
      <c r="U1418" s="22"/>
      <c r="V1418" s="22"/>
      <c r="W1418" s="22"/>
      <c r="X1418" s="22"/>
    </row>
    <row r="1419" spans="17:24" x14ac:dyDescent="0.25">
      <c r="Q1419" s="22"/>
      <c r="R1419" s="22"/>
      <c r="S1419" s="22"/>
      <c r="T1419" s="22"/>
      <c r="U1419" s="22"/>
      <c r="V1419" s="22"/>
      <c r="W1419" s="22"/>
      <c r="X1419" s="22"/>
    </row>
    <row r="1420" spans="17:24" x14ac:dyDescent="0.25">
      <c r="Q1420" s="22"/>
      <c r="R1420" s="22"/>
      <c r="S1420" s="22"/>
      <c r="T1420" s="22"/>
      <c r="U1420" s="22"/>
      <c r="V1420" s="22"/>
      <c r="W1420" s="22"/>
      <c r="X1420" s="22"/>
    </row>
    <row r="1421" spans="17:24" x14ac:dyDescent="0.25">
      <c r="Q1421" s="22"/>
      <c r="R1421" s="22"/>
      <c r="S1421" s="22"/>
      <c r="T1421" s="22"/>
      <c r="U1421" s="22"/>
      <c r="V1421" s="22"/>
      <c r="W1421" s="22"/>
      <c r="X1421" s="22"/>
    </row>
    <row r="1422" spans="17:24" x14ac:dyDescent="0.25">
      <c r="Q1422" s="22"/>
      <c r="R1422" s="22"/>
      <c r="S1422" s="22"/>
      <c r="T1422" s="22"/>
      <c r="U1422" s="22"/>
      <c r="V1422" s="22"/>
      <c r="W1422" s="22"/>
      <c r="X1422" s="22"/>
    </row>
    <row r="1423" spans="17:24" x14ac:dyDescent="0.25">
      <c r="Q1423" s="22"/>
      <c r="R1423" s="22"/>
      <c r="S1423" s="22"/>
      <c r="T1423" s="22"/>
      <c r="U1423" s="22"/>
      <c r="V1423" s="22"/>
      <c r="W1423" s="22"/>
      <c r="X1423" s="22"/>
    </row>
    <row r="1424" spans="17:24" x14ac:dyDescent="0.25">
      <c r="Q1424" s="22"/>
      <c r="R1424" s="22"/>
      <c r="S1424" s="22"/>
      <c r="T1424" s="22"/>
      <c r="U1424" s="22"/>
      <c r="V1424" s="22"/>
      <c r="W1424" s="22"/>
      <c r="X1424" s="22"/>
    </row>
    <row r="1425" spans="17:24" x14ac:dyDescent="0.25">
      <c r="Q1425" s="22"/>
      <c r="R1425" s="22"/>
      <c r="S1425" s="22"/>
      <c r="T1425" s="22"/>
      <c r="U1425" s="22"/>
      <c r="V1425" s="22"/>
      <c r="W1425" s="22"/>
      <c r="X1425" s="22"/>
    </row>
    <row r="1426" spans="17:24" x14ac:dyDescent="0.25">
      <c r="Q1426" s="22"/>
      <c r="R1426" s="22"/>
      <c r="S1426" s="22"/>
      <c r="T1426" s="22"/>
      <c r="U1426" s="22"/>
      <c r="V1426" s="22"/>
      <c r="W1426" s="22"/>
      <c r="X1426" s="22"/>
    </row>
    <row r="1427" spans="17:24" x14ac:dyDescent="0.25">
      <c r="Q1427" s="22"/>
      <c r="R1427" s="22"/>
      <c r="S1427" s="22"/>
      <c r="T1427" s="22"/>
      <c r="U1427" s="22"/>
      <c r="V1427" s="22"/>
      <c r="W1427" s="22"/>
      <c r="X1427" s="22"/>
    </row>
    <row r="1428" spans="17:24" x14ac:dyDescent="0.25">
      <c r="Q1428" s="22"/>
      <c r="R1428" s="22"/>
      <c r="S1428" s="22"/>
      <c r="T1428" s="22"/>
      <c r="U1428" s="22"/>
      <c r="V1428" s="22"/>
      <c r="W1428" s="22"/>
      <c r="X1428" s="22"/>
    </row>
    <row r="1429" spans="17:24" x14ac:dyDescent="0.25">
      <c r="Q1429" s="22"/>
      <c r="R1429" s="22"/>
      <c r="S1429" s="22"/>
      <c r="T1429" s="22"/>
      <c r="U1429" s="22"/>
      <c r="V1429" s="22"/>
      <c r="W1429" s="22"/>
      <c r="X1429" s="22"/>
    </row>
    <row r="1430" spans="17:24" x14ac:dyDescent="0.25">
      <c r="Q1430" s="22"/>
      <c r="R1430" s="22"/>
      <c r="S1430" s="22"/>
      <c r="T1430" s="22"/>
      <c r="U1430" s="22"/>
      <c r="V1430" s="22"/>
      <c r="W1430" s="22"/>
      <c r="X1430" s="22"/>
    </row>
    <row r="1431" spans="17:24" x14ac:dyDescent="0.25">
      <c r="Q1431" s="22"/>
      <c r="R1431" s="22"/>
      <c r="S1431" s="22"/>
      <c r="T1431" s="22"/>
      <c r="U1431" s="22"/>
      <c r="V1431" s="22"/>
      <c r="W1431" s="22"/>
      <c r="X1431" s="22"/>
    </row>
    <row r="1432" spans="17:24" x14ac:dyDescent="0.25">
      <c r="Q1432" s="22"/>
      <c r="R1432" s="22"/>
      <c r="S1432" s="22"/>
      <c r="T1432" s="22"/>
      <c r="U1432" s="22"/>
      <c r="V1432" s="22"/>
      <c r="W1432" s="22"/>
      <c r="X1432" s="22"/>
    </row>
    <row r="1433" spans="17:24" x14ac:dyDescent="0.25">
      <c r="Q1433" s="22"/>
      <c r="R1433" s="22"/>
      <c r="S1433" s="22"/>
      <c r="T1433" s="22"/>
      <c r="U1433" s="22"/>
      <c r="V1433" s="22"/>
      <c r="W1433" s="22"/>
      <c r="X1433" s="22"/>
    </row>
    <row r="1434" spans="17:24" x14ac:dyDescent="0.25">
      <c r="Q1434" s="22"/>
      <c r="R1434" s="22"/>
      <c r="S1434" s="22"/>
      <c r="T1434" s="22"/>
      <c r="U1434" s="22"/>
      <c r="V1434" s="22"/>
      <c r="W1434" s="22"/>
      <c r="X1434" s="22"/>
    </row>
    <row r="1435" spans="17:24" x14ac:dyDescent="0.25">
      <c r="Q1435" s="22"/>
      <c r="R1435" s="22"/>
      <c r="S1435" s="22"/>
      <c r="T1435" s="22"/>
      <c r="U1435" s="22"/>
      <c r="V1435" s="22"/>
      <c r="W1435" s="22"/>
      <c r="X1435" s="22"/>
    </row>
    <row r="1436" spans="17:24" x14ac:dyDescent="0.25">
      <c r="Q1436" s="22"/>
      <c r="R1436" s="22"/>
      <c r="S1436" s="22"/>
      <c r="T1436" s="22"/>
      <c r="U1436" s="22"/>
      <c r="V1436" s="22"/>
      <c r="W1436" s="22"/>
      <c r="X1436" s="22"/>
    </row>
    <row r="1437" spans="17:24" x14ac:dyDescent="0.25">
      <c r="Q1437" s="22"/>
      <c r="R1437" s="22"/>
      <c r="S1437" s="22"/>
      <c r="T1437" s="22"/>
      <c r="U1437" s="22"/>
      <c r="V1437" s="22"/>
      <c r="W1437" s="22"/>
      <c r="X1437" s="22"/>
    </row>
    <row r="1438" spans="17:24" x14ac:dyDescent="0.25">
      <c r="Q1438" s="22"/>
      <c r="R1438" s="22"/>
      <c r="S1438" s="22"/>
      <c r="T1438" s="22"/>
      <c r="U1438" s="22"/>
      <c r="V1438" s="22"/>
      <c r="W1438" s="22"/>
      <c r="X1438" s="22"/>
    </row>
    <row r="1439" spans="17:24" x14ac:dyDescent="0.25">
      <c r="Q1439" s="22"/>
      <c r="R1439" s="22"/>
      <c r="S1439" s="22"/>
      <c r="T1439" s="22"/>
      <c r="U1439" s="22"/>
      <c r="V1439" s="22"/>
      <c r="W1439" s="22"/>
      <c r="X1439" s="22"/>
    </row>
    <row r="1440" spans="17:24" x14ac:dyDescent="0.25">
      <c r="Q1440" s="22"/>
      <c r="R1440" s="22"/>
      <c r="S1440" s="22"/>
      <c r="T1440" s="22"/>
      <c r="U1440" s="22"/>
      <c r="V1440" s="22"/>
      <c r="W1440" s="22"/>
      <c r="X1440" s="22"/>
    </row>
    <row r="1441" spans="17:24" x14ac:dyDescent="0.25">
      <c r="Q1441" s="22"/>
      <c r="R1441" s="22"/>
      <c r="S1441" s="22"/>
      <c r="T1441" s="22"/>
      <c r="U1441" s="22"/>
      <c r="V1441" s="22"/>
      <c r="W1441" s="22"/>
      <c r="X1441" s="22"/>
    </row>
    <row r="1442" spans="17:24" x14ac:dyDescent="0.25">
      <c r="Q1442" s="22"/>
      <c r="R1442" s="22"/>
      <c r="S1442" s="22"/>
      <c r="T1442" s="22"/>
      <c r="U1442" s="22"/>
      <c r="V1442" s="22"/>
      <c r="W1442" s="22"/>
      <c r="X1442" s="22"/>
    </row>
    <row r="1443" spans="17:24" x14ac:dyDescent="0.25">
      <c r="Q1443" s="22"/>
      <c r="R1443" s="22"/>
      <c r="S1443" s="22"/>
      <c r="T1443" s="22"/>
      <c r="U1443" s="22"/>
      <c r="V1443" s="22"/>
      <c r="W1443" s="22"/>
      <c r="X1443" s="22"/>
    </row>
    <row r="1444" spans="17:24" x14ac:dyDescent="0.25">
      <c r="Q1444" s="22"/>
      <c r="R1444" s="22"/>
      <c r="S1444" s="22"/>
      <c r="T1444" s="22"/>
      <c r="U1444" s="22"/>
      <c r="V1444" s="22"/>
      <c r="W1444" s="22"/>
      <c r="X1444" s="22"/>
    </row>
    <row r="1445" spans="17:24" x14ac:dyDescent="0.25">
      <c r="Q1445" s="22"/>
      <c r="R1445" s="22"/>
      <c r="S1445" s="22"/>
      <c r="T1445" s="22"/>
      <c r="U1445" s="22"/>
      <c r="V1445" s="22"/>
      <c r="W1445" s="22"/>
      <c r="X1445" s="22"/>
    </row>
    <row r="1446" spans="17:24" x14ac:dyDescent="0.25">
      <c r="Q1446" s="22"/>
      <c r="R1446" s="22"/>
      <c r="S1446" s="22"/>
      <c r="T1446" s="22"/>
      <c r="U1446" s="22"/>
      <c r="V1446" s="22"/>
      <c r="W1446" s="22"/>
      <c r="X1446" s="22"/>
    </row>
    <row r="1447" spans="17:24" x14ac:dyDescent="0.25">
      <c r="Q1447" s="22"/>
      <c r="R1447" s="22"/>
      <c r="S1447" s="22"/>
      <c r="T1447" s="22"/>
      <c r="U1447" s="22"/>
      <c r="V1447" s="22"/>
      <c r="W1447" s="22"/>
      <c r="X1447" s="22"/>
    </row>
    <row r="1448" spans="17:24" x14ac:dyDescent="0.25">
      <c r="Q1448" s="22"/>
      <c r="R1448" s="22"/>
      <c r="S1448" s="22"/>
      <c r="T1448" s="22"/>
      <c r="U1448" s="22"/>
      <c r="V1448" s="22"/>
      <c r="W1448" s="22"/>
      <c r="X1448" s="22"/>
    </row>
    <row r="1449" spans="17:24" x14ac:dyDescent="0.25">
      <c r="Q1449" s="22"/>
      <c r="R1449" s="22"/>
      <c r="S1449" s="22"/>
      <c r="T1449" s="22"/>
      <c r="U1449" s="22"/>
      <c r="V1449" s="22"/>
      <c r="W1449" s="22"/>
      <c r="X1449" s="22"/>
    </row>
    <row r="1450" spans="17:24" x14ac:dyDescent="0.25">
      <c r="Q1450" s="22"/>
      <c r="R1450" s="22"/>
      <c r="S1450" s="22"/>
      <c r="T1450" s="22"/>
      <c r="U1450" s="22"/>
      <c r="V1450" s="22"/>
      <c r="W1450" s="22"/>
      <c r="X1450" s="22"/>
    </row>
    <row r="1451" spans="17:24" x14ac:dyDescent="0.25">
      <c r="Q1451" s="22"/>
      <c r="R1451" s="22"/>
      <c r="S1451" s="22"/>
      <c r="T1451" s="22"/>
      <c r="U1451" s="22"/>
      <c r="V1451" s="22"/>
      <c r="W1451" s="22"/>
      <c r="X1451" s="22"/>
    </row>
    <row r="1452" spans="17:24" x14ac:dyDescent="0.25">
      <c r="Q1452" s="22"/>
      <c r="R1452" s="22"/>
      <c r="S1452" s="22"/>
      <c r="T1452" s="22"/>
      <c r="U1452" s="22"/>
      <c r="V1452" s="22"/>
      <c r="W1452" s="22"/>
      <c r="X1452" s="22"/>
    </row>
    <row r="1453" spans="17:24" x14ac:dyDescent="0.25">
      <c r="Q1453" s="22"/>
      <c r="R1453" s="22"/>
      <c r="S1453" s="22"/>
      <c r="T1453" s="22"/>
      <c r="U1453" s="22"/>
      <c r="V1453" s="22"/>
      <c r="W1453" s="22"/>
      <c r="X1453" s="22"/>
    </row>
    <row r="1454" spans="17:24" x14ac:dyDescent="0.25">
      <c r="Q1454" s="22"/>
      <c r="R1454" s="22"/>
      <c r="S1454" s="22"/>
      <c r="T1454" s="22"/>
      <c r="U1454" s="22"/>
      <c r="V1454" s="22"/>
      <c r="W1454" s="22"/>
      <c r="X1454" s="22"/>
    </row>
    <row r="1455" spans="17:24" x14ac:dyDescent="0.25">
      <c r="Q1455" s="22"/>
      <c r="R1455" s="22"/>
      <c r="S1455" s="22"/>
      <c r="T1455" s="22"/>
      <c r="U1455" s="22"/>
      <c r="V1455" s="22"/>
      <c r="W1455" s="22"/>
      <c r="X1455" s="22"/>
    </row>
    <row r="1456" spans="17:24" x14ac:dyDescent="0.25">
      <c r="Q1456" s="22"/>
      <c r="R1456" s="22"/>
      <c r="S1456" s="22"/>
      <c r="T1456" s="22"/>
      <c r="U1456" s="22"/>
      <c r="V1456" s="22"/>
      <c r="W1456" s="22"/>
      <c r="X1456" s="22"/>
    </row>
    <row r="1457" spans="17:24" x14ac:dyDescent="0.25">
      <c r="Q1457" s="22"/>
      <c r="R1457" s="22"/>
      <c r="S1457" s="22"/>
      <c r="T1457" s="22"/>
      <c r="U1457" s="22"/>
      <c r="V1457" s="22"/>
      <c r="W1457" s="22"/>
      <c r="X1457" s="22"/>
    </row>
    <row r="1458" spans="17:24" x14ac:dyDescent="0.25">
      <c r="Q1458" s="22"/>
      <c r="R1458" s="22"/>
      <c r="S1458" s="22"/>
      <c r="T1458" s="22"/>
      <c r="U1458" s="22"/>
      <c r="V1458" s="22"/>
      <c r="W1458" s="22"/>
      <c r="X1458" s="22"/>
    </row>
    <row r="1459" spans="17:24" x14ac:dyDescent="0.25">
      <c r="Q1459" s="22"/>
      <c r="R1459" s="22"/>
      <c r="S1459" s="22"/>
      <c r="T1459" s="22"/>
      <c r="U1459" s="22"/>
      <c r="V1459" s="22"/>
      <c r="W1459" s="22"/>
      <c r="X1459" s="22"/>
    </row>
    <row r="1460" spans="17:24" x14ac:dyDescent="0.25">
      <c r="Q1460" s="22"/>
      <c r="R1460" s="22"/>
      <c r="S1460" s="22"/>
      <c r="T1460" s="22"/>
      <c r="U1460" s="22"/>
      <c r="V1460" s="22"/>
      <c r="W1460" s="22"/>
      <c r="X1460" s="22"/>
    </row>
    <row r="1461" spans="17:24" x14ac:dyDescent="0.25">
      <c r="Q1461" s="22"/>
      <c r="R1461" s="22"/>
      <c r="S1461" s="22"/>
      <c r="T1461" s="22"/>
      <c r="U1461" s="22"/>
      <c r="V1461" s="22"/>
      <c r="W1461" s="22"/>
      <c r="X1461" s="22"/>
    </row>
    <row r="1462" spans="17:24" x14ac:dyDescent="0.25">
      <c r="Q1462" s="22"/>
      <c r="R1462" s="22"/>
      <c r="S1462" s="22"/>
      <c r="T1462" s="22"/>
      <c r="U1462" s="22"/>
      <c r="V1462" s="22"/>
      <c r="W1462" s="22"/>
      <c r="X1462" s="22"/>
    </row>
    <row r="1463" spans="17:24" x14ac:dyDescent="0.25">
      <c r="Q1463" s="22"/>
      <c r="R1463" s="22"/>
      <c r="S1463" s="22"/>
      <c r="T1463" s="22"/>
      <c r="U1463" s="22"/>
      <c r="V1463" s="22"/>
      <c r="W1463" s="22"/>
      <c r="X1463" s="22"/>
    </row>
    <row r="1464" spans="17:24" x14ac:dyDescent="0.25">
      <c r="Q1464" s="22"/>
      <c r="R1464" s="22"/>
      <c r="S1464" s="22"/>
      <c r="T1464" s="22"/>
      <c r="U1464" s="22"/>
      <c r="V1464" s="22"/>
      <c r="W1464" s="22"/>
      <c r="X1464" s="22"/>
    </row>
    <row r="1465" spans="17:24" x14ac:dyDescent="0.25">
      <c r="Q1465" s="22"/>
      <c r="R1465" s="22"/>
      <c r="S1465" s="22"/>
      <c r="T1465" s="22"/>
      <c r="U1465" s="22"/>
      <c r="V1465" s="22"/>
      <c r="W1465" s="22"/>
      <c r="X1465" s="22"/>
    </row>
    <row r="1466" spans="17:24" x14ac:dyDescent="0.25">
      <c r="Q1466" s="22"/>
      <c r="R1466" s="22"/>
      <c r="S1466" s="22"/>
      <c r="T1466" s="22"/>
      <c r="U1466" s="22"/>
      <c r="V1466" s="22"/>
      <c r="W1466" s="22"/>
      <c r="X1466" s="22"/>
    </row>
    <row r="1467" spans="17:24" x14ac:dyDescent="0.25">
      <c r="Q1467" s="22"/>
      <c r="R1467" s="22"/>
      <c r="S1467" s="22"/>
      <c r="T1467" s="22"/>
      <c r="U1467" s="22"/>
      <c r="V1467" s="22"/>
      <c r="W1467" s="22"/>
      <c r="X1467" s="22"/>
    </row>
    <row r="1468" spans="17:24" x14ac:dyDescent="0.25">
      <c r="Q1468" s="22"/>
      <c r="R1468" s="22"/>
      <c r="S1468" s="22"/>
      <c r="T1468" s="22"/>
      <c r="U1468" s="22"/>
      <c r="V1468" s="22"/>
      <c r="W1468" s="22"/>
      <c r="X1468" s="22"/>
    </row>
    <row r="1469" spans="17:24" x14ac:dyDescent="0.25">
      <c r="Q1469" s="22"/>
      <c r="R1469" s="22"/>
      <c r="S1469" s="22"/>
      <c r="T1469" s="22"/>
      <c r="U1469" s="22"/>
      <c r="V1469" s="22"/>
      <c r="W1469" s="22"/>
      <c r="X1469" s="22"/>
    </row>
    <row r="1470" spans="17:24" x14ac:dyDescent="0.25">
      <c r="Q1470" s="22"/>
      <c r="R1470" s="22"/>
      <c r="S1470" s="22"/>
      <c r="T1470" s="22"/>
      <c r="U1470" s="22"/>
      <c r="V1470" s="22"/>
      <c r="W1470" s="22"/>
      <c r="X1470" s="22"/>
    </row>
    <row r="1471" spans="17:24" x14ac:dyDescent="0.25">
      <c r="Q1471" s="22"/>
      <c r="R1471" s="22"/>
      <c r="S1471" s="22"/>
      <c r="T1471" s="22"/>
      <c r="U1471" s="22"/>
      <c r="V1471" s="22"/>
      <c r="W1471" s="22"/>
      <c r="X1471" s="22"/>
    </row>
    <row r="1472" spans="17:24" x14ac:dyDescent="0.25">
      <c r="Q1472" s="22"/>
      <c r="R1472" s="22"/>
      <c r="S1472" s="22"/>
      <c r="T1472" s="22"/>
      <c r="U1472" s="22"/>
      <c r="V1472" s="22"/>
      <c r="W1472" s="22"/>
      <c r="X1472" s="22"/>
    </row>
    <row r="1473" spans="17:24" x14ac:dyDescent="0.25">
      <c r="Q1473" s="22"/>
      <c r="R1473" s="22"/>
      <c r="S1473" s="22"/>
      <c r="T1473" s="22"/>
      <c r="U1473" s="22"/>
      <c r="V1473" s="22"/>
      <c r="W1473" s="22"/>
      <c r="X1473" s="22"/>
    </row>
    <row r="1474" spans="17:24" x14ac:dyDescent="0.25">
      <c r="Q1474" s="22"/>
      <c r="R1474" s="22"/>
      <c r="S1474" s="22"/>
      <c r="T1474" s="22"/>
      <c r="U1474" s="22"/>
      <c r="V1474" s="22"/>
      <c r="W1474" s="22"/>
      <c r="X1474" s="22"/>
    </row>
    <row r="1475" spans="17:24" x14ac:dyDescent="0.25">
      <c r="Q1475" s="22"/>
      <c r="R1475" s="22"/>
      <c r="S1475" s="22"/>
      <c r="T1475" s="22"/>
      <c r="U1475" s="22"/>
      <c r="V1475" s="22"/>
      <c r="W1475" s="22"/>
      <c r="X1475" s="22"/>
    </row>
    <row r="1476" spans="17:24" x14ac:dyDescent="0.25">
      <c r="Q1476" s="22"/>
      <c r="R1476" s="22"/>
      <c r="S1476" s="22"/>
      <c r="T1476" s="22"/>
      <c r="U1476" s="22"/>
      <c r="V1476" s="22"/>
      <c r="W1476" s="22"/>
      <c r="X1476" s="22"/>
    </row>
    <row r="1477" spans="17:24" x14ac:dyDescent="0.25">
      <c r="Q1477" s="22"/>
      <c r="R1477" s="22"/>
      <c r="S1477" s="22"/>
      <c r="T1477" s="22"/>
      <c r="U1477" s="22"/>
      <c r="V1477" s="22"/>
      <c r="W1477" s="22"/>
      <c r="X1477" s="22"/>
    </row>
    <row r="1478" spans="17:24" x14ac:dyDescent="0.25">
      <c r="Q1478" s="22"/>
      <c r="R1478" s="22"/>
      <c r="S1478" s="22"/>
      <c r="T1478" s="22"/>
      <c r="U1478" s="22"/>
      <c r="V1478" s="22"/>
      <c r="W1478" s="22"/>
      <c r="X1478" s="22"/>
    </row>
    <row r="1479" spans="17:24" x14ac:dyDescent="0.25">
      <c r="Q1479" s="22"/>
      <c r="R1479" s="22"/>
      <c r="S1479" s="22"/>
      <c r="T1479" s="22"/>
      <c r="U1479" s="22"/>
      <c r="V1479" s="22"/>
      <c r="W1479" s="22"/>
      <c r="X1479" s="22"/>
    </row>
    <row r="1480" spans="17:24" x14ac:dyDescent="0.25">
      <c r="Q1480" s="22"/>
      <c r="R1480" s="22"/>
      <c r="S1480" s="22"/>
      <c r="T1480" s="22"/>
      <c r="U1480" s="22"/>
      <c r="V1480" s="22"/>
      <c r="W1480" s="22"/>
      <c r="X1480" s="22"/>
    </row>
    <row r="1481" spans="17:24" x14ac:dyDescent="0.25">
      <c r="Q1481" s="22"/>
      <c r="R1481" s="22"/>
      <c r="S1481" s="22"/>
      <c r="T1481" s="22"/>
      <c r="U1481" s="22"/>
      <c r="V1481" s="22"/>
      <c r="W1481" s="22"/>
      <c r="X1481" s="22"/>
    </row>
    <row r="1482" spans="17:24" x14ac:dyDescent="0.25">
      <c r="Q1482" s="22"/>
      <c r="R1482" s="22"/>
      <c r="S1482" s="22"/>
      <c r="T1482" s="22"/>
      <c r="U1482" s="22"/>
      <c r="V1482" s="22"/>
      <c r="W1482" s="22"/>
      <c r="X1482" s="22"/>
    </row>
    <row r="1483" spans="17:24" x14ac:dyDescent="0.25">
      <c r="Q1483" s="22"/>
      <c r="R1483" s="22"/>
      <c r="S1483" s="22"/>
      <c r="T1483" s="22"/>
      <c r="U1483" s="22"/>
      <c r="V1483" s="22"/>
      <c r="W1483" s="22"/>
      <c r="X1483" s="22"/>
    </row>
    <row r="1484" spans="17:24" x14ac:dyDescent="0.25">
      <c r="Q1484" s="22"/>
      <c r="R1484" s="22"/>
      <c r="S1484" s="22"/>
      <c r="T1484" s="22"/>
      <c r="U1484" s="22"/>
      <c r="V1484" s="22"/>
      <c r="W1484" s="22"/>
      <c r="X1484" s="22"/>
    </row>
    <row r="1485" spans="17:24" x14ac:dyDescent="0.25">
      <c r="Q1485" s="22"/>
      <c r="R1485" s="22"/>
      <c r="S1485" s="22"/>
      <c r="T1485" s="22"/>
      <c r="U1485" s="22"/>
      <c r="V1485" s="22"/>
      <c r="W1485" s="22"/>
      <c r="X1485" s="22"/>
    </row>
    <row r="1486" spans="17:24" x14ac:dyDescent="0.25">
      <c r="Q1486" s="22"/>
      <c r="R1486" s="22"/>
      <c r="S1486" s="22"/>
      <c r="T1486" s="22"/>
      <c r="U1486" s="22"/>
      <c r="V1486" s="22"/>
      <c r="W1486" s="22"/>
      <c r="X1486" s="22"/>
    </row>
    <row r="1487" spans="17:24" x14ac:dyDescent="0.25">
      <c r="Q1487" s="22"/>
      <c r="R1487" s="22"/>
      <c r="S1487" s="22"/>
      <c r="T1487" s="22"/>
      <c r="U1487" s="22"/>
      <c r="V1487" s="22"/>
      <c r="W1487" s="22"/>
      <c r="X1487" s="22"/>
    </row>
    <row r="1488" spans="17:24" x14ac:dyDescent="0.25">
      <c r="Q1488" s="22"/>
      <c r="R1488" s="22"/>
      <c r="S1488" s="22"/>
      <c r="T1488" s="22"/>
      <c r="U1488" s="22"/>
      <c r="V1488" s="22"/>
      <c r="W1488" s="22"/>
      <c r="X1488" s="22"/>
    </row>
    <row r="1489" spans="17:24" x14ac:dyDescent="0.25">
      <c r="Q1489" s="22"/>
      <c r="R1489" s="22"/>
      <c r="S1489" s="22"/>
      <c r="T1489" s="22"/>
      <c r="U1489" s="22"/>
      <c r="V1489" s="22"/>
      <c r="W1489" s="22"/>
      <c r="X1489" s="22"/>
    </row>
    <row r="1490" spans="17:24" x14ac:dyDescent="0.25">
      <c r="Q1490" s="22"/>
      <c r="R1490" s="22"/>
      <c r="S1490" s="22"/>
      <c r="T1490" s="22"/>
      <c r="U1490" s="22"/>
      <c r="V1490" s="22"/>
      <c r="W1490" s="22"/>
      <c r="X1490" s="22"/>
    </row>
    <row r="1491" spans="17:24" x14ac:dyDescent="0.25">
      <c r="Q1491" s="22"/>
      <c r="R1491" s="22"/>
      <c r="S1491" s="22"/>
      <c r="T1491" s="22"/>
      <c r="U1491" s="22"/>
      <c r="V1491" s="22"/>
      <c r="W1491" s="22"/>
      <c r="X1491" s="22"/>
    </row>
    <row r="1492" spans="17:24" x14ac:dyDescent="0.25">
      <c r="Q1492" s="22"/>
      <c r="R1492" s="22"/>
      <c r="S1492" s="22"/>
      <c r="T1492" s="22"/>
      <c r="U1492" s="22"/>
      <c r="V1492" s="22"/>
      <c r="W1492" s="22"/>
      <c r="X1492" s="22"/>
    </row>
    <row r="1493" spans="17:24" x14ac:dyDescent="0.25">
      <c r="Q1493" s="22"/>
      <c r="R1493" s="22"/>
      <c r="S1493" s="22"/>
      <c r="T1493" s="22"/>
      <c r="U1493" s="22"/>
      <c r="V1493" s="22"/>
      <c r="W1493" s="22"/>
      <c r="X1493" s="22"/>
    </row>
    <row r="1494" spans="17:24" x14ac:dyDescent="0.25">
      <c r="Q1494" s="22"/>
      <c r="R1494" s="22"/>
      <c r="S1494" s="22"/>
      <c r="T1494" s="22"/>
      <c r="U1494" s="22"/>
      <c r="V1494" s="22"/>
      <c r="W1494" s="22"/>
      <c r="X1494" s="22"/>
    </row>
    <row r="1495" spans="17:24" x14ac:dyDescent="0.25">
      <c r="Q1495" s="22"/>
      <c r="R1495" s="22"/>
      <c r="S1495" s="22"/>
      <c r="T1495" s="22"/>
      <c r="U1495" s="22"/>
      <c r="V1495" s="22"/>
      <c r="W1495" s="22"/>
      <c r="X1495" s="22"/>
    </row>
    <row r="1496" spans="17:24" x14ac:dyDescent="0.25">
      <c r="Q1496" s="22"/>
      <c r="R1496" s="22"/>
      <c r="S1496" s="22"/>
      <c r="T1496" s="22"/>
      <c r="U1496" s="22"/>
      <c r="V1496" s="22"/>
      <c r="W1496" s="22"/>
      <c r="X1496" s="22"/>
    </row>
    <row r="1497" spans="17:24" x14ac:dyDescent="0.25">
      <c r="Q1497" s="22"/>
      <c r="R1497" s="22"/>
      <c r="S1497" s="22"/>
      <c r="T1497" s="22"/>
      <c r="U1497" s="22"/>
      <c r="V1497" s="22"/>
      <c r="W1497" s="22"/>
      <c r="X1497" s="22"/>
    </row>
    <row r="1498" spans="17:24" x14ac:dyDescent="0.25">
      <c r="Q1498" s="22"/>
      <c r="R1498" s="22"/>
      <c r="S1498" s="22"/>
      <c r="T1498" s="22"/>
      <c r="U1498" s="22"/>
      <c r="V1498" s="22"/>
      <c r="W1498" s="22"/>
      <c r="X1498" s="22"/>
    </row>
    <row r="1499" spans="17:24" x14ac:dyDescent="0.25">
      <c r="Q1499" s="22"/>
      <c r="R1499" s="22"/>
      <c r="S1499" s="22"/>
      <c r="T1499" s="22"/>
      <c r="U1499" s="22"/>
      <c r="V1499" s="22"/>
      <c r="W1499" s="22"/>
      <c r="X1499" s="22"/>
    </row>
    <row r="1500" spans="17:24" x14ac:dyDescent="0.25">
      <c r="Q1500" s="22"/>
      <c r="R1500" s="22"/>
      <c r="S1500" s="22"/>
      <c r="T1500" s="22"/>
      <c r="U1500" s="22"/>
      <c r="V1500" s="22"/>
      <c r="W1500" s="22"/>
      <c r="X1500" s="22"/>
    </row>
    <row r="1501" spans="17:24" x14ac:dyDescent="0.25">
      <c r="Q1501" s="22"/>
      <c r="R1501" s="22"/>
      <c r="S1501" s="22"/>
      <c r="T1501" s="22"/>
      <c r="U1501" s="22"/>
      <c r="V1501" s="22"/>
      <c r="W1501" s="22"/>
      <c r="X1501" s="22"/>
    </row>
    <row r="1502" spans="17:24" x14ac:dyDescent="0.25">
      <c r="Q1502" s="22"/>
      <c r="R1502" s="22"/>
      <c r="S1502" s="22"/>
      <c r="T1502" s="22"/>
      <c r="U1502" s="22"/>
      <c r="V1502" s="22"/>
      <c r="W1502" s="22"/>
      <c r="X1502" s="22"/>
    </row>
    <row r="1503" spans="17:24" x14ac:dyDescent="0.25">
      <c r="Q1503" s="22"/>
      <c r="R1503" s="22"/>
      <c r="S1503" s="22"/>
      <c r="T1503" s="22"/>
      <c r="U1503" s="22"/>
      <c r="V1503" s="22"/>
      <c r="W1503" s="22"/>
      <c r="X1503" s="22"/>
    </row>
    <row r="1504" spans="17:24" x14ac:dyDescent="0.25">
      <c r="Q1504" s="22"/>
      <c r="R1504" s="22"/>
      <c r="S1504" s="22"/>
      <c r="T1504" s="22"/>
      <c r="U1504" s="22"/>
      <c r="V1504" s="22"/>
      <c r="W1504" s="22"/>
      <c r="X1504" s="22"/>
    </row>
    <row r="1505" spans="17:24" x14ac:dyDescent="0.25">
      <c r="Q1505" s="22"/>
      <c r="R1505" s="22"/>
      <c r="S1505" s="22"/>
      <c r="T1505" s="22"/>
      <c r="U1505" s="22"/>
      <c r="V1505" s="22"/>
      <c r="W1505" s="22"/>
      <c r="X1505" s="22"/>
    </row>
    <row r="1506" spans="17:24" x14ac:dyDescent="0.25">
      <c r="Q1506" s="22"/>
      <c r="R1506" s="22"/>
      <c r="S1506" s="22"/>
      <c r="T1506" s="22"/>
      <c r="U1506" s="22"/>
      <c r="V1506" s="22"/>
      <c r="W1506" s="22"/>
      <c r="X1506" s="22"/>
    </row>
    <row r="1507" spans="17:24" x14ac:dyDescent="0.25">
      <c r="Q1507" s="22"/>
      <c r="R1507" s="22"/>
      <c r="S1507" s="22"/>
      <c r="T1507" s="22"/>
      <c r="U1507" s="22"/>
      <c r="V1507" s="22"/>
      <c r="W1507" s="22"/>
      <c r="X1507" s="22"/>
    </row>
    <row r="1508" spans="17:24" x14ac:dyDescent="0.25">
      <c r="Q1508" s="22"/>
      <c r="R1508" s="22"/>
      <c r="S1508" s="22"/>
      <c r="T1508" s="22"/>
      <c r="U1508" s="22"/>
      <c r="V1508" s="22"/>
      <c r="W1508" s="22"/>
      <c r="X1508" s="22"/>
    </row>
    <row r="1509" spans="17:24" x14ac:dyDescent="0.25">
      <c r="Q1509" s="22"/>
      <c r="R1509" s="22"/>
      <c r="S1509" s="22"/>
      <c r="T1509" s="22"/>
      <c r="U1509" s="22"/>
      <c r="V1509" s="22"/>
      <c r="W1509" s="22"/>
      <c r="X1509" s="22"/>
    </row>
    <row r="1510" spans="17:24" x14ac:dyDescent="0.25">
      <c r="Q1510" s="22"/>
      <c r="R1510" s="22"/>
      <c r="S1510" s="22"/>
      <c r="T1510" s="22"/>
      <c r="U1510" s="22"/>
      <c r="V1510" s="22"/>
      <c r="W1510" s="22"/>
      <c r="X1510" s="22"/>
    </row>
    <row r="1511" spans="17:24" x14ac:dyDescent="0.25">
      <c r="Q1511" s="22"/>
      <c r="R1511" s="22"/>
      <c r="S1511" s="22"/>
      <c r="T1511" s="22"/>
      <c r="U1511" s="22"/>
      <c r="V1511" s="22"/>
      <c r="W1511" s="22"/>
      <c r="X1511" s="22"/>
    </row>
    <row r="1512" spans="17:24" x14ac:dyDescent="0.25">
      <c r="Q1512" s="22"/>
      <c r="R1512" s="22"/>
      <c r="S1512" s="22"/>
      <c r="T1512" s="22"/>
      <c r="U1512" s="22"/>
      <c r="V1512" s="22"/>
      <c r="W1512" s="22"/>
      <c r="X1512" s="22"/>
    </row>
    <row r="1513" spans="17:24" x14ac:dyDescent="0.25">
      <c r="Q1513" s="22"/>
      <c r="R1513" s="22"/>
      <c r="S1513" s="22"/>
      <c r="T1513" s="22"/>
      <c r="U1513" s="22"/>
      <c r="V1513" s="22"/>
      <c r="W1513" s="22"/>
      <c r="X1513" s="22"/>
    </row>
    <row r="1514" spans="17:24" x14ac:dyDescent="0.25">
      <c r="Q1514" s="22"/>
      <c r="R1514" s="22"/>
      <c r="S1514" s="22"/>
      <c r="T1514" s="22"/>
      <c r="U1514" s="22"/>
      <c r="V1514" s="22"/>
      <c r="W1514" s="22"/>
      <c r="X1514" s="22"/>
    </row>
    <row r="1515" spans="17:24" x14ac:dyDescent="0.25">
      <c r="Q1515" s="22"/>
      <c r="R1515" s="22"/>
      <c r="S1515" s="22"/>
      <c r="T1515" s="22"/>
      <c r="U1515" s="22"/>
      <c r="V1515" s="22"/>
      <c r="W1515" s="22"/>
      <c r="X1515" s="22"/>
    </row>
    <row r="1516" spans="17:24" x14ac:dyDescent="0.25">
      <c r="Q1516" s="22"/>
      <c r="R1516" s="22"/>
      <c r="S1516" s="22"/>
      <c r="T1516" s="22"/>
      <c r="U1516" s="22"/>
      <c r="V1516" s="22"/>
      <c r="W1516" s="22"/>
      <c r="X1516" s="22"/>
    </row>
    <row r="1517" spans="17:24" x14ac:dyDescent="0.25">
      <c r="Q1517" s="22"/>
      <c r="R1517" s="22"/>
      <c r="S1517" s="22"/>
      <c r="T1517" s="22"/>
      <c r="U1517" s="22"/>
      <c r="V1517" s="22"/>
      <c r="W1517" s="22"/>
      <c r="X1517" s="22"/>
    </row>
    <row r="1518" spans="17:24" x14ac:dyDescent="0.25">
      <c r="Q1518" s="22"/>
      <c r="R1518" s="22"/>
      <c r="S1518" s="22"/>
      <c r="T1518" s="22"/>
      <c r="U1518" s="22"/>
      <c r="V1518" s="22"/>
      <c r="W1518" s="22"/>
      <c r="X1518" s="22"/>
    </row>
    <row r="1519" spans="17:24" x14ac:dyDescent="0.25">
      <c r="Q1519" s="22"/>
      <c r="R1519" s="22"/>
      <c r="S1519" s="22"/>
      <c r="T1519" s="22"/>
      <c r="U1519" s="22"/>
      <c r="V1519" s="22"/>
      <c r="W1519" s="22"/>
      <c r="X1519" s="22"/>
    </row>
    <row r="1520" spans="17:24" x14ac:dyDescent="0.25">
      <c r="Q1520" s="22"/>
      <c r="R1520" s="22"/>
      <c r="S1520" s="22"/>
      <c r="T1520" s="22"/>
      <c r="U1520" s="22"/>
      <c r="V1520" s="22"/>
      <c r="W1520" s="22"/>
      <c r="X1520" s="22"/>
    </row>
    <row r="1521" spans="17:24" x14ac:dyDescent="0.25">
      <c r="Q1521" s="22"/>
      <c r="R1521" s="22"/>
      <c r="S1521" s="22"/>
      <c r="T1521" s="22"/>
      <c r="U1521" s="22"/>
      <c r="V1521" s="22"/>
      <c r="W1521" s="22"/>
      <c r="X1521" s="22"/>
    </row>
    <row r="1522" spans="17:24" x14ac:dyDescent="0.25">
      <c r="Q1522" s="22"/>
      <c r="R1522" s="22"/>
      <c r="S1522" s="22"/>
      <c r="T1522" s="22"/>
      <c r="U1522" s="22"/>
      <c r="V1522" s="22"/>
      <c r="W1522" s="22"/>
      <c r="X1522" s="22"/>
    </row>
    <row r="1523" spans="17:24" x14ac:dyDescent="0.25">
      <c r="Q1523" s="22"/>
      <c r="R1523" s="22"/>
      <c r="S1523" s="22"/>
      <c r="T1523" s="22"/>
      <c r="U1523" s="22"/>
      <c r="V1523" s="22"/>
      <c r="W1523" s="22"/>
      <c r="X1523" s="22"/>
    </row>
    <row r="1524" spans="17:24" x14ac:dyDescent="0.25">
      <c r="Q1524" s="22"/>
      <c r="R1524" s="22"/>
      <c r="S1524" s="22"/>
      <c r="T1524" s="22"/>
      <c r="U1524" s="22"/>
      <c r="V1524" s="22"/>
      <c r="W1524" s="22"/>
      <c r="X1524" s="22"/>
    </row>
    <row r="1525" spans="17:24" x14ac:dyDescent="0.25">
      <c r="Q1525" s="22"/>
      <c r="R1525" s="22"/>
      <c r="S1525" s="22"/>
      <c r="T1525" s="22"/>
      <c r="U1525" s="22"/>
      <c r="V1525" s="22"/>
      <c r="W1525" s="22"/>
      <c r="X1525" s="22"/>
    </row>
    <row r="1526" spans="17:24" x14ac:dyDescent="0.25">
      <c r="Q1526" s="22"/>
      <c r="R1526" s="22"/>
      <c r="S1526" s="22"/>
      <c r="T1526" s="22"/>
      <c r="U1526" s="22"/>
      <c r="V1526" s="22"/>
      <c r="W1526" s="22"/>
      <c r="X1526" s="22"/>
    </row>
    <row r="1527" spans="17:24" x14ac:dyDescent="0.25">
      <c r="Q1527" s="22"/>
      <c r="R1527" s="22"/>
      <c r="S1527" s="22"/>
      <c r="T1527" s="22"/>
      <c r="U1527" s="22"/>
      <c r="V1527" s="22"/>
      <c r="W1527" s="22"/>
      <c r="X1527" s="22"/>
    </row>
    <row r="1528" spans="17:24" x14ac:dyDescent="0.25">
      <c r="Q1528" s="22"/>
      <c r="R1528" s="22"/>
      <c r="S1528" s="22"/>
      <c r="T1528" s="22"/>
      <c r="U1528" s="22"/>
      <c r="V1528" s="22"/>
      <c r="W1528" s="22"/>
      <c r="X1528" s="22"/>
    </row>
    <row r="1529" spans="17:24" x14ac:dyDescent="0.25">
      <c r="Q1529" s="22"/>
      <c r="R1529" s="22"/>
      <c r="S1529" s="22"/>
      <c r="T1529" s="22"/>
      <c r="U1529" s="22"/>
      <c r="V1529" s="22"/>
      <c r="W1529" s="22"/>
      <c r="X1529" s="22"/>
    </row>
    <row r="1530" spans="17:24" x14ac:dyDescent="0.25">
      <c r="Q1530" s="22"/>
      <c r="R1530" s="22"/>
      <c r="S1530" s="22"/>
      <c r="T1530" s="22"/>
      <c r="U1530" s="22"/>
      <c r="V1530" s="22"/>
      <c r="W1530" s="22"/>
      <c r="X1530" s="22"/>
    </row>
    <row r="1531" spans="17:24" x14ac:dyDescent="0.25">
      <c r="Q1531" s="22"/>
      <c r="R1531" s="22"/>
      <c r="S1531" s="22"/>
      <c r="T1531" s="22"/>
      <c r="U1531" s="22"/>
      <c r="V1531" s="22"/>
      <c r="W1531" s="22"/>
      <c r="X1531" s="22"/>
    </row>
    <row r="1532" spans="17:24" x14ac:dyDescent="0.25">
      <c r="Q1532" s="22"/>
      <c r="R1532" s="22"/>
      <c r="S1532" s="22"/>
      <c r="T1532" s="22"/>
      <c r="U1532" s="22"/>
      <c r="V1532" s="22"/>
      <c r="W1532" s="22"/>
      <c r="X1532" s="22"/>
    </row>
    <row r="1533" spans="17:24" x14ac:dyDescent="0.25">
      <c r="Q1533" s="22"/>
      <c r="R1533" s="22"/>
      <c r="S1533" s="22"/>
      <c r="T1533" s="22"/>
      <c r="U1533" s="22"/>
      <c r="V1533" s="22"/>
      <c r="W1533" s="22"/>
      <c r="X1533" s="22"/>
    </row>
    <row r="1534" spans="17:24" x14ac:dyDescent="0.25">
      <c r="Q1534" s="22"/>
      <c r="R1534" s="22"/>
      <c r="S1534" s="22"/>
      <c r="T1534" s="22"/>
      <c r="U1534" s="22"/>
      <c r="V1534" s="22"/>
      <c r="W1534" s="22"/>
      <c r="X1534" s="22"/>
    </row>
    <row r="1535" spans="17:24" x14ac:dyDescent="0.25">
      <c r="Q1535" s="22"/>
      <c r="R1535" s="22"/>
      <c r="S1535" s="22"/>
      <c r="T1535" s="22"/>
      <c r="U1535" s="22"/>
      <c r="V1535" s="22"/>
      <c r="W1535" s="22"/>
      <c r="X1535" s="22"/>
    </row>
    <row r="1536" spans="17:24" x14ac:dyDescent="0.25">
      <c r="Q1536" s="22"/>
      <c r="R1536" s="22"/>
      <c r="S1536" s="22"/>
      <c r="T1536" s="22"/>
      <c r="U1536" s="22"/>
      <c r="V1536" s="22"/>
      <c r="W1536" s="22"/>
      <c r="X1536" s="22"/>
    </row>
    <row r="1537" spans="17:24" x14ac:dyDescent="0.25">
      <c r="Q1537" s="22"/>
      <c r="R1537" s="22"/>
      <c r="S1537" s="22"/>
      <c r="T1537" s="22"/>
      <c r="U1537" s="22"/>
      <c r="V1537" s="22"/>
      <c r="W1537" s="22"/>
      <c r="X1537" s="22"/>
    </row>
    <row r="1538" spans="17:24" x14ac:dyDescent="0.25">
      <c r="Q1538" s="22"/>
      <c r="R1538" s="22"/>
      <c r="S1538" s="22"/>
      <c r="T1538" s="22"/>
      <c r="U1538" s="22"/>
      <c r="V1538" s="22"/>
      <c r="W1538" s="22"/>
      <c r="X1538" s="22"/>
    </row>
    <row r="1539" spans="17:24" x14ac:dyDescent="0.25">
      <c r="Q1539" s="22"/>
      <c r="R1539" s="22"/>
      <c r="S1539" s="22"/>
      <c r="T1539" s="22"/>
      <c r="U1539" s="22"/>
      <c r="V1539" s="22"/>
      <c r="W1539" s="22"/>
      <c r="X1539" s="22"/>
    </row>
    <row r="1540" spans="17:24" x14ac:dyDescent="0.25">
      <c r="Q1540" s="22"/>
      <c r="R1540" s="22"/>
      <c r="S1540" s="22"/>
      <c r="T1540" s="22"/>
      <c r="U1540" s="22"/>
      <c r="V1540" s="22"/>
      <c r="W1540" s="22"/>
      <c r="X1540" s="22"/>
    </row>
    <row r="1541" spans="17:24" x14ac:dyDescent="0.25">
      <c r="Q1541" s="22"/>
      <c r="R1541" s="22"/>
      <c r="S1541" s="22"/>
      <c r="T1541" s="22"/>
      <c r="U1541" s="22"/>
      <c r="V1541" s="22"/>
      <c r="W1541" s="22"/>
      <c r="X1541" s="22"/>
    </row>
    <row r="1542" spans="17:24" x14ac:dyDescent="0.25">
      <c r="Q1542" s="22"/>
      <c r="R1542" s="22"/>
      <c r="S1542" s="22"/>
      <c r="T1542" s="22"/>
      <c r="U1542" s="22"/>
      <c r="V1542" s="22"/>
      <c r="W1542" s="22"/>
      <c r="X1542" s="22"/>
    </row>
    <row r="1543" spans="17:24" x14ac:dyDescent="0.25">
      <c r="Q1543" s="22"/>
      <c r="R1543" s="22"/>
      <c r="S1543" s="22"/>
      <c r="T1543" s="22"/>
      <c r="U1543" s="22"/>
      <c r="V1543" s="22"/>
      <c r="W1543" s="22"/>
      <c r="X1543" s="22"/>
    </row>
    <row r="1544" spans="17:24" x14ac:dyDescent="0.25">
      <c r="Q1544" s="22"/>
      <c r="R1544" s="22"/>
      <c r="S1544" s="22"/>
      <c r="T1544" s="22"/>
      <c r="U1544" s="22"/>
      <c r="V1544" s="22"/>
      <c r="W1544" s="22"/>
      <c r="X1544" s="22"/>
    </row>
    <row r="1545" spans="17:24" x14ac:dyDescent="0.25">
      <c r="Q1545" s="22"/>
      <c r="R1545" s="22"/>
      <c r="S1545" s="22"/>
      <c r="T1545" s="22"/>
      <c r="U1545" s="22"/>
      <c r="V1545" s="22"/>
      <c r="W1545" s="22"/>
      <c r="X1545" s="22"/>
    </row>
    <row r="1546" spans="17:24" x14ac:dyDescent="0.25">
      <c r="Q1546" s="22"/>
      <c r="R1546" s="22"/>
      <c r="S1546" s="22"/>
      <c r="T1546" s="22"/>
      <c r="U1546" s="22"/>
      <c r="V1546" s="22"/>
      <c r="W1546" s="22"/>
      <c r="X1546" s="22"/>
    </row>
    <row r="1547" spans="17:24" x14ac:dyDescent="0.25">
      <c r="Q1547" s="22"/>
      <c r="R1547" s="22"/>
      <c r="S1547" s="22"/>
      <c r="T1547" s="22"/>
      <c r="U1547" s="22"/>
      <c r="V1547" s="22"/>
      <c r="W1547" s="22"/>
      <c r="X1547" s="22"/>
    </row>
    <row r="1548" spans="17:24" x14ac:dyDescent="0.25">
      <c r="Q1548" s="22"/>
      <c r="R1548" s="22"/>
      <c r="S1548" s="22"/>
      <c r="T1548" s="22"/>
      <c r="U1548" s="22"/>
      <c r="V1548" s="22"/>
      <c r="W1548" s="22"/>
      <c r="X1548" s="22"/>
    </row>
    <row r="1549" spans="17:24" x14ac:dyDescent="0.25">
      <c r="Q1549" s="22"/>
      <c r="R1549" s="22"/>
      <c r="S1549" s="22"/>
      <c r="T1549" s="22"/>
      <c r="U1549" s="22"/>
      <c r="V1549" s="22"/>
      <c r="W1549" s="22"/>
      <c r="X1549" s="22"/>
    </row>
    <row r="1550" spans="17:24" x14ac:dyDescent="0.25">
      <c r="Q1550" s="22"/>
      <c r="R1550" s="22"/>
      <c r="S1550" s="22"/>
      <c r="T1550" s="22"/>
      <c r="U1550" s="22"/>
      <c r="V1550" s="22"/>
      <c r="W1550" s="22"/>
      <c r="X1550" s="22"/>
    </row>
    <row r="1551" spans="17:24" x14ac:dyDescent="0.25">
      <c r="Q1551" s="22"/>
      <c r="R1551" s="22"/>
      <c r="S1551" s="22"/>
      <c r="T1551" s="22"/>
      <c r="U1551" s="22"/>
      <c r="V1551" s="22"/>
      <c r="W1551" s="22"/>
      <c r="X1551" s="22"/>
    </row>
    <row r="1552" spans="17:24" x14ac:dyDescent="0.25">
      <c r="Q1552" s="22"/>
      <c r="R1552" s="22"/>
      <c r="S1552" s="22"/>
      <c r="T1552" s="22"/>
      <c r="U1552" s="22"/>
      <c r="V1552" s="22"/>
      <c r="W1552" s="22"/>
      <c r="X1552" s="22"/>
    </row>
    <row r="1553" spans="17:24" x14ac:dyDescent="0.25">
      <c r="Q1553" s="22"/>
      <c r="R1553" s="22"/>
      <c r="S1553" s="22"/>
      <c r="T1553" s="22"/>
      <c r="U1553" s="22"/>
      <c r="V1553" s="22"/>
      <c r="W1553" s="22"/>
      <c r="X1553" s="22"/>
    </row>
    <row r="1554" spans="17:24" x14ac:dyDescent="0.25">
      <c r="Q1554" s="22"/>
      <c r="R1554" s="22"/>
      <c r="S1554" s="22"/>
      <c r="T1554" s="22"/>
      <c r="U1554" s="22"/>
      <c r="V1554" s="22"/>
      <c r="W1554" s="22"/>
      <c r="X1554" s="22"/>
    </row>
    <row r="1555" spans="17:24" x14ac:dyDescent="0.25">
      <c r="Q1555" s="22"/>
      <c r="R1555" s="22"/>
      <c r="S1555" s="22"/>
      <c r="T1555" s="22"/>
      <c r="U1555" s="22"/>
      <c r="V1555" s="22"/>
      <c r="W1555" s="22"/>
      <c r="X1555" s="22"/>
    </row>
    <row r="1556" spans="17:24" x14ac:dyDescent="0.25">
      <c r="Q1556" s="22"/>
      <c r="R1556" s="22"/>
      <c r="S1556" s="22"/>
      <c r="T1556" s="22"/>
      <c r="U1556" s="22"/>
      <c r="V1556" s="22"/>
      <c r="W1556" s="22"/>
      <c r="X1556" s="22"/>
    </row>
    <row r="1557" spans="17:24" x14ac:dyDescent="0.25">
      <c r="Q1557" s="22"/>
      <c r="R1557" s="22"/>
      <c r="S1557" s="22"/>
      <c r="T1557" s="22"/>
      <c r="U1557" s="22"/>
      <c r="V1557" s="22"/>
      <c r="W1557" s="22"/>
      <c r="X1557" s="22"/>
    </row>
    <row r="1558" spans="17:24" x14ac:dyDescent="0.25">
      <c r="Q1558" s="22"/>
      <c r="R1558" s="22"/>
      <c r="S1558" s="22"/>
      <c r="T1558" s="22"/>
      <c r="U1558" s="22"/>
      <c r="V1558" s="22"/>
      <c r="W1558" s="22"/>
      <c r="X1558" s="22"/>
    </row>
    <row r="1559" spans="17:24" x14ac:dyDescent="0.25">
      <c r="Q1559" s="22"/>
      <c r="R1559" s="22"/>
      <c r="S1559" s="22"/>
      <c r="T1559" s="22"/>
      <c r="U1559" s="22"/>
      <c r="V1559" s="22"/>
      <c r="W1559" s="22"/>
      <c r="X1559" s="22"/>
    </row>
    <row r="1560" spans="17:24" x14ac:dyDescent="0.25">
      <c r="Q1560" s="22"/>
      <c r="R1560" s="22"/>
      <c r="S1560" s="22"/>
      <c r="T1560" s="22"/>
      <c r="U1560" s="22"/>
      <c r="V1560" s="22"/>
      <c r="W1560" s="22"/>
      <c r="X1560" s="22"/>
    </row>
    <row r="1561" spans="17:24" x14ac:dyDescent="0.25">
      <c r="Q1561" s="22"/>
      <c r="R1561" s="22"/>
      <c r="S1561" s="22"/>
      <c r="T1561" s="22"/>
      <c r="U1561" s="22"/>
      <c r="V1561" s="22"/>
      <c r="W1561" s="22"/>
      <c r="X1561" s="22"/>
    </row>
    <row r="1562" spans="17:24" x14ac:dyDescent="0.25">
      <c r="Q1562" s="22"/>
      <c r="R1562" s="22"/>
      <c r="S1562" s="22"/>
      <c r="T1562" s="22"/>
      <c r="U1562" s="22"/>
      <c r="V1562" s="22"/>
      <c r="W1562" s="22"/>
      <c r="X1562" s="22"/>
    </row>
    <row r="1563" spans="17:24" x14ac:dyDescent="0.25">
      <c r="Q1563" s="22"/>
      <c r="R1563" s="22"/>
      <c r="S1563" s="22"/>
      <c r="T1563" s="22"/>
      <c r="U1563" s="22"/>
      <c r="V1563" s="22"/>
      <c r="W1563" s="22"/>
      <c r="X1563" s="22"/>
    </row>
    <row r="1564" spans="17:24" x14ac:dyDescent="0.25">
      <c r="Q1564" s="22"/>
      <c r="R1564" s="22"/>
      <c r="S1564" s="22"/>
      <c r="T1564" s="22"/>
      <c r="U1564" s="22"/>
      <c r="V1564" s="22"/>
      <c r="W1564" s="22"/>
      <c r="X1564" s="22"/>
    </row>
    <row r="1565" spans="17:24" x14ac:dyDescent="0.25">
      <c r="Q1565" s="22"/>
      <c r="R1565" s="22"/>
      <c r="S1565" s="22"/>
      <c r="T1565" s="22"/>
      <c r="U1565" s="22"/>
      <c r="V1565" s="22"/>
      <c r="W1565" s="22"/>
      <c r="X1565" s="22"/>
    </row>
    <row r="1566" spans="17:24" x14ac:dyDescent="0.25">
      <c r="Q1566" s="22"/>
      <c r="R1566" s="22"/>
      <c r="S1566" s="22"/>
      <c r="T1566" s="22"/>
      <c r="U1566" s="22"/>
      <c r="V1566" s="22"/>
      <c r="W1566" s="22"/>
      <c r="X1566" s="22"/>
    </row>
    <row r="1567" spans="17:24" x14ac:dyDescent="0.25">
      <c r="Q1567" s="22"/>
      <c r="R1567" s="22"/>
      <c r="S1567" s="22"/>
      <c r="T1567" s="22"/>
      <c r="U1567" s="22"/>
      <c r="V1567" s="22"/>
      <c r="W1567" s="22"/>
      <c r="X1567" s="22"/>
    </row>
    <row r="1568" spans="17:24" x14ac:dyDescent="0.25">
      <c r="Q1568" s="22"/>
      <c r="R1568" s="22"/>
      <c r="S1568" s="22"/>
      <c r="T1568" s="22"/>
      <c r="U1568" s="22"/>
      <c r="V1568" s="22"/>
      <c r="W1568" s="22"/>
      <c r="X1568" s="22"/>
    </row>
    <row r="1569" spans="17:24" x14ac:dyDescent="0.25">
      <c r="Q1569" s="22"/>
      <c r="R1569" s="22"/>
      <c r="S1569" s="22"/>
      <c r="T1569" s="22"/>
      <c r="U1569" s="22"/>
      <c r="V1569" s="22"/>
      <c r="W1569" s="22"/>
      <c r="X1569" s="22"/>
    </row>
    <row r="1570" spans="17:24" x14ac:dyDescent="0.25">
      <c r="Q1570" s="22"/>
      <c r="R1570" s="22"/>
      <c r="S1570" s="22"/>
      <c r="T1570" s="22"/>
      <c r="U1570" s="22"/>
      <c r="V1570" s="22"/>
      <c r="W1570" s="22"/>
      <c r="X1570" s="22"/>
    </row>
    <row r="1571" spans="17:24" x14ac:dyDescent="0.25">
      <c r="Q1571" s="22"/>
      <c r="R1571" s="22"/>
      <c r="S1571" s="22"/>
      <c r="T1571" s="22"/>
      <c r="U1571" s="22"/>
      <c r="V1571" s="22"/>
      <c r="W1571" s="22"/>
      <c r="X1571" s="22"/>
    </row>
    <row r="1572" spans="17:24" x14ac:dyDescent="0.25">
      <c r="Q1572" s="22"/>
      <c r="R1572" s="22"/>
      <c r="S1572" s="22"/>
      <c r="T1572" s="22"/>
      <c r="U1572" s="22"/>
      <c r="V1572" s="22"/>
      <c r="W1572" s="22"/>
      <c r="X1572" s="22"/>
    </row>
    <row r="1573" spans="17:24" x14ac:dyDescent="0.25">
      <c r="Q1573" s="22"/>
      <c r="R1573" s="22"/>
      <c r="S1573" s="22"/>
      <c r="T1573" s="22"/>
      <c r="U1573" s="22"/>
      <c r="V1573" s="22"/>
      <c r="W1573" s="22"/>
      <c r="X1573" s="22"/>
    </row>
    <row r="1574" spans="17:24" x14ac:dyDescent="0.25">
      <c r="Q1574" s="22"/>
      <c r="R1574" s="22"/>
      <c r="S1574" s="22"/>
      <c r="T1574" s="22"/>
      <c r="U1574" s="22"/>
      <c r="V1574" s="22"/>
      <c r="W1574" s="22"/>
      <c r="X1574" s="22"/>
    </row>
    <row r="1575" spans="17:24" x14ac:dyDescent="0.25">
      <c r="Q1575" s="22"/>
      <c r="R1575" s="22"/>
      <c r="S1575" s="22"/>
      <c r="T1575" s="22"/>
      <c r="U1575" s="22"/>
      <c r="V1575" s="22"/>
      <c r="W1575" s="22"/>
      <c r="X1575" s="22"/>
    </row>
    <row r="1576" spans="17:24" x14ac:dyDescent="0.25">
      <c r="Q1576" s="22"/>
      <c r="R1576" s="22"/>
      <c r="S1576" s="22"/>
      <c r="T1576" s="22"/>
      <c r="U1576" s="22"/>
      <c r="V1576" s="22"/>
      <c r="W1576" s="22"/>
      <c r="X1576" s="22"/>
    </row>
    <row r="1577" spans="17:24" x14ac:dyDescent="0.25">
      <c r="Q1577" s="22"/>
      <c r="R1577" s="22"/>
      <c r="S1577" s="22"/>
      <c r="T1577" s="22"/>
      <c r="U1577" s="22"/>
      <c r="V1577" s="22"/>
      <c r="W1577" s="22"/>
      <c r="X1577" s="22"/>
    </row>
    <row r="1578" spans="17:24" x14ac:dyDescent="0.25">
      <c r="Q1578" s="22"/>
      <c r="R1578" s="22"/>
      <c r="S1578" s="22"/>
      <c r="T1578" s="22"/>
      <c r="U1578" s="22"/>
      <c r="V1578" s="22"/>
      <c r="W1578" s="22"/>
      <c r="X1578" s="22"/>
    </row>
    <row r="1579" spans="17:24" x14ac:dyDescent="0.25">
      <c r="Q1579" s="22"/>
      <c r="R1579" s="22"/>
      <c r="S1579" s="22"/>
      <c r="T1579" s="22"/>
      <c r="U1579" s="22"/>
      <c r="V1579" s="22"/>
      <c r="W1579" s="22"/>
      <c r="X1579" s="22"/>
    </row>
    <row r="1580" spans="17:24" x14ac:dyDescent="0.25">
      <c r="Q1580" s="22"/>
      <c r="R1580" s="22"/>
      <c r="S1580" s="22"/>
      <c r="T1580" s="22"/>
      <c r="U1580" s="22"/>
      <c r="V1580" s="22"/>
      <c r="W1580" s="22"/>
      <c r="X1580" s="22"/>
    </row>
    <row r="1581" spans="17:24" x14ac:dyDescent="0.25">
      <c r="Q1581" s="22"/>
      <c r="R1581" s="22"/>
      <c r="S1581" s="22"/>
      <c r="T1581" s="22"/>
      <c r="U1581" s="22"/>
      <c r="V1581" s="22"/>
      <c r="W1581" s="22"/>
      <c r="X1581" s="22"/>
    </row>
    <row r="1582" spans="17:24" x14ac:dyDescent="0.25">
      <c r="Q1582" s="22"/>
      <c r="R1582" s="22"/>
      <c r="S1582" s="22"/>
      <c r="T1582" s="22"/>
      <c r="U1582" s="22"/>
      <c r="V1582" s="22"/>
      <c r="W1582" s="22"/>
      <c r="X1582" s="22"/>
    </row>
    <row r="1583" spans="17:24" x14ac:dyDescent="0.25">
      <c r="Q1583" s="22"/>
      <c r="R1583" s="22"/>
      <c r="S1583" s="22"/>
      <c r="T1583" s="22"/>
      <c r="U1583" s="22"/>
      <c r="V1583" s="22"/>
      <c r="W1583" s="22"/>
      <c r="X1583" s="22"/>
    </row>
    <row r="1584" spans="17:24" x14ac:dyDescent="0.25">
      <c r="Q1584" s="22"/>
      <c r="R1584" s="22"/>
      <c r="S1584" s="22"/>
      <c r="T1584" s="22"/>
      <c r="U1584" s="22"/>
      <c r="V1584" s="22"/>
      <c r="W1584" s="22"/>
      <c r="X1584" s="22"/>
    </row>
    <row r="1585" spans="17:24" x14ac:dyDescent="0.25">
      <c r="Q1585" s="22"/>
      <c r="R1585" s="22"/>
      <c r="S1585" s="22"/>
      <c r="T1585" s="22"/>
      <c r="U1585" s="22"/>
      <c r="V1585" s="22"/>
      <c r="W1585" s="22"/>
      <c r="X1585" s="22"/>
    </row>
    <row r="1586" spans="17:24" x14ac:dyDescent="0.25">
      <c r="Q1586" s="22"/>
      <c r="R1586" s="22"/>
      <c r="S1586" s="22"/>
      <c r="T1586" s="22"/>
      <c r="U1586" s="22"/>
      <c r="V1586" s="22"/>
      <c r="W1586" s="22"/>
      <c r="X1586" s="22"/>
    </row>
    <row r="1587" spans="17:24" x14ac:dyDescent="0.25">
      <c r="Q1587" s="22"/>
      <c r="R1587" s="22"/>
      <c r="S1587" s="22"/>
      <c r="T1587" s="22"/>
      <c r="U1587" s="22"/>
      <c r="V1587" s="22"/>
      <c r="W1587" s="22"/>
      <c r="X1587" s="22"/>
    </row>
    <row r="1588" spans="17:24" x14ac:dyDescent="0.25">
      <c r="Q1588" s="22"/>
      <c r="R1588" s="22"/>
      <c r="S1588" s="22"/>
      <c r="T1588" s="22"/>
      <c r="U1588" s="22"/>
      <c r="V1588" s="22"/>
      <c r="W1588" s="22"/>
      <c r="X1588" s="22"/>
    </row>
    <row r="1589" spans="17:24" x14ac:dyDescent="0.25">
      <c r="Q1589" s="22"/>
      <c r="R1589" s="22"/>
      <c r="S1589" s="22"/>
      <c r="T1589" s="22"/>
      <c r="U1589" s="22"/>
      <c r="V1589" s="22"/>
      <c r="W1589" s="22"/>
      <c r="X1589" s="22"/>
    </row>
    <row r="1590" spans="17:24" x14ac:dyDescent="0.25">
      <c r="Q1590" s="22"/>
      <c r="R1590" s="22"/>
      <c r="S1590" s="22"/>
      <c r="T1590" s="22"/>
      <c r="U1590" s="22"/>
      <c r="V1590" s="22"/>
      <c r="W1590" s="22"/>
      <c r="X1590" s="22"/>
    </row>
    <row r="1591" spans="17:24" x14ac:dyDescent="0.25">
      <c r="Q1591" s="22"/>
      <c r="R1591" s="22"/>
      <c r="S1591" s="22"/>
      <c r="T1591" s="22"/>
      <c r="U1591" s="22"/>
      <c r="V1591" s="22"/>
      <c r="W1591" s="22"/>
      <c r="X1591" s="22"/>
    </row>
    <row r="1592" spans="17:24" x14ac:dyDescent="0.25">
      <c r="Q1592" s="22"/>
      <c r="R1592" s="22"/>
      <c r="S1592" s="22"/>
      <c r="T1592" s="22"/>
      <c r="U1592" s="22"/>
      <c r="V1592" s="22"/>
      <c r="W1592" s="22"/>
      <c r="X1592" s="22"/>
    </row>
    <row r="1593" spans="17:24" x14ac:dyDescent="0.25">
      <c r="Q1593" s="22"/>
      <c r="R1593" s="22"/>
      <c r="S1593" s="22"/>
      <c r="T1593" s="22"/>
      <c r="U1593" s="22"/>
      <c r="V1593" s="22"/>
      <c r="W1593" s="22"/>
      <c r="X1593" s="22"/>
    </row>
    <row r="1594" spans="17:24" x14ac:dyDescent="0.25">
      <c r="Q1594" s="22"/>
      <c r="R1594" s="22"/>
      <c r="S1594" s="22"/>
      <c r="T1594" s="22"/>
      <c r="U1594" s="22"/>
      <c r="V1594" s="22"/>
      <c r="W1594" s="22"/>
      <c r="X1594" s="22"/>
    </row>
    <row r="1595" spans="17:24" x14ac:dyDescent="0.25">
      <c r="Q1595" s="22"/>
      <c r="R1595" s="22"/>
      <c r="S1595" s="22"/>
      <c r="T1595" s="22"/>
      <c r="U1595" s="22"/>
      <c r="V1595" s="22"/>
      <c r="W1595" s="22"/>
      <c r="X1595" s="22"/>
    </row>
    <row r="1596" spans="17:24" x14ac:dyDescent="0.25">
      <c r="Q1596" s="22"/>
      <c r="R1596" s="22"/>
      <c r="S1596" s="22"/>
      <c r="T1596" s="22"/>
      <c r="U1596" s="22"/>
      <c r="V1596" s="22"/>
      <c r="W1596" s="22"/>
      <c r="X1596" s="22"/>
    </row>
    <row r="1597" spans="17:24" x14ac:dyDescent="0.25">
      <c r="Q1597" s="22"/>
      <c r="R1597" s="22"/>
      <c r="S1597" s="22"/>
      <c r="T1597" s="22"/>
      <c r="U1597" s="22"/>
      <c r="V1597" s="22"/>
      <c r="W1597" s="22"/>
      <c r="X1597" s="22"/>
    </row>
    <row r="1598" spans="17:24" x14ac:dyDescent="0.25">
      <c r="Q1598" s="22"/>
      <c r="R1598" s="22"/>
      <c r="S1598" s="22"/>
      <c r="T1598" s="22"/>
      <c r="U1598" s="22"/>
      <c r="V1598" s="22"/>
      <c r="W1598" s="22"/>
      <c r="X1598" s="22"/>
    </row>
    <row r="1599" spans="17:24" x14ac:dyDescent="0.25">
      <c r="Q1599" s="22"/>
      <c r="R1599" s="22"/>
      <c r="S1599" s="22"/>
      <c r="T1599" s="22"/>
      <c r="U1599" s="22"/>
      <c r="V1599" s="22"/>
      <c r="W1599" s="22"/>
      <c r="X1599" s="22"/>
    </row>
    <row r="1600" spans="17:24" x14ac:dyDescent="0.25">
      <c r="Q1600" s="22"/>
      <c r="R1600" s="22"/>
      <c r="S1600" s="22"/>
      <c r="T1600" s="22"/>
      <c r="U1600" s="22"/>
      <c r="V1600" s="22"/>
      <c r="W1600" s="22"/>
      <c r="X1600" s="22"/>
    </row>
    <row r="1601" spans="17:24" x14ac:dyDescent="0.25">
      <c r="Q1601" s="22"/>
      <c r="R1601" s="22"/>
      <c r="S1601" s="22"/>
      <c r="T1601" s="22"/>
      <c r="U1601" s="22"/>
      <c r="V1601" s="22"/>
      <c r="W1601" s="22"/>
      <c r="X1601" s="22"/>
    </row>
    <row r="1602" spans="17:24" x14ac:dyDescent="0.25">
      <c r="Q1602" s="22"/>
      <c r="R1602" s="22"/>
      <c r="S1602" s="22"/>
      <c r="T1602" s="22"/>
      <c r="U1602" s="22"/>
      <c r="V1602" s="22"/>
      <c r="W1602" s="22"/>
      <c r="X1602" s="22"/>
    </row>
    <row r="1603" spans="17:24" x14ac:dyDescent="0.25">
      <c r="Q1603" s="22"/>
      <c r="R1603" s="22"/>
      <c r="S1603" s="22"/>
      <c r="T1603" s="22"/>
      <c r="U1603" s="22"/>
      <c r="V1603" s="22"/>
      <c r="W1603" s="22"/>
      <c r="X1603" s="22"/>
    </row>
    <row r="1604" spans="17:24" x14ac:dyDescent="0.25">
      <c r="Q1604" s="22"/>
      <c r="R1604" s="22"/>
      <c r="S1604" s="22"/>
      <c r="T1604" s="22"/>
      <c r="U1604" s="22"/>
      <c r="V1604" s="22"/>
      <c r="W1604" s="22"/>
      <c r="X1604" s="22"/>
    </row>
    <row r="1605" spans="17:24" x14ac:dyDescent="0.25">
      <c r="Q1605" s="22"/>
      <c r="R1605" s="22"/>
      <c r="S1605" s="22"/>
      <c r="T1605" s="22"/>
      <c r="U1605" s="22"/>
      <c r="V1605" s="22"/>
      <c r="W1605" s="22"/>
      <c r="X1605" s="22"/>
    </row>
    <row r="1606" spans="17:24" x14ac:dyDescent="0.25">
      <c r="Q1606" s="22"/>
      <c r="R1606" s="22"/>
      <c r="S1606" s="22"/>
      <c r="T1606" s="22"/>
      <c r="U1606" s="22"/>
      <c r="V1606" s="22"/>
      <c r="W1606" s="22"/>
      <c r="X1606" s="22"/>
    </row>
    <row r="1607" spans="17:24" x14ac:dyDescent="0.25">
      <c r="Q1607" s="22"/>
      <c r="R1607" s="22"/>
      <c r="S1607" s="22"/>
      <c r="T1607" s="22"/>
      <c r="U1607" s="22"/>
      <c r="V1607" s="22"/>
      <c r="W1607" s="22"/>
      <c r="X1607" s="22"/>
    </row>
    <row r="1608" spans="17:24" x14ac:dyDescent="0.25">
      <c r="Q1608" s="22"/>
      <c r="R1608" s="22"/>
      <c r="S1608" s="22"/>
      <c r="T1608" s="22"/>
      <c r="U1608" s="22"/>
      <c r="V1608" s="22"/>
      <c r="W1608" s="22"/>
      <c r="X1608" s="22"/>
    </row>
    <row r="1609" spans="17:24" x14ac:dyDescent="0.25">
      <c r="Q1609" s="22"/>
      <c r="R1609" s="22"/>
      <c r="S1609" s="22"/>
      <c r="T1609" s="22"/>
      <c r="U1609" s="22"/>
      <c r="V1609" s="22"/>
      <c r="W1609" s="22"/>
      <c r="X1609" s="22"/>
    </row>
    <row r="1610" spans="17:24" x14ac:dyDescent="0.25">
      <c r="Q1610" s="22"/>
      <c r="R1610" s="22"/>
      <c r="S1610" s="22"/>
      <c r="T1610" s="22"/>
      <c r="U1610" s="22"/>
      <c r="V1610" s="22"/>
      <c r="W1610" s="22"/>
      <c r="X1610" s="22"/>
    </row>
    <row r="1611" spans="17:24" x14ac:dyDescent="0.25">
      <c r="Q1611" s="22"/>
      <c r="R1611" s="22"/>
      <c r="S1611" s="22"/>
      <c r="T1611" s="22"/>
      <c r="U1611" s="22"/>
      <c r="V1611" s="22"/>
      <c r="W1611" s="22"/>
      <c r="X1611" s="22"/>
    </row>
    <row r="1612" spans="17:24" x14ac:dyDescent="0.25">
      <c r="Q1612" s="22"/>
      <c r="R1612" s="22"/>
      <c r="S1612" s="22"/>
      <c r="T1612" s="22"/>
      <c r="U1612" s="22"/>
      <c r="V1612" s="22"/>
      <c r="W1612" s="22"/>
      <c r="X1612" s="22"/>
    </row>
    <row r="1613" spans="17:24" x14ac:dyDescent="0.25">
      <c r="Q1613" s="22"/>
      <c r="R1613" s="22"/>
      <c r="S1613" s="22"/>
      <c r="T1613" s="22"/>
      <c r="U1613" s="22"/>
      <c r="V1613" s="22"/>
      <c r="W1613" s="22"/>
      <c r="X1613" s="22"/>
    </row>
    <row r="1614" spans="17:24" x14ac:dyDescent="0.25">
      <c r="Q1614" s="22"/>
      <c r="R1614" s="22"/>
      <c r="S1614" s="22"/>
      <c r="T1614" s="22"/>
      <c r="U1614" s="22"/>
      <c r="V1614" s="22"/>
      <c r="W1614" s="22"/>
      <c r="X1614" s="22"/>
    </row>
    <row r="1615" spans="17:24" x14ac:dyDescent="0.25">
      <c r="Q1615" s="22"/>
      <c r="R1615" s="22"/>
      <c r="S1615" s="22"/>
      <c r="T1615" s="22"/>
      <c r="U1615" s="22"/>
      <c r="V1615" s="22"/>
      <c r="W1615" s="22"/>
      <c r="X1615" s="22"/>
    </row>
    <row r="1616" spans="17:24" x14ac:dyDescent="0.25">
      <c r="Q1616" s="22"/>
      <c r="R1616" s="22"/>
      <c r="S1616" s="22"/>
      <c r="T1616" s="22"/>
      <c r="U1616" s="22"/>
      <c r="V1616" s="22"/>
      <c r="W1616" s="22"/>
      <c r="X1616" s="22"/>
    </row>
    <row r="1617" spans="17:24" x14ac:dyDescent="0.25">
      <c r="Q1617" s="22"/>
      <c r="R1617" s="22"/>
      <c r="S1617" s="22"/>
      <c r="T1617" s="22"/>
      <c r="U1617" s="22"/>
      <c r="V1617" s="22"/>
      <c r="W1617" s="22"/>
      <c r="X1617" s="22"/>
    </row>
    <row r="1618" spans="17:24" x14ac:dyDescent="0.25">
      <c r="Q1618" s="22"/>
      <c r="R1618" s="22"/>
      <c r="S1618" s="22"/>
      <c r="T1618" s="22"/>
      <c r="U1618" s="22"/>
      <c r="V1618" s="22"/>
      <c r="W1618" s="22"/>
      <c r="X1618" s="22"/>
    </row>
    <row r="1619" spans="17:24" x14ac:dyDescent="0.25">
      <c r="Q1619" s="22"/>
      <c r="R1619" s="22"/>
      <c r="S1619" s="22"/>
      <c r="T1619" s="22"/>
      <c r="U1619" s="22"/>
      <c r="V1619" s="22"/>
      <c r="W1619" s="22"/>
      <c r="X1619" s="22"/>
    </row>
    <row r="1620" spans="17:24" x14ac:dyDescent="0.25">
      <c r="Q1620" s="22"/>
      <c r="R1620" s="22"/>
      <c r="S1620" s="22"/>
      <c r="T1620" s="22"/>
      <c r="U1620" s="22"/>
      <c r="V1620" s="22"/>
      <c r="W1620" s="22"/>
      <c r="X1620" s="22"/>
    </row>
    <row r="1621" spans="17:24" x14ac:dyDescent="0.25">
      <c r="Q1621" s="22"/>
      <c r="R1621" s="22"/>
      <c r="S1621" s="22"/>
      <c r="T1621" s="22"/>
      <c r="U1621" s="22"/>
      <c r="V1621" s="22"/>
      <c r="W1621" s="22"/>
      <c r="X1621" s="22"/>
    </row>
    <row r="1622" spans="17:24" x14ac:dyDescent="0.25">
      <c r="Q1622" s="22"/>
      <c r="R1622" s="22"/>
      <c r="S1622" s="22"/>
      <c r="T1622" s="22"/>
      <c r="U1622" s="22"/>
      <c r="V1622" s="22"/>
      <c r="W1622" s="22"/>
      <c r="X1622" s="22"/>
    </row>
    <row r="1623" spans="17:24" x14ac:dyDescent="0.25">
      <c r="Q1623" s="22"/>
      <c r="R1623" s="22"/>
      <c r="S1623" s="22"/>
      <c r="T1623" s="22"/>
      <c r="U1623" s="22"/>
      <c r="V1623" s="22"/>
      <c r="W1623" s="22"/>
      <c r="X1623" s="22"/>
    </row>
    <row r="1624" spans="17:24" x14ac:dyDescent="0.25">
      <c r="Q1624" s="22"/>
      <c r="R1624" s="22"/>
      <c r="S1624" s="22"/>
      <c r="T1624" s="22"/>
      <c r="U1624" s="22"/>
      <c r="V1624" s="22"/>
      <c r="W1624" s="22"/>
      <c r="X1624" s="22"/>
    </row>
    <row r="1625" spans="17:24" x14ac:dyDescent="0.25">
      <c r="Q1625" s="22"/>
      <c r="R1625" s="22"/>
      <c r="S1625" s="22"/>
      <c r="T1625" s="22"/>
      <c r="U1625" s="22"/>
      <c r="V1625" s="22"/>
      <c r="W1625" s="22"/>
      <c r="X1625" s="22"/>
    </row>
    <row r="1626" spans="17:24" x14ac:dyDescent="0.25">
      <c r="Q1626" s="22"/>
      <c r="R1626" s="22"/>
      <c r="S1626" s="22"/>
      <c r="T1626" s="22"/>
      <c r="U1626" s="22"/>
      <c r="V1626" s="22"/>
      <c r="W1626" s="22"/>
      <c r="X1626" s="22"/>
    </row>
    <row r="1627" spans="17:24" x14ac:dyDescent="0.25">
      <c r="Q1627" s="22"/>
      <c r="R1627" s="22"/>
      <c r="S1627" s="22"/>
      <c r="T1627" s="22"/>
      <c r="U1627" s="22"/>
      <c r="V1627" s="22"/>
      <c r="W1627" s="22"/>
      <c r="X1627" s="22"/>
    </row>
    <row r="1628" spans="17:24" x14ac:dyDescent="0.25">
      <c r="Q1628" s="22"/>
      <c r="R1628" s="22"/>
      <c r="S1628" s="22"/>
      <c r="T1628" s="22"/>
      <c r="U1628" s="22"/>
      <c r="V1628" s="22"/>
      <c r="W1628" s="22"/>
      <c r="X1628" s="22"/>
    </row>
    <row r="1629" spans="17:24" x14ac:dyDescent="0.25">
      <c r="Q1629" s="22"/>
      <c r="R1629" s="22"/>
      <c r="S1629" s="22"/>
      <c r="T1629" s="22"/>
      <c r="U1629" s="22"/>
      <c r="V1629" s="22"/>
      <c r="W1629" s="22"/>
      <c r="X1629" s="22"/>
    </row>
    <row r="1630" spans="17:24" x14ac:dyDescent="0.25">
      <c r="Q1630" s="22"/>
      <c r="R1630" s="22"/>
      <c r="S1630" s="22"/>
      <c r="T1630" s="22"/>
      <c r="U1630" s="22"/>
      <c r="V1630" s="22"/>
      <c r="W1630" s="22"/>
      <c r="X1630" s="22"/>
    </row>
    <row r="1631" spans="17:24" x14ac:dyDescent="0.25">
      <c r="Q1631" s="22"/>
      <c r="R1631" s="22"/>
      <c r="S1631" s="22"/>
      <c r="T1631" s="22"/>
      <c r="U1631" s="22"/>
      <c r="V1631" s="22"/>
      <c r="W1631" s="22"/>
      <c r="X1631" s="22"/>
    </row>
    <row r="1632" spans="17:24" x14ac:dyDescent="0.25">
      <c r="Q1632" s="22"/>
      <c r="R1632" s="22"/>
      <c r="S1632" s="22"/>
      <c r="T1632" s="22"/>
      <c r="U1632" s="22"/>
      <c r="V1632" s="22"/>
      <c r="W1632" s="22"/>
      <c r="X1632" s="22"/>
    </row>
    <row r="1633" spans="17:24" x14ac:dyDescent="0.25">
      <c r="Q1633" s="22"/>
      <c r="R1633" s="22"/>
      <c r="S1633" s="22"/>
      <c r="T1633" s="22"/>
      <c r="U1633" s="22"/>
      <c r="V1633" s="22"/>
      <c r="W1633" s="22"/>
      <c r="X1633" s="22"/>
    </row>
    <row r="1634" spans="17:24" x14ac:dyDescent="0.25">
      <c r="Q1634" s="22"/>
      <c r="R1634" s="22"/>
      <c r="S1634" s="22"/>
      <c r="T1634" s="22"/>
      <c r="U1634" s="22"/>
      <c r="V1634" s="22"/>
      <c r="W1634" s="22"/>
      <c r="X1634" s="22"/>
    </row>
    <row r="1635" spans="17:24" x14ac:dyDescent="0.25">
      <c r="Q1635" s="22"/>
      <c r="R1635" s="22"/>
      <c r="S1635" s="22"/>
      <c r="T1635" s="22"/>
      <c r="U1635" s="22"/>
      <c r="V1635" s="22"/>
      <c r="W1635" s="22"/>
      <c r="X1635" s="22"/>
    </row>
    <row r="1636" spans="17:24" x14ac:dyDescent="0.25">
      <c r="Q1636" s="22"/>
      <c r="R1636" s="22"/>
      <c r="S1636" s="22"/>
      <c r="T1636" s="22"/>
      <c r="U1636" s="22"/>
      <c r="V1636" s="22"/>
      <c r="W1636" s="22"/>
      <c r="X1636" s="22"/>
    </row>
    <row r="1637" spans="17:24" x14ac:dyDescent="0.25">
      <c r="Q1637" s="22"/>
      <c r="R1637" s="22"/>
      <c r="S1637" s="22"/>
      <c r="T1637" s="22"/>
      <c r="U1637" s="22"/>
      <c r="V1637" s="22"/>
      <c r="W1637" s="22"/>
      <c r="X1637" s="22"/>
    </row>
    <row r="1638" spans="17:24" x14ac:dyDescent="0.25">
      <c r="Q1638" s="22"/>
      <c r="R1638" s="22"/>
      <c r="S1638" s="22"/>
      <c r="T1638" s="22"/>
      <c r="U1638" s="22"/>
      <c r="V1638" s="22"/>
      <c r="W1638" s="22"/>
      <c r="X1638" s="22"/>
    </row>
    <row r="1639" spans="17:24" x14ac:dyDescent="0.25">
      <c r="Q1639" s="22"/>
      <c r="R1639" s="22"/>
      <c r="S1639" s="22"/>
      <c r="T1639" s="22"/>
      <c r="U1639" s="22"/>
      <c r="V1639" s="22"/>
      <c r="W1639" s="22"/>
      <c r="X1639" s="22"/>
    </row>
    <row r="1640" spans="17:24" x14ac:dyDescent="0.25">
      <c r="Q1640" s="22"/>
      <c r="R1640" s="22"/>
      <c r="S1640" s="22"/>
      <c r="T1640" s="22"/>
      <c r="U1640" s="22"/>
      <c r="V1640" s="22"/>
      <c r="W1640" s="22"/>
      <c r="X1640" s="22"/>
    </row>
    <row r="1641" spans="17:24" x14ac:dyDescent="0.25">
      <c r="Q1641" s="22"/>
      <c r="R1641" s="22"/>
      <c r="S1641" s="22"/>
      <c r="T1641" s="22"/>
      <c r="U1641" s="22"/>
      <c r="V1641" s="22"/>
      <c r="W1641" s="22"/>
      <c r="X1641" s="22"/>
    </row>
    <row r="1642" spans="17:24" x14ac:dyDescent="0.25">
      <c r="Q1642" s="22"/>
      <c r="R1642" s="22"/>
      <c r="S1642" s="22"/>
      <c r="T1642" s="22"/>
      <c r="U1642" s="22"/>
      <c r="V1642" s="22"/>
      <c r="W1642" s="22"/>
      <c r="X1642" s="22"/>
    </row>
    <row r="1643" spans="17:24" x14ac:dyDescent="0.25">
      <c r="Q1643" s="22"/>
      <c r="R1643" s="22"/>
      <c r="S1643" s="22"/>
      <c r="T1643" s="22"/>
      <c r="U1643" s="22"/>
      <c r="V1643" s="22"/>
      <c r="W1643" s="22"/>
      <c r="X1643" s="22"/>
    </row>
    <row r="1644" spans="17:24" x14ac:dyDescent="0.25">
      <c r="Q1644" s="22"/>
      <c r="R1644" s="22"/>
      <c r="S1644" s="22"/>
      <c r="T1644" s="22"/>
      <c r="U1644" s="22"/>
      <c r="V1644" s="22"/>
      <c r="W1644" s="22"/>
      <c r="X1644" s="22"/>
    </row>
    <row r="1645" spans="17:24" x14ac:dyDescent="0.25">
      <c r="Q1645" s="22"/>
      <c r="R1645" s="22"/>
      <c r="S1645" s="22"/>
      <c r="T1645" s="22"/>
      <c r="U1645" s="22"/>
      <c r="V1645" s="22"/>
      <c r="W1645" s="22"/>
      <c r="X1645" s="22"/>
    </row>
    <row r="1646" spans="17:24" x14ac:dyDescent="0.25">
      <c r="Q1646" s="22"/>
      <c r="R1646" s="22"/>
      <c r="S1646" s="22"/>
      <c r="T1646" s="22"/>
      <c r="U1646" s="22"/>
      <c r="V1646" s="22"/>
      <c r="W1646" s="22"/>
      <c r="X1646" s="22"/>
    </row>
    <row r="1647" spans="17:24" x14ac:dyDescent="0.25">
      <c r="Q1647" s="22"/>
      <c r="R1647" s="22"/>
      <c r="S1647" s="22"/>
      <c r="T1647" s="22"/>
      <c r="U1647" s="22"/>
      <c r="V1647" s="22"/>
      <c r="W1647" s="22"/>
      <c r="X1647" s="22"/>
    </row>
    <row r="1648" spans="17:24" x14ac:dyDescent="0.25">
      <c r="Q1648" s="22"/>
      <c r="R1648" s="22"/>
      <c r="S1648" s="22"/>
      <c r="T1648" s="22"/>
      <c r="U1648" s="22"/>
      <c r="V1648" s="22"/>
      <c r="W1648" s="22"/>
      <c r="X1648" s="22"/>
    </row>
    <row r="1649" spans="17:24" x14ac:dyDescent="0.25">
      <c r="Q1649" s="22"/>
      <c r="R1649" s="22"/>
      <c r="S1649" s="22"/>
      <c r="T1649" s="22"/>
      <c r="U1649" s="22"/>
      <c r="V1649" s="22"/>
      <c r="W1649" s="22"/>
      <c r="X1649" s="22"/>
    </row>
    <row r="1650" spans="17:24" x14ac:dyDescent="0.25">
      <c r="Q1650" s="22"/>
      <c r="R1650" s="22"/>
      <c r="S1650" s="22"/>
      <c r="T1650" s="22"/>
      <c r="U1650" s="22"/>
      <c r="V1650" s="22"/>
      <c r="W1650" s="22"/>
      <c r="X1650" s="22"/>
    </row>
    <row r="1651" spans="17:24" x14ac:dyDescent="0.25">
      <c r="Q1651" s="22"/>
      <c r="R1651" s="22"/>
      <c r="S1651" s="22"/>
      <c r="T1651" s="22"/>
      <c r="U1651" s="22"/>
      <c r="V1651" s="22"/>
      <c r="W1651" s="22"/>
      <c r="X1651" s="22"/>
    </row>
    <row r="1652" spans="17:24" x14ac:dyDescent="0.25">
      <c r="Q1652" s="22"/>
      <c r="R1652" s="22"/>
      <c r="S1652" s="22"/>
      <c r="T1652" s="22"/>
      <c r="U1652" s="22"/>
      <c r="V1652" s="22"/>
      <c r="W1652" s="22"/>
      <c r="X1652" s="22"/>
    </row>
    <row r="1653" spans="17:24" x14ac:dyDescent="0.25">
      <c r="Q1653" s="22"/>
      <c r="R1653" s="22"/>
      <c r="S1653" s="22"/>
      <c r="T1653" s="22"/>
      <c r="U1653" s="22"/>
      <c r="V1653" s="22"/>
      <c r="W1653" s="22"/>
      <c r="X1653" s="22"/>
    </row>
    <row r="1654" spans="17:24" x14ac:dyDescent="0.25">
      <c r="Q1654" s="22"/>
      <c r="R1654" s="22"/>
      <c r="S1654" s="22"/>
      <c r="T1654" s="22"/>
      <c r="U1654" s="22"/>
      <c r="V1654" s="22"/>
      <c r="W1654" s="22"/>
      <c r="X1654" s="22"/>
    </row>
    <row r="1655" spans="17:24" x14ac:dyDescent="0.25">
      <c r="Q1655" s="22"/>
      <c r="R1655" s="22"/>
      <c r="S1655" s="22"/>
      <c r="T1655" s="22"/>
      <c r="U1655" s="22"/>
      <c r="V1655" s="22"/>
      <c r="W1655" s="22"/>
      <c r="X1655" s="22"/>
    </row>
    <row r="1656" spans="17:24" x14ac:dyDescent="0.25">
      <c r="Q1656" s="22"/>
      <c r="R1656" s="22"/>
      <c r="S1656" s="22"/>
      <c r="T1656" s="22"/>
      <c r="U1656" s="22"/>
      <c r="V1656" s="22"/>
      <c r="W1656" s="22"/>
      <c r="X1656" s="22"/>
    </row>
    <row r="1657" spans="17:24" x14ac:dyDescent="0.25">
      <c r="Q1657" s="22"/>
      <c r="R1657" s="22"/>
      <c r="S1657" s="22"/>
      <c r="T1657" s="22"/>
      <c r="U1657" s="22"/>
      <c r="V1657" s="22"/>
      <c r="W1657" s="22"/>
      <c r="X1657" s="22"/>
    </row>
    <row r="1658" spans="17:24" x14ac:dyDescent="0.25">
      <c r="Q1658" s="22"/>
      <c r="R1658" s="22"/>
      <c r="S1658" s="22"/>
      <c r="T1658" s="22"/>
      <c r="U1658" s="22"/>
      <c r="V1658" s="22"/>
      <c r="W1658" s="22"/>
      <c r="X1658" s="22"/>
    </row>
    <row r="1659" spans="17:24" x14ac:dyDescent="0.25">
      <c r="Q1659" s="22"/>
      <c r="R1659" s="22"/>
      <c r="S1659" s="22"/>
      <c r="T1659" s="22"/>
      <c r="U1659" s="22"/>
      <c r="V1659" s="22"/>
      <c r="W1659" s="22"/>
      <c r="X1659" s="22"/>
    </row>
    <row r="1660" spans="17:24" x14ac:dyDescent="0.25">
      <c r="Q1660" s="22"/>
      <c r="R1660" s="22"/>
      <c r="S1660" s="22"/>
      <c r="T1660" s="22"/>
      <c r="U1660" s="22"/>
      <c r="V1660" s="22"/>
      <c r="W1660" s="22"/>
      <c r="X1660" s="22"/>
    </row>
    <row r="1661" spans="17:24" x14ac:dyDescent="0.25">
      <c r="Q1661" s="22"/>
      <c r="R1661" s="22"/>
      <c r="S1661" s="22"/>
      <c r="T1661" s="22"/>
      <c r="U1661" s="22"/>
      <c r="V1661" s="22"/>
      <c r="W1661" s="22"/>
      <c r="X1661" s="22"/>
    </row>
    <row r="1662" spans="17:24" x14ac:dyDescent="0.25">
      <c r="Q1662" s="22"/>
      <c r="R1662" s="22"/>
      <c r="S1662" s="22"/>
      <c r="T1662" s="22"/>
      <c r="U1662" s="22"/>
      <c r="V1662" s="22"/>
      <c r="W1662" s="22"/>
      <c r="X1662" s="22"/>
    </row>
    <row r="1663" spans="17:24" x14ac:dyDescent="0.25">
      <c r="Q1663" s="22"/>
      <c r="R1663" s="22"/>
      <c r="S1663" s="22"/>
      <c r="T1663" s="22"/>
      <c r="U1663" s="22"/>
      <c r="V1663" s="22"/>
      <c r="W1663" s="22"/>
      <c r="X1663" s="22"/>
    </row>
    <row r="1664" spans="17:24" x14ac:dyDescent="0.25">
      <c r="Q1664" s="22"/>
      <c r="R1664" s="22"/>
      <c r="S1664" s="22"/>
      <c r="T1664" s="22"/>
      <c r="U1664" s="22"/>
      <c r="V1664" s="22"/>
      <c r="W1664" s="22"/>
      <c r="X1664" s="22"/>
    </row>
    <row r="1665" spans="17:24" x14ac:dyDescent="0.25">
      <c r="Q1665" s="22"/>
      <c r="R1665" s="22"/>
      <c r="S1665" s="22"/>
      <c r="T1665" s="22"/>
      <c r="U1665" s="22"/>
      <c r="V1665" s="22"/>
      <c r="W1665" s="22"/>
      <c r="X1665" s="22"/>
    </row>
    <row r="1666" spans="17:24" x14ac:dyDescent="0.25">
      <c r="Q1666" s="22"/>
      <c r="R1666" s="22"/>
      <c r="S1666" s="22"/>
      <c r="T1666" s="22"/>
      <c r="U1666" s="22"/>
      <c r="V1666" s="22"/>
      <c r="W1666" s="22"/>
      <c r="X1666" s="22"/>
    </row>
    <row r="1667" spans="17:24" x14ac:dyDescent="0.25">
      <c r="Q1667" s="22"/>
      <c r="R1667" s="22"/>
      <c r="S1667" s="22"/>
      <c r="T1667" s="22"/>
      <c r="U1667" s="22"/>
      <c r="V1667" s="22"/>
      <c r="W1667" s="22"/>
      <c r="X1667" s="22"/>
    </row>
    <row r="1668" spans="17:24" x14ac:dyDescent="0.25">
      <c r="Q1668" s="22"/>
      <c r="R1668" s="22"/>
      <c r="S1668" s="22"/>
      <c r="T1668" s="22"/>
      <c r="U1668" s="22"/>
      <c r="V1668" s="22"/>
      <c r="W1668" s="22"/>
      <c r="X1668" s="22"/>
    </row>
    <row r="1669" spans="17:24" x14ac:dyDescent="0.25">
      <c r="Q1669" s="22"/>
      <c r="R1669" s="22"/>
      <c r="S1669" s="22"/>
      <c r="T1669" s="22"/>
      <c r="U1669" s="22"/>
      <c r="V1669" s="22"/>
      <c r="W1669" s="22"/>
      <c r="X1669" s="22"/>
    </row>
    <row r="1670" spans="17:24" x14ac:dyDescent="0.25">
      <c r="Q1670" s="22"/>
      <c r="R1670" s="22"/>
      <c r="S1670" s="22"/>
      <c r="T1670" s="22"/>
      <c r="U1670" s="22"/>
      <c r="V1670" s="22"/>
      <c r="W1670" s="22"/>
      <c r="X1670" s="22"/>
    </row>
    <row r="1671" spans="17:24" x14ac:dyDescent="0.25">
      <c r="Q1671" s="22"/>
      <c r="R1671" s="22"/>
      <c r="S1671" s="22"/>
      <c r="T1671" s="22"/>
      <c r="U1671" s="22"/>
      <c r="V1671" s="22"/>
      <c r="W1671" s="22"/>
      <c r="X1671" s="22"/>
    </row>
    <row r="1672" spans="17:24" x14ac:dyDescent="0.25">
      <c r="Q1672" s="22"/>
      <c r="R1672" s="22"/>
      <c r="S1672" s="22"/>
      <c r="T1672" s="22"/>
      <c r="U1672" s="22"/>
      <c r="V1672" s="22"/>
      <c r="W1672" s="22"/>
      <c r="X1672" s="22"/>
    </row>
    <row r="1673" spans="17:24" x14ac:dyDescent="0.25">
      <c r="Q1673" s="22"/>
      <c r="R1673" s="22"/>
      <c r="S1673" s="22"/>
      <c r="T1673" s="22"/>
      <c r="U1673" s="22"/>
      <c r="V1673" s="22"/>
      <c r="W1673" s="22"/>
      <c r="X1673" s="22"/>
    </row>
    <row r="1674" spans="17:24" x14ac:dyDescent="0.25">
      <c r="Q1674" s="22"/>
      <c r="R1674" s="22"/>
      <c r="S1674" s="22"/>
      <c r="T1674" s="22"/>
      <c r="U1674" s="22"/>
      <c r="V1674" s="22"/>
      <c r="W1674" s="22"/>
      <c r="X1674" s="22"/>
    </row>
    <row r="1675" spans="17:24" x14ac:dyDescent="0.25">
      <c r="Q1675" s="22"/>
      <c r="R1675" s="22"/>
      <c r="S1675" s="22"/>
      <c r="T1675" s="22"/>
      <c r="U1675" s="22"/>
      <c r="V1675" s="22"/>
      <c r="W1675" s="22"/>
      <c r="X1675" s="22"/>
    </row>
    <row r="1676" spans="17:24" x14ac:dyDescent="0.25">
      <c r="Q1676" s="22"/>
      <c r="R1676" s="22"/>
      <c r="S1676" s="22"/>
      <c r="T1676" s="22"/>
      <c r="U1676" s="22"/>
      <c r="V1676" s="22"/>
      <c r="W1676" s="22"/>
      <c r="X1676" s="22"/>
    </row>
    <row r="1677" spans="17:24" x14ac:dyDescent="0.25">
      <c r="Q1677" s="22"/>
      <c r="R1677" s="22"/>
      <c r="S1677" s="22"/>
      <c r="T1677" s="22"/>
      <c r="U1677" s="22"/>
      <c r="V1677" s="22"/>
      <c r="W1677" s="22"/>
      <c r="X1677" s="22"/>
    </row>
    <row r="1678" spans="17:24" x14ac:dyDescent="0.25">
      <c r="Q1678" s="22"/>
      <c r="R1678" s="22"/>
      <c r="S1678" s="22"/>
      <c r="T1678" s="22"/>
      <c r="U1678" s="22"/>
      <c r="V1678" s="22"/>
      <c r="W1678" s="22"/>
      <c r="X1678" s="22"/>
    </row>
    <row r="1679" spans="17:24" x14ac:dyDescent="0.25">
      <c r="Q1679" s="22"/>
      <c r="R1679" s="22"/>
      <c r="S1679" s="22"/>
      <c r="T1679" s="22"/>
      <c r="U1679" s="22"/>
      <c r="V1679" s="22"/>
      <c r="W1679" s="22"/>
      <c r="X1679" s="22"/>
    </row>
    <row r="1680" spans="17:24" x14ac:dyDescent="0.25">
      <c r="Q1680" s="22"/>
      <c r="R1680" s="22"/>
      <c r="S1680" s="22"/>
      <c r="T1680" s="22"/>
      <c r="U1680" s="22"/>
      <c r="V1680" s="22"/>
      <c r="W1680" s="22"/>
      <c r="X1680" s="22"/>
    </row>
    <row r="1681" spans="17:24" x14ac:dyDescent="0.25">
      <c r="Q1681" s="22"/>
      <c r="R1681" s="22"/>
      <c r="S1681" s="22"/>
      <c r="T1681" s="22"/>
      <c r="U1681" s="22"/>
      <c r="V1681" s="22"/>
      <c r="W1681" s="22"/>
      <c r="X1681" s="22"/>
    </row>
    <row r="1682" spans="17:24" x14ac:dyDescent="0.25">
      <c r="Q1682" s="22"/>
      <c r="R1682" s="22"/>
      <c r="S1682" s="22"/>
      <c r="T1682" s="22"/>
      <c r="U1682" s="22"/>
      <c r="V1682" s="22"/>
      <c r="W1682" s="22"/>
      <c r="X1682" s="22"/>
    </row>
    <row r="1683" spans="17:24" x14ac:dyDescent="0.25">
      <c r="Q1683" s="22"/>
      <c r="R1683" s="22"/>
      <c r="S1683" s="22"/>
      <c r="T1683" s="22"/>
      <c r="U1683" s="22"/>
      <c r="V1683" s="22"/>
      <c r="W1683" s="22"/>
      <c r="X1683" s="22"/>
    </row>
    <row r="1684" spans="17:24" x14ac:dyDescent="0.25">
      <c r="Q1684" s="22"/>
      <c r="R1684" s="22"/>
      <c r="S1684" s="22"/>
      <c r="T1684" s="22"/>
      <c r="U1684" s="22"/>
      <c r="V1684" s="22"/>
      <c r="W1684" s="22"/>
      <c r="X1684" s="22"/>
    </row>
    <row r="1685" spans="17:24" x14ac:dyDescent="0.25">
      <c r="Q1685" s="22"/>
      <c r="R1685" s="22"/>
      <c r="S1685" s="22"/>
      <c r="T1685" s="22"/>
      <c r="U1685" s="22"/>
      <c r="V1685" s="22"/>
      <c r="W1685" s="22"/>
      <c r="X1685" s="22"/>
    </row>
    <row r="1686" spans="17:24" x14ac:dyDescent="0.25">
      <c r="Q1686" s="22"/>
      <c r="R1686" s="22"/>
      <c r="S1686" s="22"/>
      <c r="T1686" s="22"/>
      <c r="U1686" s="22"/>
      <c r="V1686" s="22"/>
      <c r="W1686" s="22"/>
      <c r="X1686" s="22"/>
    </row>
    <row r="1687" spans="17:24" x14ac:dyDescent="0.25">
      <c r="Q1687" s="22"/>
      <c r="R1687" s="22"/>
      <c r="S1687" s="22"/>
      <c r="T1687" s="22"/>
      <c r="U1687" s="22"/>
      <c r="V1687" s="22"/>
      <c r="W1687" s="22"/>
      <c r="X1687" s="22"/>
    </row>
    <row r="1688" spans="17:24" x14ac:dyDescent="0.25">
      <c r="Q1688" s="22"/>
      <c r="R1688" s="22"/>
      <c r="S1688" s="22"/>
      <c r="T1688" s="22"/>
      <c r="U1688" s="22"/>
      <c r="V1688" s="22"/>
      <c r="W1688" s="22"/>
      <c r="X1688" s="22"/>
    </row>
    <row r="1689" spans="17:24" x14ac:dyDescent="0.25">
      <c r="Q1689" s="22"/>
      <c r="R1689" s="22"/>
      <c r="S1689" s="22"/>
      <c r="T1689" s="22"/>
      <c r="U1689" s="22"/>
      <c r="V1689" s="22"/>
      <c r="W1689" s="22"/>
      <c r="X1689" s="22"/>
    </row>
    <row r="1690" spans="17:24" x14ac:dyDescent="0.25">
      <c r="Q1690" s="22"/>
      <c r="R1690" s="22"/>
      <c r="S1690" s="22"/>
      <c r="T1690" s="22"/>
      <c r="U1690" s="22"/>
      <c r="V1690" s="22"/>
      <c r="W1690" s="22"/>
      <c r="X1690" s="22"/>
    </row>
    <row r="1691" spans="17:24" x14ac:dyDescent="0.25">
      <c r="Q1691" s="22"/>
      <c r="R1691" s="22"/>
      <c r="S1691" s="22"/>
      <c r="T1691" s="22"/>
      <c r="U1691" s="22"/>
      <c r="V1691" s="22"/>
      <c r="W1691" s="22"/>
      <c r="X1691" s="22"/>
    </row>
    <row r="1692" spans="17:24" x14ac:dyDescent="0.25">
      <c r="Q1692" s="22"/>
      <c r="R1692" s="22"/>
      <c r="S1692" s="22"/>
      <c r="T1692" s="22"/>
      <c r="U1692" s="22"/>
      <c r="V1692" s="22"/>
      <c r="W1692" s="22"/>
      <c r="X1692" s="22"/>
    </row>
    <row r="1693" spans="17:24" x14ac:dyDescent="0.25">
      <c r="Q1693" s="22"/>
      <c r="R1693" s="22"/>
      <c r="S1693" s="22"/>
      <c r="T1693" s="22"/>
      <c r="U1693" s="22"/>
      <c r="V1693" s="22"/>
      <c r="W1693" s="22"/>
      <c r="X1693" s="22"/>
    </row>
    <row r="1694" spans="17:24" x14ac:dyDescent="0.25">
      <c r="Q1694" s="22"/>
      <c r="R1694" s="22"/>
      <c r="S1694" s="22"/>
      <c r="T1694" s="22"/>
      <c r="U1694" s="22"/>
      <c r="V1694" s="22"/>
      <c r="W1694" s="22"/>
      <c r="X1694" s="22"/>
    </row>
    <row r="1695" spans="17:24" x14ac:dyDescent="0.25">
      <c r="Q1695" s="22"/>
      <c r="R1695" s="22"/>
      <c r="S1695" s="22"/>
      <c r="T1695" s="22"/>
      <c r="U1695" s="22"/>
      <c r="V1695" s="22"/>
      <c r="W1695" s="22"/>
      <c r="X1695" s="22"/>
    </row>
    <row r="1696" spans="17:24" x14ac:dyDescent="0.25">
      <c r="Q1696" s="22"/>
      <c r="R1696" s="22"/>
      <c r="S1696" s="22"/>
      <c r="T1696" s="22"/>
      <c r="U1696" s="22"/>
      <c r="V1696" s="22"/>
      <c r="W1696" s="22"/>
      <c r="X1696" s="22"/>
    </row>
    <row r="1697" spans="17:24" x14ac:dyDescent="0.25">
      <c r="Q1697" s="22"/>
      <c r="R1697" s="22"/>
      <c r="S1697" s="22"/>
      <c r="T1697" s="22"/>
      <c r="U1697" s="22"/>
      <c r="V1697" s="22"/>
      <c r="W1697" s="22"/>
      <c r="X1697" s="22"/>
    </row>
    <row r="1698" spans="17:24" x14ac:dyDescent="0.25">
      <c r="Q1698" s="22"/>
      <c r="R1698" s="22"/>
      <c r="S1698" s="22"/>
      <c r="T1698" s="22"/>
      <c r="U1698" s="22"/>
      <c r="V1698" s="22"/>
      <c r="W1698" s="22"/>
      <c r="X1698" s="22"/>
    </row>
    <row r="1699" spans="17:24" x14ac:dyDescent="0.25">
      <c r="Q1699" s="22"/>
      <c r="R1699" s="22"/>
      <c r="S1699" s="22"/>
      <c r="T1699" s="22"/>
      <c r="U1699" s="22"/>
      <c r="V1699" s="22"/>
      <c r="W1699" s="22"/>
      <c r="X1699" s="22"/>
    </row>
    <row r="1700" spans="17:24" x14ac:dyDescent="0.25">
      <c r="Q1700" s="22"/>
      <c r="R1700" s="22"/>
      <c r="S1700" s="22"/>
      <c r="T1700" s="22"/>
      <c r="U1700" s="22"/>
      <c r="V1700" s="22"/>
      <c r="W1700" s="22"/>
      <c r="X1700" s="22"/>
    </row>
    <row r="1701" spans="17:24" x14ac:dyDescent="0.25">
      <c r="Q1701" s="22"/>
      <c r="R1701" s="22"/>
      <c r="S1701" s="22"/>
      <c r="T1701" s="22"/>
      <c r="U1701" s="22"/>
      <c r="V1701" s="22"/>
      <c r="W1701" s="22"/>
      <c r="X1701" s="22"/>
    </row>
    <row r="1702" spans="17:24" x14ac:dyDescent="0.25">
      <c r="Q1702" s="22"/>
      <c r="R1702" s="22"/>
      <c r="S1702" s="22"/>
      <c r="T1702" s="22"/>
      <c r="U1702" s="22"/>
      <c r="V1702" s="22"/>
      <c r="W1702" s="22"/>
      <c r="X1702" s="22"/>
    </row>
    <row r="1703" spans="17:24" x14ac:dyDescent="0.25">
      <c r="Q1703" s="22"/>
      <c r="R1703" s="22"/>
      <c r="S1703" s="22"/>
      <c r="T1703" s="22"/>
      <c r="U1703" s="22"/>
      <c r="V1703" s="22"/>
      <c r="W1703" s="22"/>
      <c r="X1703" s="22"/>
    </row>
    <row r="1704" spans="17:24" x14ac:dyDescent="0.25">
      <c r="Q1704" s="22"/>
      <c r="R1704" s="22"/>
      <c r="S1704" s="22"/>
      <c r="T1704" s="22"/>
      <c r="U1704" s="22"/>
      <c r="V1704" s="22"/>
      <c r="W1704" s="22"/>
      <c r="X1704" s="22"/>
    </row>
    <row r="1705" spans="17:24" x14ac:dyDescent="0.25">
      <c r="Q1705" s="22"/>
      <c r="R1705" s="22"/>
      <c r="S1705" s="22"/>
      <c r="T1705" s="22"/>
      <c r="U1705" s="22"/>
      <c r="V1705" s="22"/>
      <c r="W1705" s="22"/>
      <c r="X1705" s="22"/>
    </row>
    <row r="1706" spans="17:24" x14ac:dyDescent="0.25">
      <c r="Q1706" s="22"/>
      <c r="R1706" s="22"/>
      <c r="S1706" s="22"/>
      <c r="T1706" s="22"/>
      <c r="U1706" s="22"/>
      <c r="V1706" s="22"/>
      <c r="W1706" s="22"/>
      <c r="X1706" s="22"/>
    </row>
    <row r="1707" spans="17:24" x14ac:dyDescent="0.25">
      <c r="Q1707" s="22"/>
      <c r="R1707" s="22"/>
      <c r="S1707" s="22"/>
      <c r="T1707" s="22"/>
      <c r="U1707" s="22"/>
      <c r="V1707" s="22"/>
      <c r="W1707" s="22"/>
      <c r="X1707" s="22"/>
    </row>
    <row r="1708" spans="17:24" x14ac:dyDescent="0.25">
      <c r="Q1708" s="22"/>
      <c r="R1708" s="22"/>
      <c r="S1708" s="22"/>
      <c r="T1708" s="22"/>
      <c r="U1708" s="22"/>
      <c r="V1708" s="22"/>
      <c r="W1708" s="22"/>
      <c r="X1708" s="22"/>
    </row>
    <row r="1709" spans="17:24" x14ac:dyDescent="0.25">
      <c r="Q1709" s="22"/>
      <c r="R1709" s="22"/>
      <c r="S1709" s="22"/>
      <c r="T1709" s="22"/>
      <c r="U1709" s="22"/>
      <c r="V1709" s="22"/>
      <c r="W1709" s="22"/>
      <c r="X1709" s="22"/>
    </row>
    <row r="1710" spans="17:24" x14ac:dyDescent="0.25">
      <c r="Q1710" s="22"/>
      <c r="R1710" s="22"/>
      <c r="S1710" s="22"/>
      <c r="T1710" s="22"/>
      <c r="U1710" s="22"/>
      <c r="V1710" s="22"/>
      <c r="W1710" s="22"/>
      <c r="X1710" s="22"/>
    </row>
    <row r="1711" spans="17:24" x14ac:dyDescent="0.25">
      <c r="Q1711" s="22"/>
      <c r="R1711" s="22"/>
      <c r="S1711" s="22"/>
      <c r="T1711" s="22"/>
      <c r="U1711" s="22"/>
      <c r="V1711" s="22"/>
      <c r="W1711" s="22"/>
      <c r="X1711" s="22"/>
    </row>
    <row r="1712" spans="17:24" x14ac:dyDescent="0.25">
      <c r="Q1712" s="22"/>
      <c r="R1712" s="22"/>
      <c r="S1712" s="22"/>
      <c r="T1712" s="22"/>
      <c r="U1712" s="22"/>
      <c r="V1712" s="22"/>
      <c r="W1712" s="22"/>
      <c r="X1712" s="22"/>
    </row>
    <row r="1713" spans="17:24" x14ac:dyDescent="0.25">
      <c r="Q1713" s="22"/>
      <c r="R1713" s="22"/>
      <c r="S1713" s="22"/>
      <c r="T1713" s="22"/>
      <c r="U1713" s="22"/>
      <c r="V1713" s="22"/>
      <c r="W1713" s="22"/>
      <c r="X1713" s="22"/>
    </row>
    <row r="1714" spans="17:24" x14ac:dyDescent="0.25">
      <c r="Q1714" s="22"/>
      <c r="R1714" s="22"/>
      <c r="S1714" s="22"/>
      <c r="T1714" s="22"/>
      <c r="U1714" s="22"/>
      <c r="V1714" s="22"/>
      <c r="W1714" s="22"/>
      <c r="X1714" s="22"/>
    </row>
    <row r="1715" spans="17:24" x14ac:dyDescent="0.25">
      <c r="Q1715" s="22"/>
      <c r="R1715" s="22"/>
      <c r="S1715" s="22"/>
      <c r="T1715" s="22"/>
      <c r="U1715" s="22"/>
      <c r="V1715" s="22"/>
      <c r="W1715" s="22"/>
      <c r="X1715" s="22"/>
    </row>
    <row r="1716" spans="17:24" x14ac:dyDescent="0.25">
      <c r="Q1716" s="22"/>
      <c r="R1716" s="22"/>
      <c r="S1716" s="22"/>
      <c r="T1716" s="22"/>
      <c r="U1716" s="22"/>
      <c r="V1716" s="22"/>
      <c r="W1716" s="22"/>
      <c r="X1716" s="22"/>
    </row>
    <row r="1717" spans="17:24" x14ac:dyDescent="0.25">
      <c r="Q1717" s="22"/>
      <c r="R1717" s="22"/>
      <c r="S1717" s="22"/>
      <c r="T1717" s="22"/>
      <c r="U1717" s="22"/>
      <c r="V1717" s="22"/>
      <c r="W1717" s="22"/>
      <c r="X1717" s="22"/>
    </row>
    <row r="1718" spans="17:24" x14ac:dyDescent="0.25">
      <c r="Q1718" s="22"/>
      <c r="R1718" s="22"/>
      <c r="S1718" s="22"/>
      <c r="T1718" s="22"/>
      <c r="U1718" s="22"/>
      <c r="V1718" s="22"/>
      <c r="W1718" s="22"/>
      <c r="X1718" s="22"/>
    </row>
    <row r="1719" spans="17:24" x14ac:dyDescent="0.25">
      <c r="Q1719" s="22"/>
      <c r="R1719" s="22"/>
      <c r="S1719" s="22"/>
      <c r="T1719" s="22"/>
      <c r="U1719" s="22"/>
      <c r="V1719" s="22"/>
      <c r="W1719" s="22"/>
      <c r="X1719" s="22"/>
    </row>
    <row r="1720" spans="17:24" x14ac:dyDescent="0.25">
      <c r="Q1720" s="22"/>
      <c r="R1720" s="22"/>
      <c r="S1720" s="22"/>
      <c r="T1720" s="22"/>
      <c r="U1720" s="22"/>
      <c r="V1720" s="22"/>
      <c r="W1720" s="22"/>
      <c r="X1720" s="22"/>
    </row>
    <row r="1721" spans="17:24" x14ac:dyDescent="0.25">
      <c r="Q1721" s="22"/>
      <c r="R1721" s="22"/>
      <c r="S1721" s="22"/>
      <c r="T1721" s="22"/>
      <c r="U1721" s="22"/>
      <c r="V1721" s="22"/>
      <c r="W1721" s="22"/>
      <c r="X1721" s="22"/>
    </row>
    <row r="1722" spans="17:24" x14ac:dyDescent="0.25">
      <c r="Q1722" s="22"/>
      <c r="R1722" s="22"/>
      <c r="S1722" s="22"/>
      <c r="T1722" s="22"/>
      <c r="U1722" s="22"/>
      <c r="V1722" s="22"/>
      <c r="W1722" s="22"/>
      <c r="X1722" s="22"/>
    </row>
    <row r="1723" spans="17:24" x14ac:dyDescent="0.25">
      <c r="Q1723" s="22"/>
      <c r="R1723" s="22"/>
      <c r="S1723" s="22"/>
      <c r="T1723" s="22"/>
      <c r="U1723" s="22"/>
      <c r="V1723" s="22"/>
      <c r="W1723" s="22"/>
      <c r="X1723" s="22"/>
    </row>
    <row r="1724" spans="17:24" x14ac:dyDescent="0.25">
      <c r="Q1724" s="22"/>
      <c r="R1724" s="22"/>
      <c r="S1724" s="22"/>
      <c r="T1724" s="22"/>
      <c r="U1724" s="22"/>
      <c r="V1724" s="22"/>
      <c r="W1724" s="22"/>
      <c r="X1724" s="22"/>
    </row>
    <row r="1725" spans="17:24" x14ac:dyDescent="0.25">
      <c r="Q1725" s="22"/>
      <c r="R1725" s="22"/>
      <c r="S1725" s="22"/>
      <c r="T1725" s="22"/>
      <c r="U1725" s="22"/>
      <c r="V1725" s="22"/>
      <c r="W1725" s="22"/>
      <c r="X1725" s="22"/>
    </row>
    <row r="1726" spans="17:24" x14ac:dyDescent="0.25">
      <c r="Q1726" s="22"/>
      <c r="R1726" s="22"/>
      <c r="S1726" s="22"/>
      <c r="T1726" s="22"/>
      <c r="U1726" s="22"/>
      <c r="V1726" s="22"/>
      <c r="W1726" s="22"/>
      <c r="X1726" s="22"/>
    </row>
    <row r="1727" spans="17:24" x14ac:dyDescent="0.25">
      <c r="Q1727" s="22"/>
      <c r="R1727" s="22"/>
      <c r="S1727" s="22"/>
      <c r="T1727" s="22"/>
      <c r="U1727" s="22"/>
      <c r="V1727" s="22"/>
      <c r="W1727" s="22"/>
      <c r="X1727" s="22"/>
    </row>
    <row r="1728" spans="17:24" x14ac:dyDescent="0.25">
      <c r="Q1728" s="22"/>
      <c r="R1728" s="22"/>
      <c r="S1728" s="22"/>
      <c r="T1728" s="22"/>
      <c r="U1728" s="22"/>
      <c r="V1728" s="22"/>
      <c r="W1728" s="22"/>
      <c r="X1728" s="22"/>
    </row>
    <row r="1729" spans="17:24" x14ac:dyDescent="0.25">
      <c r="Q1729" s="22"/>
      <c r="R1729" s="22"/>
      <c r="S1729" s="22"/>
      <c r="T1729" s="22"/>
      <c r="U1729" s="22"/>
      <c r="V1729" s="22"/>
      <c r="W1729" s="22"/>
      <c r="X1729" s="22"/>
    </row>
    <row r="1730" spans="17:24" x14ac:dyDescent="0.25">
      <c r="Q1730" s="22"/>
      <c r="R1730" s="22"/>
      <c r="S1730" s="22"/>
      <c r="T1730" s="22"/>
      <c r="U1730" s="22"/>
      <c r="V1730" s="22"/>
      <c r="W1730" s="22"/>
      <c r="X1730" s="22"/>
    </row>
    <row r="1731" spans="17:24" x14ac:dyDescent="0.25">
      <c r="Q1731" s="22"/>
      <c r="R1731" s="22"/>
      <c r="S1731" s="22"/>
      <c r="T1731" s="22"/>
      <c r="U1731" s="22"/>
      <c r="V1731" s="22"/>
      <c r="W1731" s="22"/>
      <c r="X1731" s="22"/>
    </row>
    <row r="1732" spans="17:24" x14ac:dyDescent="0.25">
      <c r="Q1732" s="22"/>
      <c r="R1732" s="22"/>
      <c r="S1732" s="22"/>
      <c r="T1732" s="22"/>
      <c r="U1732" s="22"/>
      <c r="V1732" s="22"/>
      <c r="W1732" s="22"/>
      <c r="X1732" s="22"/>
    </row>
    <row r="1733" spans="17:24" x14ac:dyDescent="0.25">
      <c r="Q1733" s="22"/>
      <c r="R1733" s="22"/>
      <c r="S1733" s="22"/>
      <c r="T1733" s="22"/>
      <c r="U1733" s="22"/>
      <c r="V1733" s="22"/>
      <c r="W1733" s="22"/>
      <c r="X1733" s="22"/>
    </row>
    <row r="1734" spans="17:24" x14ac:dyDescent="0.25">
      <c r="Q1734" s="22"/>
      <c r="R1734" s="22"/>
      <c r="S1734" s="22"/>
      <c r="T1734" s="22"/>
      <c r="U1734" s="22"/>
      <c r="V1734" s="22"/>
      <c r="W1734" s="22"/>
      <c r="X1734" s="22"/>
    </row>
    <row r="1735" spans="17:24" x14ac:dyDescent="0.25">
      <c r="Q1735" s="22"/>
      <c r="R1735" s="22"/>
      <c r="S1735" s="22"/>
      <c r="T1735" s="22"/>
      <c r="U1735" s="22"/>
      <c r="V1735" s="22"/>
      <c r="W1735" s="22"/>
      <c r="X1735" s="22"/>
    </row>
    <row r="1736" spans="17:24" x14ac:dyDescent="0.25">
      <c r="Q1736" s="22"/>
      <c r="R1736" s="22"/>
      <c r="S1736" s="22"/>
      <c r="T1736" s="22"/>
      <c r="U1736" s="22"/>
      <c r="V1736" s="22"/>
      <c r="W1736" s="22"/>
      <c r="X1736" s="22"/>
    </row>
    <row r="1737" spans="17:24" x14ac:dyDescent="0.25">
      <c r="Q1737" s="22"/>
      <c r="R1737" s="22"/>
      <c r="S1737" s="22"/>
      <c r="T1737" s="22"/>
      <c r="U1737" s="22"/>
      <c r="V1737" s="22"/>
      <c r="W1737" s="22"/>
      <c r="X1737" s="22"/>
    </row>
    <row r="1738" spans="17:24" x14ac:dyDescent="0.25">
      <c r="Q1738" s="22"/>
      <c r="R1738" s="22"/>
      <c r="S1738" s="22"/>
      <c r="T1738" s="22"/>
      <c r="U1738" s="22"/>
      <c r="V1738" s="22"/>
      <c r="W1738" s="22"/>
      <c r="X1738" s="22"/>
    </row>
    <row r="1739" spans="17:24" x14ac:dyDescent="0.25">
      <c r="Q1739" s="22"/>
      <c r="R1739" s="22"/>
      <c r="S1739" s="22"/>
      <c r="T1739" s="22"/>
      <c r="U1739" s="22"/>
      <c r="V1739" s="22"/>
      <c r="W1739" s="22"/>
      <c r="X1739" s="22"/>
    </row>
    <row r="1740" spans="17:24" x14ac:dyDescent="0.25">
      <c r="Q1740" s="22"/>
      <c r="R1740" s="22"/>
      <c r="S1740" s="22"/>
      <c r="T1740" s="22"/>
      <c r="U1740" s="22"/>
      <c r="V1740" s="22"/>
      <c r="W1740" s="22"/>
      <c r="X1740" s="22"/>
    </row>
    <row r="1741" spans="17:24" x14ac:dyDescent="0.25">
      <c r="Q1741" s="22"/>
      <c r="R1741" s="22"/>
      <c r="S1741" s="22"/>
      <c r="T1741" s="22"/>
      <c r="U1741" s="22"/>
      <c r="V1741" s="22"/>
      <c r="W1741" s="22"/>
      <c r="X1741" s="22"/>
    </row>
    <row r="1742" spans="17:24" x14ac:dyDescent="0.25">
      <c r="Q1742" s="22"/>
      <c r="R1742" s="22"/>
      <c r="S1742" s="22"/>
      <c r="T1742" s="22"/>
      <c r="U1742" s="22"/>
      <c r="V1742" s="22"/>
      <c r="W1742" s="22"/>
      <c r="X1742" s="22"/>
    </row>
    <row r="1743" spans="17:24" x14ac:dyDescent="0.25">
      <c r="Q1743" s="22"/>
      <c r="R1743" s="22"/>
      <c r="S1743" s="22"/>
      <c r="T1743" s="22"/>
      <c r="U1743" s="22"/>
      <c r="V1743" s="22"/>
      <c r="W1743" s="22"/>
      <c r="X1743" s="22"/>
    </row>
    <row r="1744" spans="17:24" x14ac:dyDescent="0.25">
      <c r="Q1744" s="22"/>
      <c r="R1744" s="22"/>
      <c r="S1744" s="22"/>
      <c r="T1744" s="22"/>
      <c r="U1744" s="22"/>
      <c r="V1744" s="22"/>
      <c r="W1744" s="22"/>
      <c r="X1744" s="22"/>
    </row>
    <row r="1745" spans="17:24" x14ac:dyDescent="0.25">
      <c r="Q1745" s="22"/>
      <c r="R1745" s="22"/>
      <c r="S1745" s="22"/>
      <c r="T1745" s="22"/>
      <c r="U1745" s="22"/>
      <c r="V1745" s="22"/>
      <c r="W1745" s="22"/>
      <c r="X1745" s="22"/>
    </row>
    <row r="1746" spans="17:24" x14ac:dyDescent="0.25">
      <c r="Q1746" s="22"/>
      <c r="R1746" s="22"/>
      <c r="S1746" s="22"/>
      <c r="T1746" s="22"/>
      <c r="U1746" s="22"/>
      <c r="V1746" s="22"/>
      <c r="W1746" s="22"/>
      <c r="X1746" s="22"/>
    </row>
    <row r="1747" spans="17:24" x14ac:dyDescent="0.25">
      <c r="Q1747" s="22"/>
      <c r="R1747" s="22"/>
      <c r="S1747" s="22"/>
      <c r="T1747" s="22"/>
      <c r="U1747" s="22"/>
      <c r="V1747" s="22"/>
      <c r="W1747" s="22"/>
      <c r="X1747" s="22"/>
    </row>
    <row r="1748" spans="17:24" x14ac:dyDescent="0.25">
      <c r="Q1748" s="22"/>
      <c r="R1748" s="22"/>
      <c r="S1748" s="22"/>
      <c r="T1748" s="22"/>
      <c r="U1748" s="22"/>
      <c r="V1748" s="22"/>
      <c r="W1748" s="22"/>
      <c r="X1748" s="22"/>
    </row>
    <row r="1749" spans="17:24" x14ac:dyDescent="0.25">
      <c r="Q1749" s="22"/>
      <c r="R1749" s="22"/>
      <c r="S1749" s="22"/>
      <c r="T1749" s="22"/>
      <c r="U1749" s="22"/>
      <c r="V1749" s="22"/>
      <c r="W1749" s="22"/>
      <c r="X1749" s="22"/>
    </row>
    <row r="1750" spans="17:24" x14ac:dyDescent="0.25">
      <c r="Q1750" s="22"/>
      <c r="R1750" s="22"/>
      <c r="S1750" s="22"/>
      <c r="T1750" s="22"/>
      <c r="U1750" s="22"/>
      <c r="V1750" s="22"/>
      <c r="W1750" s="22"/>
      <c r="X1750" s="22"/>
    </row>
    <row r="1751" spans="17:24" x14ac:dyDescent="0.25">
      <c r="Q1751" s="22"/>
      <c r="R1751" s="22"/>
      <c r="S1751" s="22"/>
      <c r="T1751" s="22"/>
      <c r="U1751" s="22"/>
      <c r="V1751" s="22"/>
      <c r="W1751" s="22"/>
      <c r="X1751" s="22"/>
    </row>
    <row r="1752" spans="17:24" x14ac:dyDescent="0.25">
      <c r="Q1752" s="22"/>
      <c r="R1752" s="22"/>
      <c r="S1752" s="22"/>
      <c r="T1752" s="22"/>
      <c r="U1752" s="22"/>
      <c r="V1752" s="22"/>
      <c r="W1752" s="22"/>
      <c r="X1752" s="22"/>
    </row>
    <row r="1753" spans="17:24" x14ac:dyDescent="0.25">
      <c r="Q1753" s="22"/>
      <c r="R1753" s="22"/>
      <c r="S1753" s="22"/>
      <c r="T1753" s="22"/>
      <c r="U1753" s="22"/>
      <c r="V1753" s="22"/>
      <c r="W1753" s="22"/>
      <c r="X1753" s="22"/>
    </row>
    <row r="1754" spans="17:24" x14ac:dyDescent="0.25">
      <c r="Q1754" s="22"/>
      <c r="R1754" s="22"/>
      <c r="S1754" s="22"/>
      <c r="T1754" s="22"/>
      <c r="U1754" s="22"/>
      <c r="V1754" s="22"/>
      <c r="W1754" s="22"/>
      <c r="X1754" s="22"/>
    </row>
    <row r="1755" spans="17:24" x14ac:dyDescent="0.25">
      <c r="Q1755" s="22"/>
      <c r="R1755" s="22"/>
      <c r="S1755" s="22"/>
      <c r="T1755" s="22"/>
      <c r="U1755" s="22"/>
      <c r="V1755" s="22"/>
      <c r="W1755" s="22"/>
      <c r="X1755" s="22"/>
    </row>
    <row r="1756" spans="17:24" x14ac:dyDescent="0.25">
      <c r="Q1756" s="22"/>
      <c r="R1756" s="22"/>
      <c r="S1756" s="22"/>
      <c r="T1756" s="22"/>
      <c r="U1756" s="22"/>
      <c r="V1756" s="22"/>
      <c r="W1756" s="22"/>
      <c r="X1756" s="22"/>
    </row>
    <row r="1757" spans="17:24" x14ac:dyDescent="0.25">
      <c r="Q1757" s="22"/>
      <c r="R1757" s="22"/>
      <c r="S1757" s="22"/>
      <c r="T1757" s="22"/>
      <c r="U1757" s="22"/>
      <c r="V1757" s="22"/>
      <c r="W1757" s="22"/>
      <c r="X1757" s="22"/>
    </row>
    <row r="1758" spans="17:24" x14ac:dyDescent="0.25">
      <c r="Q1758" s="22"/>
      <c r="R1758" s="22"/>
      <c r="S1758" s="22"/>
      <c r="T1758" s="22"/>
      <c r="U1758" s="22"/>
      <c r="V1758" s="22"/>
      <c r="W1758" s="22"/>
      <c r="X1758" s="22"/>
    </row>
    <row r="1759" spans="17:24" x14ac:dyDescent="0.25">
      <c r="Q1759" s="22"/>
      <c r="R1759" s="22"/>
      <c r="S1759" s="22"/>
      <c r="T1759" s="22"/>
      <c r="U1759" s="22"/>
      <c r="V1759" s="22"/>
      <c r="W1759" s="22"/>
      <c r="X1759" s="22"/>
    </row>
    <row r="1760" spans="17:24" x14ac:dyDescent="0.25">
      <c r="Q1760" s="22"/>
      <c r="R1760" s="22"/>
      <c r="S1760" s="22"/>
      <c r="T1760" s="22"/>
      <c r="U1760" s="22"/>
      <c r="V1760" s="22"/>
      <c r="W1760" s="22"/>
      <c r="X1760" s="22"/>
    </row>
    <row r="1761" spans="17:24" x14ac:dyDescent="0.25">
      <c r="Q1761" s="22"/>
      <c r="R1761" s="22"/>
      <c r="S1761" s="22"/>
      <c r="T1761" s="22"/>
      <c r="U1761" s="22"/>
      <c r="V1761" s="22"/>
      <c r="W1761" s="22"/>
      <c r="X1761" s="22"/>
    </row>
    <row r="1762" spans="17:24" x14ac:dyDescent="0.25">
      <c r="Q1762" s="22"/>
      <c r="R1762" s="22"/>
      <c r="S1762" s="22"/>
      <c r="T1762" s="22"/>
      <c r="U1762" s="22"/>
      <c r="V1762" s="22"/>
      <c r="W1762" s="22"/>
      <c r="X1762" s="22"/>
    </row>
    <row r="1763" spans="17:24" x14ac:dyDescent="0.25">
      <c r="Q1763" s="22"/>
      <c r="R1763" s="22"/>
      <c r="S1763" s="22"/>
      <c r="T1763" s="22"/>
      <c r="U1763" s="22"/>
      <c r="V1763" s="22"/>
      <c r="W1763" s="22"/>
      <c r="X1763" s="22"/>
    </row>
    <row r="1764" spans="17:24" x14ac:dyDescent="0.25">
      <c r="Q1764" s="22"/>
      <c r="R1764" s="22"/>
      <c r="S1764" s="22"/>
      <c r="T1764" s="22"/>
      <c r="U1764" s="22"/>
      <c r="V1764" s="22"/>
      <c r="W1764" s="22"/>
      <c r="X1764" s="22"/>
    </row>
    <row r="1765" spans="17:24" x14ac:dyDescent="0.25">
      <c r="Q1765" s="22"/>
      <c r="R1765" s="22"/>
      <c r="S1765" s="22"/>
      <c r="T1765" s="22"/>
      <c r="U1765" s="22"/>
      <c r="V1765" s="22"/>
      <c r="W1765" s="22"/>
      <c r="X1765" s="22"/>
    </row>
    <row r="1766" spans="17:24" x14ac:dyDescent="0.25">
      <c r="Q1766" s="22"/>
      <c r="R1766" s="22"/>
      <c r="S1766" s="22"/>
      <c r="T1766" s="22"/>
      <c r="U1766" s="22"/>
      <c r="V1766" s="22"/>
      <c r="W1766" s="22"/>
      <c r="X1766" s="22"/>
    </row>
    <row r="1767" spans="17:24" x14ac:dyDescent="0.25">
      <c r="Q1767" s="22"/>
      <c r="R1767" s="22"/>
      <c r="S1767" s="22"/>
      <c r="T1767" s="22"/>
      <c r="U1767" s="22"/>
      <c r="V1767" s="22"/>
      <c r="W1767" s="22"/>
      <c r="X1767" s="22"/>
    </row>
    <row r="1768" spans="17:24" x14ac:dyDescent="0.25">
      <c r="Q1768" s="22"/>
      <c r="R1768" s="22"/>
      <c r="S1768" s="22"/>
      <c r="T1768" s="22"/>
      <c r="U1768" s="22"/>
      <c r="V1768" s="22"/>
      <c r="W1768" s="22"/>
      <c r="X1768" s="22"/>
    </row>
    <row r="1769" spans="17:24" x14ac:dyDescent="0.25">
      <c r="Q1769" s="22"/>
      <c r="R1769" s="22"/>
      <c r="S1769" s="22"/>
      <c r="T1769" s="22"/>
      <c r="U1769" s="22"/>
      <c r="V1769" s="22"/>
      <c r="W1769" s="22"/>
      <c r="X1769" s="22"/>
    </row>
    <row r="1770" spans="17:24" x14ac:dyDescent="0.25">
      <c r="Q1770" s="22"/>
      <c r="R1770" s="22"/>
      <c r="S1770" s="22"/>
      <c r="T1770" s="22"/>
      <c r="U1770" s="22"/>
      <c r="V1770" s="22"/>
      <c r="W1770" s="22"/>
      <c r="X1770" s="22"/>
    </row>
    <row r="1771" spans="17:24" x14ac:dyDescent="0.25">
      <c r="Q1771" s="22"/>
      <c r="R1771" s="22"/>
      <c r="S1771" s="22"/>
      <c r="T1771" s="22"/>
      <c r="U1771" s="22"/>
      <c r="V1771" s="22"/>
      <c r="W1771" s="22"/>
      <c r="X1771" s="22"/>
    </row>
    <row r="1772" spans="17:24" x14ac:dyDescent="0.25">
      <c r="Q1772" s="22"/>
      <c r="R1772" s="22"/>
      <c r="S1772" s="22"/>
      <c r="T1772" s="22"/>
      <c r="U1772" s="22"/>
      <c r="V1772" s="22"/>
      <c r="W1772" s="22"/>
      <c r="X1772" s="22"/>
    </row>
    <row r="1773" spans="17:24" x14ac:dyDescent="0.25">
      <c r="Q1773" s="22"/>
      <c r="R1773" s="22"/>
      <c r="S1773" s="22"/>
      <c r="T1773" s="22"/>
      <c r="U1773" s="22"/>
      <c r="V1773" s="22"/>
      <c r="W1773" s="22"/>
      <c r="X1773" s="22"/>
    </row>
    <row r="1774" spans="17:24" x14ac:dyDescent="0.25">
      <c r="Q1774" s="22"/>
      <c r="R1774" s="22"/>
      <c r="S1774" s="22"/>
      <c r="T1774" s="22"/>
      <c r="U1774" s="22"/>
      <c r="V1774" s="22"/>
      <c r="W1774" s="22"/>
      <c r="X1774" s="22"/>
    </row>
    <row r="1775" spans="17:24" x14ac:dyDescent="0.25">
      <c r="Q1775" s="22"/>
      <c r="R1775" s="22"/>
      <c r="S1775" s="22"/>
      <c r="T1775" s="22"/>
      <c r="U1775" s="22"/>
      <c r="V1775" s="22"/>
      <c r="W1775" s="22"/>
      <c r="X1775" s="22"/>
    </row>
    <row r="1776" spans="17:24" x14ac:dyDescent="0.25">
      <c r="Q1776" s="22"/>
      <c r="R1776" s="22"/>
      <c r="S1776" s="22"/>
      <c r="T1776" s="22"/>
      <c r="U1776" s="22"/>
      <c r="V1776" s="22"/>
      <c r="W1776" s="22"/>
      <c r="X1776" s="22"/>
    </row>
    <row r="1777" spans="17:24" x14ac:dyDescent="0.25">
      <c r="Q1777" s="22"/>
      <c r="R1777" s="22"/>
      <c r="S1777" s="22"/>
      <c r="T1777" s="22"/>
      <c r="U1777" s="22"/>
      <c r="V1777" s="22"/>
      <c r="W1777" s="22"/>
      <c r="X1777" s="22"/>
    </row>
    <row r="1778" spans="17:24" x14ac:dyDescent="0.25">
      <c r="Q1778" s="22"/>
      <c r="R1778" s="22"/>
      <c r="S1778" s="22"/>
      <c r="T1778" s="22"/>
      <c r="U1778" s="22"/>
      <c r="V1778" s="22"/>
      <c r="W1778" s="22"/>
      <c r="X1778" s="22"/>
    </row>
    <row r="1779" spans="17:24" x14ac:dyDescent="0.25">
      <c r="Q1779" s="22"/>
      <c r="R1779" s="22"/>
      <c r="S1779" s="22"/>
      <c r="T1779" s="22"/>
      <c r="U1779" s="22"/>
      <c r="V1779" s="22"/>
      <c r="W1779" s="22"/>
      <c r="X1779" s="22"/>
    </row>
    <row r="1780" spans="17:24" x14ac:dyDescent="0.25">
      <c r="Q1780" s="22"/>
      <c r="R1780" s="22"/>
      <c r="S1780" s="22"/>
      <c r="T1780" s="22"/>
      <c r="U1780" s="22"/>
      <c r="V1780" s="22"/>
      <c r="W1780" s="22"/>
      <c r="X1780" s="22"/>
    </row>
    <row r="1781" spans="17:24" x14ac:dyDescent="0.25">
      <c r="Q1781" s="22"/>
      <c r="R1781" s="22"/>
      <c r="S1781" s="22"/>
      <c r="T1781" s="22"/>
      <c r="U1781" s="22"/>
      <c r="V1781" s="22"/>
      <c r="W1781" s="22"/>
      <c r="X1781" s="22"/>
    </row>
    <row r="1782" spans="17:24" x14ac:dyDescent="0.25">
      <c r="Q1782" s="22"/>
      <c r="R1782" s="22"/>
      <c r="S1782" s="22"/>
      <c r="T1782" s="22"/>
      <c r="U1782" s="22"/>
      <c r="V1782" s="22"/>
      <c r="W1782" s="22"/>
      <c r="X1782" s="22"/>
    </row>
    <row r="1783" spans="17:24" x14ac:dyDescent="0.25">
      <c r="Q1783" s="22"/>
      <c r="R1783" s="22"/>
      <c r="S1783" s="22"/>
      <c r="T1783" s="22"/>
      <c r="U1783" s="22"/>
      <c r="V1783" s="22"/>
      <c r="W1783" s="22"/>
      <c r="X1783" s="22"/>
    </row>
    <row r="1784" spans="17:24" x14ac:dyDescent="0.25">
      <c r="Q1784" s="22"/>
      <c r="R1784" s="22"/>
      <c r="S1784" s="22"/>
      <c r="T1784" s="22"/>
      <c r="U1784" s="22"/>
      <c r="V1784" s="22"/>
      <c r="W1784" s="22"/>
      <c r="X1784" s="22"/>
    </row>
    <row r="1785" spans="17:24" x14ac:dyDescent="0.25">
      <c r="Q1785" s="22"/>
      <c r="R1785" s="22"/>
      <c r="S1785" s="22"/>
      <c r="T1785" s="22"/>
      <c r="U1785" s="22"/>
      <c r="V1785" s="22"/>
      <c r="W1785" s="22"/>
      <c r="X1785" s="22"/>
    </row>
    <row r="1786" spans="17:24" x14ac:dyDescent="0.25">
      <c r="Q1786" s="22"/>
      <c r="R1786" s="22"/>
      <c r="S1786" s="22"/>
      <c r="T1786" s="22"/>
      <c r="U1786" s="22"/>
      <c r="V1786" s="22"/>
      <c r="W1786" s="22"/>
      <c r="X1786" s="22"/>
    </row>
    <row r="1787" spans="17:24" x14ac:dyDescent="0.25">
      <c r="Q1787" s="22"/>
      <c r="R1787" s="22"/>
      <c r="S1787" s="22"/>
      <c r="T1787" s="22"/>
      <c r="U1787" s="22"/>
      <c r="V1787" s="22"/>
      <c r="W1787" s="22"/>
      <c r="X1787" s="22"/>
    </row>
    <row r="1788" spans="17:24" x14ac:dyDescent="0.25">
      <c r="Q1788" s="22"/>
      <c r="R1788" s="22"/>
      <c r="S1788" s="22"/>
      <c r="T1788" s="22"/>
      <c r="U1788" s="22"/>
      <c r="V1788" s="22"/>
      <c r="W1788" s="22"/>
      <c r="X1788" s="22"/>
    </row>
    <row r="1789" spans="17:24" x14ac:dyDescent="0.25">
      <c r="Q1789" s="22"/>
      <c r="R1789" s="22"/>
      <c r="S1789" s="22"/>
      <c r="T1789" s="22"/>
      <c r="U1789" s="22"/>
      <c r="V1789" s="22"/>
      <c r="W1789" s="22"/>
      <c r="X1789" s="22"/>
    </row>
    <row r="1790" spans="17:24" x14ac:dyDescent="0.25">
      <c r="Q1790" s="22"/>
      <c r="R1790" s="22"/>
      <c r="S1790" s="22"/>
      <c r="T1790" s="22"/>
      <c r="U1790" s="22"/>
      <c r="V1790" s="22"/>
      <c r="W1790" s="22"/>
      <c r="X1790" s="22"/>
    </row>
    <row r="1791" spans="17:24" x14ac:dyDescent="0.25">
      <c r="Q1791" s="22"/>
      <c r="R1791" s="22"/>
      <c r="S1791" s="22"/>
      <c r="T1791" s="22"/>
      <c r="U1791" s="22"/>
      <c r="V1791" s="22"/>
      <c r="W1791" s="22"/>
      <c r="X1791" s="22"/>
    </row>
    <row r="1792" spans="17:24" x14ac:dyDescent="0.25">
      <c r="Q1792" s="22"/>
      <c r="R1792" s="22"/>
      <c r="S1792" s="22"/>
      <c r="T1792" s="22"/>
      <c r="U1792" s="22"/>
      <c r="V1792" s="22"/>
      <c r="W1792" s="22"/>
      <c r="X1792" s="22"/>
    </row>
    <row r="1793" spans="17:24" x14ac:dyDescent="0.25">
      <c r="Q1793" s="22"/>
      <c r="R1793" s="22"/>
      <c r="S1793" s="22"/>
      <c r="T1793" s="22"/>
      <c r="U1793" s="22"/>
      <c r="V1793" s="22"/>
      <c r="W1793" s="22"/>
      <c r="X1793" s="22"/>
    </row>
    <row r="1794" spans="17:24" x14ac:dyDescent="0.25">
      <c r="Q1794" s="22"/>
      <c r="R1794" s="22"/>
      <c r="S1794" s="22"/>
      <c r="T1794" s="22"/>
      <c r="U1794" s="22"/>
      <c r="V1794" s="22"/>
      <c r="W1794" s="22"/>
      <c r="X1794" s="22"/>
    </row>
    <row r="1795" spans="17:24" x14ac:dyDescent="0.25">
      <c r="Q1795" s="22"/>
      <c r="R1795" s="22"/>
      <c r="S1795" s="22"/>
      <c r="T1795" s="22"/>
      <c r="U1795" s="22"/>
      <c r="V1795" s="22"/>
      <c r="W1795" s="22"/>
      <c r="X1795" s="22"/>
    </row>
    <row r="1796" spans="17:24" x14ac:dyDescent="0.25">
      <c r="Q1796" s="22"/>
      <c r="R1796" s="22"/>
      <c r="S1796" s="22"/>
      <c r="T1796" s="22"/>
      <c r="U1796" s="22"/>
      <c r="V1796" s="22"/>
      <c r="W1796" s="22"/>
      <c r="X1796" s="22"/>
    </row>
    <row r="1797" spans="17:24" x14ac:dyDescent="0.25">
      <c r="Q1797" s="22"/>
      <c r="R1797" s="22"/>
      <c r="S1797" s="22"/>
      <c r="T1797" s="22"/>
      <c r="U1797" s="22"/>
      <c r="V1797" s="22"/>
      <c r="W1797" s="22"/>
      <c r="X1797" s="22"/>
    </row>
    <row r="1798" spans="17:24" x14ac:dyDescent="0.25">
      <c r="Q1798" s="22"/>
      <c r="R1798" s="22"/>
      <c r="S1798" s="22"/>
      <c r="T1798" s="22"/>
      <c r="U1798" s="22"/>
      <c r="V1798" s="22"/>
      <c r="W1798" s="22"/>
      <c r="X1798" s="22"/>
    </row>
    <row r="1799" spans="17:24" x14ac:dyDescent="0.25">
      <c r="Q1799" s="22"/>
      <c r="R1799" s="22"/>
      <c r="S1799" s="22"/>
      <c r="T1799" s="22"/>
      <c r="U1799" s="22"/>
      <c r="V1799" s="22"/>
      <c r="W1799" s="22"/>
      <c r="X1799" s="22"/>
    </row>
    <row r="1800" spans="17:24" x14ac:dyDescent="0.25">
      <c r="Q1800" s="22"/>
      <c r="R1800" s="22"/>
      <c r="S1800" s="22"/>
      <c r="T1800" s="22"/>
      <c r="U1800" s="22"/>
      <c r="V1800" s="22"/>
      <c r="W1800" s="22"/>
      <c r="X1800" s="22"/>
    </row>
    <row r="1801" spans="17:24" x14ac:dyDescent="0.25">
      <c r="Q1801" s="22"/>
      <c r="R1801" s="22"/>
      <c r="S1801" s="22"/>
      <c r="T1801" s="22"/>
      <c r="U1801" s="22"/>
      <c r="V1801" s="22"/>
      <c r="W1801" s="22"/>
      <c r="X1801" s="22"/>
    </row>
    <row r="1802" spans="17:24" x14ac:dyDescent="0.25">
      <c r="Q1802" s="22"/>
      <c r="R1802" s="22"/>
      <c r="S1802" s="22"/>
      <c r="T1802" s="22"/>
      <c r="U1802" s="22"/>
      <c r="V1802" s="22"/>
      <c r="W1802" s="22"/>
      <c r="X1802" s="22"/>
    </row>
    <row r="1803" spans="17:24" x14ac:dyDescent="0.25">
      <c r="Q1803" s="22"/>
      <c r="R1803" s="22"/>
      <c r="S1803" s="22"/>
      <c r="T1803" s="22"/>
      <c r="U1803" s="22"/>
      <c r="V1803" s="22"/>
      <c r="W1803" s="22"/>
      <c r="X1803" s="22"/>
    </row>
    <row r="1804" spans="17:24" x14ac:dyDescent="0.25">
      <c r="Q1804" s="22"/>
      <c r="R1804" s="22"/>
      <c r="S1804" s="22"/>
      <c r="T1804" s="22"/>
      <c r="U1804" s="22"/>
      <c r="V1804" s="22"/>
      <c r="W1804" s="22"/>
      <c r="X1804" s="22"/>
    </row>
    <row r="1805" spans="17:24" x14ac:dyDescent="0.25">
      <c r="Q1805" s="22"/>
      <c r="R1805" s="22"/>
      <c r="S1805" s="22"/>
      <c r="T1805" s="22"/>
      <c r="U1805" s="22"/>
      <c r="V1805" s="22"/>
      <c r="W1805" s="22"/>
      <c r="X1805" s="22"/>
    </row>
    <row r="1806" spans="17:24" x14ac:dyDescent="0.25">
      <c r="Q1806" s="22"/>
      <c r="R1806" s="22"/>
      <c r="S1806" s="22"/>
      <c r="T1806" s="22"/>
      <c r="U1806" s="22"/>
      <c r="V1806" s="22"/>
      <c r="W1806" s="22"/>
      <c r="X1806" s="22"/>
    </row>
    <row r="1807" spans="17:24" x14ac:dyDescent="0.25">
      <c r="Q1807" s="22"/>
      <c r="R1807" s="22"/>
      <c r="S1807" s="22"/>
      <c r="T1807" s="22"/>
      <c r="U1807" s="22"/>
      <c r="V1807" s="22"/>
      <c r="W1807" s="22"/>
      <c r="X1807" s="22"/>
    </row>
    <row r="1808" spans="17:24" x14ac:dyDescent="0.25">
      <c r="Q1808" s="22"/>
      <c r="R1808" s="22"/>
      <c r="S1808" s="22"/>
      <c r="T1808" s="22"/>
      <c r="U1808" s="22"/>
      <c r="V1808" s="22"/>
      <c r="W1808" s="22"/>
      <c r="X1808" s="22"/>
    </row>
    <row r="1809" spans="17:24" x14ac:dyDescent="0.25">
      <c r="Q1809" s="22"/>
      <c r="R1809" s="22"/>
      <c r="S1809" s="22"/>
      <c r="T1809" s="22"/>
      <c r="U1809" s="22"/>
      <c r="V1809" s="22"/>
      <c r="W1809" s="22"/>
      <c r="X1809" s="22"/>
    </row>
    <row r="1810" spans="17:24" x14ac:dyDescent="0.25">
      <c r="Q1810" s="22"/>
      <c r="R1810" s="22"/>
      <c r="S1810" s="22"/>
      <c r="T1810" s="22"/>
      <c r="U1810" s="22"/>
      <c r="V1810" s="22"/>
      <c r="W1810" s="22"/>
      <c r="X1810" s="22"/>
    </row>
    <row r="1811" spans="17:24" x14ac:dyDescent="0.25">
      <c r="Q1811" s="22"/>
      <c r="R1811" s="22"/>
      <c r="S1811" s="22"/>
      <c r="T1811" s="22"/>
      <c r="U1811" s="22"/>
      <c r="V1811" s="22"/>
      <c r="W1811" s="22"/>
      <c r="X1811" s="22"/>
    </row>
    <row r="1812" spans="17:24" x14ac:dyDescent="0.25">
      <c r="Q1812" s="22"/>
      <c r="R1812" s="22"/>
      <c r="S1812" s="22"/>
      <c r="T1812" s="22"/>
      <c r="U1812" s="22"/>
      <c r="V1812" s="22"/>
      <c r="W1812" s="22"/>
      <c r="X1812" s="22"/>
    </row>
    <row r="1813" spans="17:24" x14ac:dyDescent="0.25">
      <c r="Q1813" s="22"/>
      <c r="R1813" s="22"/>
      <c r="S1813" s="22"/>
      <c r="T1813" s="22"/>
      <c r="U1813" s="22"/>
      <c r="V1813" s="22"/>
      <c r="W1813" s="22"/>
      <c r="X1813" s="22"/>
    </row>
    <row r="1814" spans="17:24" x14ac:dyDescent="0.25">
      <c r="Q1814" s="22"/>
      <c r="R1814" s="22"/>
      <c r="S1814" s="22"/>
      <c r="T1814" s="22"/>
      <c r="U1814" s="22"/>
      <c r="V1814" s="22"/>
      <c r="W1814" s="22"/>
      <c r="X1814" s="22"/>
    </row>
    <row r="1815" spans="17:24" x14ac:dyDescent="0.25">
      <c r="Q1815" s="22"/>
      <c r="R1815" s="22"/>
      <c r="S1815" s="22"/>
      <c r="T1815" s="22"/>
      <c r="U1815" s="22"/>
      <c r="V1815" s="22"/>
      <c r="W1815" s="22"/>
      <c r="X1815" s="22"/>
    </row>
    <row r="1816" spans="17:24" x14ac:dyDescent="0.25">
      <c r="Q1816" s="22"/>
      <c r="R1816" s="22"/>
      <c r="S1816" s="22"/>
      <c r="T1816" s="22"/>
      <c r="U1816" s="22"/>
      <c r="V1816" s="22"/>
      <c r="W1816" s="22"/>
      <c r="X1816" s="22"/>
    </row>
    <row r="1817" spans="17:24" x14ac:dyDescent="0.25">
      <c r="Q1817" s="22"/>
      <c r="R1817" s="22"/>
      <c r="S1817" s="22"/>
      <c r="T1817" s="22"/>
      <c r="U1817" s="22"/>
      <c r="V1817" s="22"/>
      <c r="W1817" s="22"/>
      <c r="X1817" s="22"/>
    </row>
    <row r="1818" spans="17:24" x14ac:dyDescent="0.25">
      <c r="Q1818" s="22"/>
      <c r="R1818" s="22"/>
      <c r="S1818" s="22"/>
      <c r="T1818" s="22"/>
      <c r="U1818" s="22"/>
      <c r="V1818" s="22"/>
      <c r="W1818" s="22"/>
      <c r="X1818" s="22"/>
    </row>
    <row r="1819" spans="17:24" x14ac:dyDescent="0.25">
      <c r="Q1819" s="22"/>
      <c r="R1819" s="22"/>
      <c r="S1819" s="22"/>
      <c r="T1819" s="22"/>
      <c r="U1819" s="22"/>
      <c r="V1819" s="22"/>
      <c r="W1819" s="22"/>
      <c r="X1819" s="22"/>
    </row>
    <row r="1820" spans="17:24" x14ac:dyDescent="0.25">
      <c r="Q1820" s="22"/>
      <c r="R1820" s="22"/>
      <c r="S1820" s="22"/>
      <c r="T1820" s="22"/>
      <c r="U1820" s="22"/>
      <c r="V1820" s="22"/>
      <c r="W1820" s="22"/>
      <c r="X1820" s="22"/>
    </row>
    <row r="1821" spans="17:24" x14ac:dyDescent="0.25">
      <c r="Q1821" s="22"/>
      <c r="R1821" s="22"/>
      <c r="S1821" s="22"/>
      <c r="T1821" s="22"/>
      <c r="U1821" s="22"/>
      <c r="V1821" s="22"/>
      <c r="W1821" s="22"/>
      <c r="X1821" s="22"/>
    </row>
    <row r="1822" spans="17:24" x14ac:dyDescent="0.25">
      <c r="Q1822" s="22"/>
      <c r="R1822" s="22"/>
      <c r="S1822" s="22"/>
      <c r="T1822" s="22"/>
      <c r="U1822" s="22"/>
      <c r="V1822" s="22"/>
      <c r="W1822" s="22"/>
      <c r="X1822" s="22"/>
    </row>
    <row r="1823" spans="17:24" x14ac:dyDescent="0.25">
      <c r="Q1823" s="22"/>
      <c r="R1823" s="22"/>
      <c r="S1823" s="22"/>
      <c r="T1823" s="22"/>
      <c r="U1823" s="22"/>
      <c r="V1823" s="22"/>
      <c r="W1823" s="22"/>
      <c r="X1823" s="22"/>
    </row>
    <row r="1824" spans="17:24" x14ac:dyDescent="0.25">
      <c r="Q1824" s="22"/>
      <c r="R1824" s="22"/>
      <c r="S1824" s="22"/>
      <c r="T1824" s="22"/>
      <c r="U1824" s="22"/>
      <c r="V1824" s="22"/>
      <c r="W1824" s="22"/>
      <c r="X1824" s="22"/>
    </row>
    <row r="1825" spans="17:24" x14ac:dyDescent="0.25">
      <c r="Q1825" s="22"/>
      <c r="R1825" s="22"/>
      <c r="S1825" s="22"/>
      <c r="T1825" s="22"/>
      <c r="U1825" s="22"/>
      <c r="V1825" s="22"/>
      <c r="W1825" s="22"/>
      <c r="X1825" s="22"/>
    </row>
    <row r="1826" spans="17:24" x14ac:dyDescent="0.25">
      <c r="Q1826" s="22"/>
      <c r="R1826" s="22"/>
      <c r="S1826" s="22"/>
      <c r="T1826" s="22"/>
      <c r="U1826" s="22"/>
      <c r="V1826" s="22"/>
      <c r="W1826" s="22"/>
      <c r="X1826" s="22"/>
    </row>
    <row r="1827" spans="17:24" x14ac:dyDescent="0.25">
      <c r="Q1827" s="22"/>
      <c r="R1827" s="22"/>
      <c r="S1827" s="22"/>
      <c r="T1827" s="22"/>
      <c r="U1827" s="22"/>
      <c r="V1827" s="22"/>
      <c r="W1827" s="22"/>
      <c r="X1827" s="22"/>
    </row>
    <row r="1828" spans="17:24" x14ac:dyDescent="0.25">
      <c r="Q1828" s="22"/>
      <c r="R1828" s="22"/>
      <c r="S1828" s="22"/>
      <c r="T1828" s="22"/>
      <c r="U1828" s="22"/>
      <c r="V1828" s="22"/>
      <c r="W1828" s="22"/>
      <c r="X1828" s="22"/>
    </row>
    <row r="1829" spans="17:24" x14ac:dyDescent="0.25">
      <c r="Q1829" s="22"/>
      <c r="R1829" s="22"/>
      <c r="S1829" s="22"/>
      <c r="T1829" s="22"/>
      <c r="U1829" s="22"/>
      <c r="V1829" s="22"/>
      <c r="W1829" s="22"/>
      <c r="X1829" s="22"/>
    </row>
    <row r="1830" spans="17:24" x14ac:dyDescent="0.25">
      <c r="Q1830" s="22"/>
      <c r="R1830" s="22"/>
      <c r="S1830" s="22"/>
      <c r="T1830" s="22"/>
      <c r="U1830" s="22"/>
      <c r="V1830" s="22"/>
      <c r="W1830" s="22"/>
      <c r="X1830" s="22"/>
    </row>
    <row r="1831" spans="17:24" x14ac:dyDescent="0.25">
      <c r="Q1831" s="22"/>
      <c r="R1831" s="22"/>
      <c r="S1831" s="22"/>
      <c r="T1831" s="22"/>
      <c r="U1831" s="22"/>
      <c r="V1831" s="22"/>
      <c r="W1831" s="22"/>
      <c r="X1831" s="22"/>
    </row>
    <row r="1832" spans="17:24" x14ac:dyDescent="0.25">
      <c r="Q1832" s="22"/>
      <c r="R1832" s="22"/>
      <c r="S1832" s="22"/>
      <c r="T1832" s="22"/>
      <c r="U1832" s="22"/>
      <c r="V1832" s="22"/>
      <c r="W1832" s="22"/>
      <c r="X1832" s="22"/>
    </row>
    <row r="1833" spans="17:24" x14ac:dyDescent="0.25">
      <c r="Q1833" s="22"/>
      <c r="R1833" s="22"/>
      <c r="S1833" s="22"/>
      <c r="T1833" s="22"/>
      <c r="U1833" s="22"/>
      <c r="V1833" s="22"/>
      <c r="W1833" s="22"/>
      <c r="X1833" s="22"/>
    </row>
    <row r="1834" spans="17:24" x14ac:dyDescent="0.25">
      <c r="Q1834" s="22"/>
      <c r="R1834" s="22"/>
      <c r="S1834" s="22"/>
      <c r="T1834" s="22"/>
      <c r="U1834" s="22"/>
      <c r="V1834" s="22"/>
      <c r="W1834" s="22"/>
      <c r="X1834" s="22"/>
    </row>
    <row r="1835" spans="17:24" x14ac:dyDescent="0.25">
      <c r="Q1835" s="22"/>
      <c r="R1835" s="22"/>
      <c r="S1835" s="22"/>
      <c r="T1835" s="22"/>
      <c r="U1835" s="22"/>
      <c r="V1835" s="22"/>
      <c r="W1835" s="22"/>
      <c r="X1835" s="22"/>
    </row>
    <row r="1836" spans="17:24" x14ac:dyDescent="0.25">
      <c r="Q1836" s="22"/>
      <c r="R1836" s="22"/>
      <c r="S1836" s="22"/>
      <c r="T1836" s="22"/>
      <c r="U1836" s="22"/>
      <c r="V1836" s="22"/>
      <c r="W1836" s="22"/>
      <c r="X1836" s="22"/>
    </row>
    <row r="1837" spans="17:24" x14ac:dyDescent="0.25">
      <c r="Q1837" s="22"/>
      <c r="R1837" s="22"/>
      <c r="S1837" s="22"/>
      <c r="T1837" s="22"/>
      <c r="U1837" s="22"/>
      <c r="V1837" s="22"/>
      <c r="W1837" s="22"/>
      <c r="X1837" s="22"/>
    </row>
    <row r="1838" spans="17:24" x14ac:dyDescent="0.25">
      <c r="Q1838" s="22"/>
      <c r="R1838" s="22"/>
      <c r="S1838" s="22"/>
      <c r="T1838" s="22"/>
      <c r="U1838" s="22"/>
      <c r="V1838" s="22"/>
      <c r="W1838" s="22"/>
      <c r="X1838" s="22"/>
    </row>
    <row r="1839" spans="17:24" x14ac:dyDescent="0.25">
      <c r="Q1839" s="22"/>
      <c r="R1839" s="22"/>
      <c r="S1839" s="22"/>
      <c r="T1839" s="22"/>
      <c r="U1839" s="22"/>
      <c r="V1839" s="22"/>
      <c r="W1839" s="22"/>
      <c r="X1839" s="22"/>
    </row>
    <row r="1840" spans="17:24" x14ac:dyDescent="0.25">
      <c r="Q1840" s="22"/>
      <c r="R1840" s="22"/>
      <c r="S1840" s="22"/>
      <c r="T1840" s="22"/>
      <c r="U1840" s="22"/>
      <c r="V1840" s="22"/>
      <c r="W1840" s="22"/>
      <c r="X1840" s="22"/>
    </row>
    <row r="1841" spans="17:24" x14ac:dyDescent="0.25">
      <c r="Q1841" s="22"/>
      <c r="R1841" s="22"/>
      <c r="S1841" s="22"/>
      <c r="T1841" s="22"/>
      <c r="U1841" s="22"/>
      <c r="V1841" s="22"/>
      <c r="W1841" s="22"/>
      <c r="X1841" s="22"/>
    </row>
    <row r="1842" spans="17:24" x14ac:dyDescent="0.25">
      <c r="Q1842" s="22"/>
      <c r="R1842" s="22"/>
      <c r="S1842" s="22"/>
      <c r="T1842" s="22"/>
      <c r="U1842" s="22"/>
      <c r="V1842" s="22"/>
      <c r="W1842" s="22"/>
      <c r="X1842" s="22"/>
    </row>
    <row r="1843" spans="17:24" x14ac:dyDescent="0.25">
      <c r="Q1843" s="22"/>
      <c r="R1843" s="22"/>
      <c r="S1843" s="22"/>
      <c r="T1843" s="22"/>
      <c r="U1843" s="22"/>
      <c r="V1843" s="22"/>
      <c r="W1843" s="22"/>
      <c r="X1843" s="22"/>
    </row>
    <row r="1844" spans="17:24" x14ac:dyDescent="0.25">
      <c r="Q1844" s="22"/>
      <c r="R1844" s="22"/>
      <c r="S1844" s="22"/>
      <c r="T1844" s="22"/>
      <c r="U1844" s="22"/>
      <c r="V1844" s="22"/>
      <c r="W1844" s="22"/>
      <c r="X1844" s="22"/>
    </row>
    <row r="1845" spans="17:24" x14ac:dyDescent="0.25">
      <c r="Q1845" s="22"/>
      <c r="R1845" s="22"/>
      <c r="S1845" s="22"/>
      <c r="T1845" s="22"/>
      <c r="U1845" s="22"/>
      <c r="V1845" s="22"/>
      <c r="W1845" s="22"/>
      <c r="X1845" s="22"/>
    </row>
    <row r="1846" spans="17:24" x14ac:dyDescent="0.25">
      <c r="Q1846" s="22"/>
      <c r="R1846" s="22"/>
      <c r="S1846" s="22"/>
      <c r="T1846" s="22"/>
      <c r="U1846" s="22"/>
      <c r="V1846" s="22"/>
      <c r="W1846" s="22"/>
      <c r="X1846" s="22"/>
    </row>
    <row r="1847" spans="17:24" x14ac:dyDescent="0.25">
      <c r="Q1847" s="22"/>
      <c r="R1847" s="22"/>
      <c r="S1847" s="22"/>
      <c r="T1847" s="22"/>
      <c r="U1847" s="22"/>
      <c r="V1847" s="22"/>
      <c r="W1847" s="22"/>
      <c r="X1847" s="22"/>
    </row>
    <row r="1848" spans="17:24" x14ac:dyDescent="0.25">
      <c r="Q1848" s="22"/>
      <c r="R1848" s="22"/>
      <c r="S1848" s="22"/>
      <c r="T1848" s="22"/>
      <c r="U1848" s="22"/>
      <c r="V1848" s="22"/>
      <c r="W1848" s="22"/>
      <c r="X1848" s="22"/>
    </row>
    <row r="1849" spans="17:24" x14ac:dyDescent="0.25">
      <c r="Q1849" s="22"/>
      <c r="R1849" s="22"/>
      <c r="S1849" s="22"/>
      <c r="T1849" s="22"/>
      <c r="U1849" s="22"/>
      <c r="V1849" s="22"/>
      <c r="W1849" s="22"/>
      <c r="X1849" s="22"/>
    </row>
    <row r="1850" spans="17:24" x14ac:dyDescent="0.25">
      <c r="Q1850" s="22"/>
      <c r="R1850" s="22"/>
      <c r="S1850" s="22"/>
      <c r="T1850" s="22"/>
      <c r="U1850" s="22"/>
      <c r="V1850" s="22"/>
      <c r="W1850" s="22"/>
      <c r="X1850" s="22"/>
    </row>
    <row r="1851" spans="17:24" x14ac:dyDescent="0.25">
      <c r="Q1851" s="22"/>
      <c r="R1851" s="22"/>
      <c r="S1851" s="22"/>
      <c r="T1851" s="22"/>
      <c r="U1851" s="22"/>
      <c r="V1851" s="22"/>
      <c r="W1851" s="22"/>
      <c r="X1851" s="22"/>
    </row>
    <row r="1852" spans="17:24" x14ac:dyDescent="0.25">
      <c r="Q1852" s="22"/>
      <c r="R1852" s="22"/>
      <c r="S1852" s="22"/>
      <c r="T1852" s="22"/>
      <c r="U1852" s="22"/>
      <c r="V1852" s="22"/>
      <c r="W1852" s="22"/>
      <c r="X1852" s="22"/>
    </row>
    <row r="1853" spans="17:24" x14ac:dyDescent="0.25">
      <c r="Q1853" s="22"/>
      <c r="R1853" s="22"/>
      <c r="S1853" s="22"/>
      <c r="T1853" s="22"/>
      <c r="U1853" s="22"/>
      <c r="V1853" s="22"/>
      <c r="W1853" s="22"/>
      <c r="X1853" s="22"/>
    </row>
    <row r="1854" spans="17:24" x14ac:dyDescent="0.25">
      <c r="Q1854" s="22"/>
      <c r="R1854" s="22"/>
      <c r="S1854" s="22"/>
      <c r="T1854" s="22"/>
      <c r="U1854" s="22"/>
      <c r="V1854" s="22"/>
      <c r="W1854" s="22"/>
      <c r="X1854" s="22"/>
    </row>
    <row r="1855" spans="17:24" x14ac:dyDescent="0.25">
      <c r="Q1855" s="22"/>
      <c r="R1855" s="22"/>
      <c r="S1855" s="22"/>
      <c r="T1855" s="22"/>
      <c r="U1855" s="22"/>
      <c r="V1855" s="22"/>
      <c r="W1855" s="22"/>
      <c r="X1855" s="22"/>
    </row>
    <row r="1856" spans="17:24" x14ac:dyDescent="0.25">
      <c r="Q1856" s="22"/>
      <c r="R1856" s="22"/>
      <c r="S1856" s="22"/>
      <c r="T1856" s="22"/>
      <c r="U1856" s="22"/>
      <c r="V1856" s="22"/>
      <c r="W1856" s="22"/>
      <c r="X1856" s="22"/>
    </row>
    <row r="1857" spans="17:24" x14ac:dyDescent="0.25">
      <c r="Q1857" s="22"/>
      <c r="R1857" s="22"/>
      <c r="S1857" s="22"/>
      <c r="T1857" s="22"/>
      <c r="U1857" s="22"/>
      <c r="V1857" s="22"/>
      <c r="W1857" s="22"/>
      <c r="X1857" s="22"/>
    </row>
    <row r="1858" spans="17:24" x14ac:dyDescent="0.25">
      <c r="Q1858" s="22"/>
      <c r="R1858" s="22"/>
      <c r="S1858" s="22"/>
      <c r="T1858" s="22"/>
      <c r="U1858" s="22"/>
      <c r="V1858" s="22"/>
      <c r="W1858" s="22"/>
      <c r="X1858" s="22"/>
    </row>
    <row r="1859" spans="17:24" x14ac:dyDescent="0.25">
      <c r="Q1859" s="22"/>
      <c r="R1859" s="22"/>
      <c r="S1859" s="22"/>
      <c r="T1859" s="22"/>
      <c r="U1859" s="22"/>
      <c r="V1859" s="22"/>
      <c r="W1859" s="22"/>
      <c r="X1859" s="22"/>
    </row>
    <row r="1860" spans="17:24" x14ac:dyDescent="0.25">
      <c r="Q1860" s="22"/>
      <c r="R1860" s="22"/>
      <c r="S1860" s="22"/>
      <c r="T1860" s="22"/>
      <c r="U1860" s="22"/>
      <c r="V1860" s="22"/>
      <c r="W1860" s="22"/>
      <c r="X1860" s="22"/>
    </row>
    <row r="1861" spans="17:24" x14ac:dyDescent="0.25">
      <c r="Q1861" s="22"/>
      <c r="R1861" s="22"/>
      <c r="S1861" s="22"/>
      <c r="T1861" s="22"/>
      <c r="U1861" s="22"/>
      <c r="V1861" s="22"/>
      <c r="W1861" s="22"/>
      <c r="X1861" s="22"/>
    </row>
    <row r="1862" spans="17:24" x14ac:dyDescent="0.25">
      <c r="Q1862" s="22"/>
      <c r="R1862" s="22"/>
      <c r="S1862" s="22"/>
      <c r="T1862" s="22"/>
      <c r="U1862" s="22"/>
      <c r="V1862" s="22"/>
      <c r="W1862" s="22"/>
      <c r="X1862" s="22"/>
    </row>
    <row r="1863" spans="17:24" x14ac:dyDescent="0.25">
      <c r="Q1863" s="22"/>
      <c r="R1863" s="22"/>
      <c r="S1863" s="22"/>
      <c r="T1863" s="22"/>
      <c r="U1863" s="22"/>
      <c r="V1863" s="22"/>
      <c r="W1863" s="22"/>
      <c r="X1863" s="22"/>
    </row>
    <row r="1864" spans="17:24" x14ac:dyDescent="0.25">
      <c r="Q1864" s="22"/>
      <c r="R1864" s="22"/>
      <c r="S1864" s="22"/>
      <c r="T1864" s="22"/>
      <c r="U1864" s="22"/>
      <c r="V1864" s="22"/>
      <c r="W1864" s="22"/>
      <c r="X1864" s="22"/>
    </row>
    <row r="1865" spans="17:24" x14ac:dyDescent="0.25">
      <c r="Q1865" s="22"/>
      <c r="R1865" s="22"/>
      <c r="S1865" s="22"/>
      <c r="T1865" s="22"/>
      <c r="U1865" s="22"/>
      <c r="V1865" s="22"/>
      <c r="W1865" s="22"/>
      <c r="X1865" s="22"/>
    </row>
    <row r="1866" spans="17:24" x14ac:dyDescent="0.25">
      <c r="Q1866" s="22"/>
      <c r="R1866" s="22"/>
      <c r="S1866" s="22"/>
      <c r="T1866" s="22"/>
      <c r="U1866" s="22"/>
      <c r="V1866" s="22"/>
      <c r="W1866" s="22"/>
      <c r="X1866" s="22"/>
    </row>
    <row r="1867" spans="17:24" x14ac:dyDescent="0.25">
      <c r="Q1867" s="22"/>
      <c r="R1867" s="22"/>
      <c r="S1867" s="22"/>
      <c r="T1867" s="22"/>
      <c r="U1867" s="22"/>
      <c r="V1867" s="22"/>
      <c r="W1867" s="22"/>
      <c r="X1867" s="22"/>
    </row>
    <row r="1868" spans="17:24" x14ac:dyDescent="0.25">
      <c r="Q1868" s="22"/>
      <c r="R1868" s="22"/>
      <c r="S1868" s="22"/>
      <c r="T1868" s="22"/>
      <c r="U1868" s="22"/>
      <c r="V1868" s="22"/>
      <c r="W1868" s="22"/>
      <c r="X1868" s="22"/>
    </row>
    <row r="1869" spans="17:24" x14ac:dyDescent="0.25">
      <c r="Q1869" s="22"/>
      <c r="R1869" s="22"/>
      <c r="S1869" s="22"/>
      <c r="T1869" s="22"/>
      <c r="U1869" s="22"/>
      <c r="V1869" s="22"/>
      <c r="W1869" s="22"/>
      <c r="X1869" s="22"/>
    </row>
    <row r="1870" spans="17:24" x14ac:dyDescent="0.25">
      <c r="Q1870" s="22"/>
      <c r="R1870" s="22"/>
      <c r="S1870" s="22"/>
      <c r="T1870" s="22"/>
      <c r="U1870" s="22"/>
      <c r="V1870" s="22"/>
      <c r="W1870" s="22"/>
      <c r="X1870" s="22"/>
    </row>
    <row r="1871" spans="17:24" x14ac:dyDescent="0.25">
      <c r="Q1871" s="22"/>
      <c r="R1871" s="22"/>
      <c r="S1871" s="22"/>
      <c r="T1871" s="22"/>
      <c r="U1871" s="22"/>
      <c r="V1871" s="22"/>
      <c r="W1871" s="22"/>
      <c r="X1871" s="22"/>
    </row>
    <row r="1872" spans="17:24" x14ac:dyDescent="0.25">
      <c r="Q1872" s="22"/>
      <c r="R1872" s="22"/>
      <c r="S1872" s="22"/>
      <c r="T1872" s="22"/>
      <c r="U1872" s="22"/>
      <c r="V1872" s="22"/>
      <c r="W1872" s="22"/>
      <c r="X1872" s="22"/>
    </row>
    <row r="1873" spans="17:24" x14ac:dyDescent="0.25">
      <c r="Q1873" s="22"/>
      <c r="R1873" s="22"/>
      <c r="S1873" s="22"/>
      <c r="T1873" s="22"/>
      <c r="U1873" s="22"/>
      <c r="V1873" s="22"/>
      <c r="W1873" s="22"/>
      <c r="X1873" s="22"/>
    </row>
    <row r="1874" spans="17:24" x14ac:dyDescent="0.25">
      <c r="Q1874" s="22"/>
      <c r="R1874" s="22"/>
      <c r="S1874" s="22"/>
      <c r="T1874" s="22"/>
      <c r="U1874" s="22"/>
      <c r="V1874" s="22"/>
      <c r="W1874" s="22"/>
      <c r="X1874" s="22"/>
    </row>
    <row r="1875" spans="17:24" x14ac:dyDescent="0.25">
      <c r="Q1875" s="22"/>
      <c r="R1875" s="22"/>
      <c r="S1875" s="22"/>
      <c r="T1875" s="22"/>
      <c r="U1875" s="22"/>
      <c r="V1875" s="22"/>
      <c r="W1875" s="22"/>
      <c r="X1875" s="22"/>
    </row>
    <row r="1876" spans="17:24" x14ac:dyDescent="0.25">
      <c r="Q1876" s="22"/>
      <c r="R1876" s="22"/>
      <c r="S1876" s="22"/>
      <c r="T1876" s="22"/>
      <c r="U1876" s="22"/>
      <c r="V1876" s="22"/>
      <c r="W1876" s="22"/>
      <c r="X1876" s="22"/>
    </row>
    <row r="1877" spans="17:24" x14ac:dyDescent="0.25">
      <c r="Q1877" s="22"/>
      <c r="R1877" s="22"/>
      <c r="S1877" s="22"/>
      <c r="T1877" s="22"/>
      <c r="U1877" s="22"/>
      <c r="V1877" s="22"/>
      <c r="W1877" s="22"/>
      <c r="X1877" s="22"/>
    </row>
    <row r="1878" spans="17:24" x14ac:dyDescent="0.25">
      <c r="Q1878" s="22"/>
      <c r="R1878" s="22"/>
      <c r="S1878" s="22"/>
      <c r="T1878" s="22"/>
      <c r="U1878" s="22"/>
      <c r="V1878" s="22"/>
      <c r="W1878" s="22"/>
      <c r="X1878" s="22"/>
    </row>
    <row r="1879" spans="17:24" x14ac:dyDescent="0.25">
      <c r="Q1879" s="22"/>
      <c r="R1879" s="22"/>
      <c r="S1879" s="22"/>
      <c r="T1879" s="22"/>
      <c r="U1879" s="22"/>
      <c r="V1879" s="22"/>
      <c r="W1879" s="22"/>
      <c r="X1879" s="22"/>
    </row>
    <row r="1880" spans="17:24" x14ac:dyDescent="0.25">
      <c r="Q1880" s="22"/>
      <c r="R1880" s="22"/>
      <c r="S1880" s="22"/>
      <c r="T1880" s="22"/>
      <c r="U1880" s="22"/>
      <c r="V1880" s="22"/>
      <c r="W1880" s="22"/>
      <c r="X1880" s="22"/>
    </row>
    <row r="1881" spans="17:24" x14ac:dyDescent="0.25">
      <c r="Q1881" s="22"/>
      <c r="R1881" s="22"/>
      <c r="S1881" s="22"/>
      <c r="T1881" s="22"/>
      <c r="U1881" s="22"/>
      <c r="V1881" s="22"/>
      <c r="W1881" s="22"/>
      <c r="X1881" s="22"/>
    </row>
    <row r="1882" spans="17:24" x14ac:dyDescent="0.25">
      <c r="Q1882" s="22"/>
      <c r="R1882" s="22"/>
      <c r="S1882" s="22"/>
      <c r="T1882" s="22"/>
      <c r="U1882" s="22"/>
      <c r="V1882" s="22"/>
      <c r="W1882" s="22"/>
      <c r="X1882" s="22"/>
    </row>
    <row r="1883" spans="17:24" x14ac:dyDescent="0.25">
      <c r="Q1883" s="22"/>
      <c r="R1883" s="22"/>
      <c r="S1883" s="22"/>
      <c r="T1883" s="22"/>
      <c r="U1883" s="22"/>
      <c r="V1883" s="22"/>
      <c r="W1883" s="22"/>
      <c r="X1883" s="22"/>
    </row>
    <row r="1884" spans="17:24" x14ac:dyDescent="0.25">
      <c r="Q1884" s="22"/>
      <c r="R1884" s="22"/>
      <c r="S1884" s="22"/>
      <c r="T1884" s="22"/>
      <c r="U1884" s="22"/>
      <c r="V1884" s="22"/>
      <c r="W1884" s="22"/>
      <c r="X1884" s="22"/>
    </row>
    <row r="1885" spans="17:24" x14ac:dyDescent="0.25">
      <c r="Q1885" s="22"/>
      <c r="R1885" s="22"/>
      <c r="S1885" s="22"/>
      <c r="T1885" s="22"/>
      <c r="U1885" s="22"/>
      <c r="V1885" s="22"/>
      <c r="W1885" s="22"/>
      <c r="X1885" s="22"/>
    </row>
    <row r="1886" spans="17:24" x14ac:dyDescent="0.25">
      <c r="Q1886" s="22"/>
      <c r="R1886" s="22"/>
      <c r="S1886" s="22"/>
      <c r="T1886" s="22"/>
      <c r="U1886" s="22"/>
      <c r="V1886" s="22"/>
      <c r="W1886" s="22"/>
      <c r="X1886" s="22"/>
    </row>
    <row r="1887" spans="17:24" x14ac:dyDescent="0.25">
      <c r="Q1887" s="22"/>
      <c r="R1887" s="22"/>
      <c r="S1887" s="22"/>
      <c r="T1887" s="22"/>
      <c r="U1887" s="22"/>
      <c r="V1887" s="22"/>
      <c r="W1887" s="22"/>
      <c r="X1887" s="22"/>
    </row>
    <row r="1888" spans="17:24" x14ac:dyDescent="0.25">
      <c r="Q1888" s="22"/>
      <c r="R1888" s="22"/>
      <c r="S1888" s="22"/>
      <c r="T1888" s="22"/>
      <c r="U1888" s="22"/>
      <c r="V1888" s="22"/>
      <c r="W1888" s="22"/>
      <c r="X1888" s="22"/>
    </row>
    <row r="1889" spans="17:24" x14ac:dyDescent="0.25">
      <c r="Q1889" s="22"/>
      <c r="R1889" s="22"/>
      <c r="S1889" s="22"/>
      <c r="T1889" s="22"/>
      <c r="U1889" s="22"/>
      <c r="V1889" s="22"/>
      <c r="W1889" s="22"/>
      <c r="X1889" s="22"/>
    </row>
    <row r="1890" spans="17:24" x14ac:dyDescent="0.25">
      <c r="Q1890" s="22"/>
      <c r="R1890" s="22"/>
      <c r="S1890" s="22"/>
      <c r="T1890" s="22"/>
      <c r="U1890" s="22"/>
      <c r="V1890" s="22"/>
      <c r="W1890" s="22"/>
      <c r="X1890" s="22"/>
    </row>
    <row r="1891" spans="17:24" x14ac:dyDescent="0.25">
      <c r="Q1891" s="22"/>
      <c r="R1891" s="22"/>
      <c r="S1891" s="22"/>
      <c r="T1891" s="22"/>
      <c r="U1891" s="22"/>
      <c r="V1891" s="22"/>
      <c r="W1891" s="22"/>
      <c r="X1891" s="22"/>
    </row>
    <row r="1892" spans="17:24" x14ac:dyDescent="0.25">
      <c r="Q1892" s="22"/>
      <c r="R1892" s="22"/>
      <c r="S1892" s="22"/>
      <c r="T1892" s="22"/>
      <c r="U1892" s="22"/>
      <c r="V1892" s="22"/>
      <c r="W1892" s="22"/>
      <c r="X1892" s="22"/>
    </row>
    <row r="1893" spans="17:24" x14ac:dyDescent="0.25">
      <c r="Q1893" s="22"/>
      <c r="R1893" s="22"/>
      <c r="S1893" s="22"/>
      <c r="T1893" s="22"/>
      <c r="U1893" s="22"/>
      <c r="V1893" s="22"/>
      <c r="W1893" s="22"/>
      <c r="X1893" s="22"/>
    </row>
    <row r="1894" spans="17:24" x14ac:dyDescent="0.25">
      <c r="Q1894" s="22"/>
      <c r="R1894" s="22"/>
      <c r="S1894" s="22"/>
      <c r="T1894" s="22"/>
      <c r="U1894" s="22"/>
      <c r="V1894" s="22"/>
      <c r="W1894" s="22"/>
      <c r="X1894" s="22"/>
    </row>
    <row r="1895" spans="17:24" x14ac:dyDescent="0.25">
      <c r="Q1895" s="22"/>
      <c r="R1895" s="22"/>
      <c r="S1895" s="22"/>
      <c r="T1895" s="22"/>
      <c r="U1895" s="22"/>
      <c r="V1895" s="22"/>
      <c r="W1895" s="22"/>
      <c r="X1895" s="22"/>
    </row>
    <row r="1896" spans="17:24" x14ac:dyDescent="0.25">
      <c r="Q1896" s="22"/>
      <c r="R1896" s="22"/>
      <c r="S1896" s="22"/>
      <c r="T1896" s="22"/>
      <c r="U1896" s="22"/>
      <c r="V1896" s="22"/>
      <c r="W1896" s="22"/>
      <c r="X1896" s="22"/>
    </row>
    <row r="1897" spans="17:24" x14ac:dyDescent="0.25">
      <c r="Q1897" s="22"/>
      <c r="R1897" s="22"/>
      <c r="S1897" s="22"/>
      <c r="T1897" s="22"/>
      <c r="U1897" s="22"/>
      <c r="V1897" s="22"/>
      <c r="W1897" s="22"/>
      <c r="X1897" s="22"/>
    </row>
    <row r="1898" spans="17:24" x14ac:dyDescent="0.25">
      <c r="Q1898" s="22"/>
      <c r="R1898" s="22"/>
      <c r="S1898" s="22"/>
      <c r="T1898" s="22"/>
      <c r="U1898" s="22"/>
      <c r="V1898" s="22"/>
      <c r="W1898" s="22"/>
      <c r="X1898" s="22"/>
    </row>
    <row r="1899" spans="17:24" x14ac:dyDescent="0.25">
      <c r="Q1899" s="22"/>
      <c r="R1899" s="22"/>
      <c r="S1899" s="22"/>
      <c r="T1899" s="22"/>
      <c r="U1899" s="22"/>
      <c r="V1899" s="22"/>
      <c r="W1899" s="22"/>
      <c r="X1899" s="22"/>
    </row>
    <row r="1900" spans="17:24" x14ac:dyDescent="0.25">
      <c r="Q1900" s="22"/>
      <c r="R1900" s="22"/>
      <c r="S1900" s="22"/>
      <c r="T1900" s="22"/>
      <c r="U1900" s="22"/>
      <c r="V1900" s="22"/>
      <c r="W1900" s="22"/>
      <c r="X1900" s="22"/>
    </row>
    <row r="1901" spans="17:24" x14ac:dyDescent="0.25">
      <c r="Q1901" s="22"/>
      <c r="R1901" s="22"/>
      <c r="S1901" s="22"/>
      <c r="T1901" s="22"/>
      <c r="U1901" s="22"/>
      <c r="V1901" s="22"/>
      <c r="W1901" s="22"/>
      <c r="X1901" s="22"/>
    </row>
    <row r="1902" spans="17:24" x14ac:dyDescent="0.25">
      <c r="Q1902" s="22"/>
      <c r="R1902" s="22"/>
      <c r="S1902" s="22"/>
      <c r="T1902" s="22"/>
      <c r="U1902" s="22"/>
      <c r="V1902" s="22"/>
      <c r="W1902" s="22"/>
      <c r="X1902" s="22"/>
    </row>
    <row r="1903" spans="17:24" x14ac:dyDescent="0.25">
      <c r="Q1903" s="22"/>
      <c r="R1903" s="22"/>
      <c r="S1903" s="22"/>
      <c r="T1903" s="22"/>
      <c r="U1903" s="22"/>
      <c r="V1903" s="22"/>
      <c r="W1903" s="22"/>
      <c r="X1903" s="22"/>
    </row>
    <row r="1904" spans="17:24" x14ac:dyDescent="0.25">
      <c r="Q1904" s="22"/>
      <c r="R1904" s="22"/>
      <c r="S1904" s="22"/>
      <c r="T1904" s="22"/>
      <c r="U1904" s="22"/>
      <c r="V1904" s="22"/>
      <c r="W1904" s="22"/>
      <c r="X1904" s="22"/>
    </row>
    <row r="1905" spans="17:24" x14ac:dyDescent="0.25">
      <c r="Q1905" s="22"/>
      <c r="R1905" s="22"/>
      <c r="S1905" s="22"/>
      <c r="T1905" s="22"/>
      <c r="U1905" s="22"/>
      <c r="V1905" s="22"/>
      <c r="W1905" s="22"/>
      <c r="X1905" s="22"/>
    </row>
    <row r="1906" spans="17:24" x14ac:dyDescent="0.25">
      <c r="Q1906" s="22"/>
      <c r="R1906" s="22"/>
      <c r="S1906" s="22"/>
      <c r="T1906" s="22"/>
      <c r="U1906" s="22"/>
      <c r="V1906" s="22"/>
      <c r="W1906" s="22"/>
      <c r="X1906" s="22"/>
    </row>
    <row r="1907" spans="17:24" x14ac:dyDescent="0.25">
      <c r="Q1907" s="22"/>
      <c r="R1907" s="22"/>
      <c r="S1907" s="22"/>
      <c r="T1907" s="22"/>
      <c r="U1907" s="22"/>
      <c r="V1907" s="22"/>
      <c r="W1907" s="22"/>
      <c r="X1907" s="22"/>
    </row>
    <row r="1908" spans="17:24" x14ac:dyDescent="0.25">
      <c r="Q1908" s="22"/>
      <c r="R1908" s="22"/>
      <c r="S1908" s="22"/>
      <c r="T1908" s="22"/>
      <c r="U1908" s="22"/>
      <c r="V1908" s="22"/>
      <c r="W1908" s="22"/>
      <c r="X1908" s="22"/>
    </row>
    <row r="1909" spans="17:24" x14ac:dyDescent="0.25">
      <c r="Q1909" s="22"/>
      <c r="R1909" s="22"/>
      <c r="S1909" s="22"/>
      <c r="T1909" s="22"/>
      <c r="U1909" s="22"/>
      <c r="V1909" s="22"/>
      <c r="W1909" s="22"/>
      <c r="X1909" s="22"/>
    </row>
    <row r="1910" spans="17:24" x14ac:dyDescent="0.25">
      <c r="Q1910" s="22"/>
      <c r="R1910" s="22"/>
      <c r="S1910" s="22"/>
      <c r="T1910" s="22"/>
      <c r="U1910" s="22"/>
      <c r="V1910" s="22"/>
      <c r="W1910" s="22"/>
      <c r="X1910" s="22"/>
    </row>
    <row r="1911" spans="17:24" x14ac:dyDescent="0.25">
      <c r="Q1911" s="22"/>
      <c r="R1911" s="22"/>
      <c r="S1911" s="22"/>
      <c r="T1911" s="22"/>
      <c r="U1911" s="22"/>
      <c r="V1911" s="22"/>
      <c r="W1911" s="22"/>
      <c r="X1911" s="22"/>
    </row>
    <row r="1912" spans="17:24" x14ac:dyDescent="0.25">
      <c r="Q1912" s="22"/>
      <c r="R1912" s="22"/>
      <c r="S1912" s="22"/>
      <c r="T1912" s="22"/>
      <c r="U1912" s="22"/>
      <c r="V1912" s="22"/>
      <c r="W1912" s="22"/>
      <c r="X1912" s="22"/>
    </row>
    <row r="1913" spans="17:24" x14ac:dyDescent="0.25">
      <c r="Q1913" s="22"/>
      <c r="R1913" s="22"/>
      <c r="S1913" s="22"/>
      <c r="T1913" s="22"/>
      <c r="U1913" s="22"/>
      <c r="V1913" s="22"/>
      <c r="W1913" s="22"/>
      <c r="X1913" s="22"/>
    </row>
    <row r="1914" spans="17:24" x14ac:dyDescent="0.25">
      <c r="Q1914" s="22"/>
      <c r="R1914" s="22"/>
      <c r="S1914" s="22"/>
      <c r="T1914" s="22"/>
      <c r="U1914" s="22"/>
      <c r="V1914" s="22"/>
      <c r="W1914" s="22"/>
      <c r="X1914" s="22"/>
    </row>
    <row r="1915" spans="17:24" x14ac:dyDescent="0.25">
      <c r="Q1915" s="22"/>
      <c r="R1915" s="22"/>
      <c r="S1915" s="22"/>
      <c r="T1915" s="22"/>
      <c r="U1915" s="22"/>
      <c r="V1915" s="22"/>
      <c r="W1915" s="22"/>
      <c r="X1915" s="22"/>
    </row>
    <row r="1916" spans="17:24" x14ac:dyDescent="0.25">
      <c r="Q1916" s="22"/>
      <c r="R1916" s="22"/>
      <c r="S1916" s="22"/>
      <c r="T1916" s="22"/>
      <c r="U1916" s="22"/>
      <c r="V1916" s="22"/>
      <c r="W1916" s="22"/>
      <c r="X1916" s="22"/>
    </row>
    <row r="1917" spans="17:24" x14ac:dyDescent="0.25">
      <c r="Q1917" s="22"/>
      <c r="R1917" s="22"/>
      <c r="S1917" s="22"/>
      <c r="T1917" s="22"/>
      <c r="U1917" s="22"/>
      <c r="V1917" s="22"/>
      <c r="W1917" s="22"/>
      <c r="X1917" s="22"/>
    </row>
    <row r="1918" spans="17:24" x14ac:dyDescent="0.25">
      <c r="Q1918" s="22"/>
      <c r="R1918" s="22"/>
      <c r="S1918" s="22"/>
      <c r="T1918" s="22"/>
      <c r="U1918" s="22"/>
      <c r="V1918" s="22"/>
      <c r="W1918" s="22"/>
      <c r="X1918" s="22"/>
    </row>
    <row r="1919" spans="17:24" x14ac:dyDescent="0.25">
      <c r="Q1919" s="22"/>
      <c r="R1919" s="22"/>
      <c r="S1919" s="22"/>
      <c r="T1919" s="22"/>
      <c r="U1919" s="22"/>
      <c r="V1919" s="22"/>
      <c r="W1919" s="22"/>
      <c r="X1919" s="22"/>
    </row>
    <row r="1920" spans="17:24" x14ac:dyDescent="0.25">
      <c r="Q1920" s="22"/>
      <c r="R1920" s="22"/>
      <c r="S1920" s="22"/>
      <c r="T1920" s="22"/>
      <c r="U1920" s="22"/>
      <c r="V1920" s="22"/>
      <c r="W1920" s="22"/>
      <c r="X1920" s="22"/>
    </row>
    <row r="1921" spans="17:24" x14ac:dyDescent="0.25">
      <c r="Q1921" s="22"/>
      <c r="R1921" s="22"/>
      <c r="S1921" s="22"/>
      <c r="T1921" s="22"/>
      <c r="U1921" s="22"/>
      <c r="V1921" s="22"/>
      <c r="W1921" s="22"/>
      <c r="X1921" s="22"/>
    </row>
    <row r="1922" spans="17:24" x14ac:dyDescent="0.25">
      <c r="Q1922" s="22"/>
      <c r="R1922" s="22"/>
      <c r="S1922" s="22"/>
      <c r="T1922" s="22"/>
      <c r="U1922" s="22"/>
      <c r="V1922" s="22"/>
      <c r="W1922" s="22"/>
      <c r="X1922" s="22"/>
    </row>
    <row r="1923" spans="17:24" x14ac:dyDescent="0.25">
      <c r="Q1923" s="22"/>
      <c r="R1923" s="22"/>
      <c r="S1923" s="22"/>
      <c r="T1923" s="22"/>
      <c r="U1923" s="22"/>
      <c r="V1923" s="22"/>
      <c r="W1923" s="22"/>
      <c r="X1923" s="22"/>
    </row>
    <row r="1924" spans="17:24" x14ac:dyDescent="0.25">
      <c r="Q1924" s="22"/>
      <c r="R1924" s="22"/>
      <c r="S1924" s="22"/>
      <c r="T1924" s="22"/>
      <c r="U1924" s="22"/>
      <c r="V1924" s="22"/>
      <c r="W1924" s="22"/>
      <c r="X1924" s="22"/>
    </row>
    <row r="1925" spans="17:24" x14ac:dyDescent="0.25">
      <c r="Q1925" s="22"/>
      <c r="R1925" s="22"/>
      <c r="S1925" s="22"/>
      <c r="T1925" s="22"/>
      <c r="U1925" s="22"/>
      <c r="V1925" s="22"/>
      <c r="W1925" s="22"/>
      <c r="X1925" s="22"/>
    </row>
    <row r="1926" spans="17:24" x14ac:dyDescent="0.25">
      <c r="Q1926" s="22"/>
      <c r="R1926" s="22"/>
      <c r="S1926" s="22"/>
      <c r="T1926" s="22"/>
      <c r="U1926" s="22"/>
      <c r="V1926" s="22"/>
      <c r="W1926" s="22"/>
      <c r="X1926" s="22"/>
    </row>
    <row r="1927" spans="17:24" x14ac:dyDescent="0.25">
      <c r="Q1927" s="22"/>
      <c r="R1927" s="22"/>
      <c r="S1927" s="22"/>
      <c r="T1927" s="22"/>
      <c r="U1927" s="22"/>
      <c r="V1927" s="22"/>
      <c r="W1927" s="22"/>
      <c r="X1927" s="22"/>
    </row>
    <row r="1928" spans="17:24" x14ac:dyDescent="0.25">
      <c r="Q1928" s="22"/>
      <c r="R1928" s="22"/>
      <c r="S1928" s="22"/>
      <c r="T1928" s="22"/>
      <c r="U1928" s="22"/>
      <c r="V1928" s="22"/>
      <c r="W1928" s="22"/>
      <c r="X1928" s="22"/>
    </row>
    <row r="1929" spans="17:24" x14ac:dyDescent="0.25">
      <c r="Q1929" s="22"/>
      <c r="R1929" s="22"/>
      <c r="S1929" s="22"/>
      <c r="T1929" s="22"/>
      <c r="U1929" s="22"/>
      <c r="V1929" s="22"/>
      <c r="W1929" s="22"/>
      <c r="X1929" s="22"/>
    </row>
    <row r="1930" spans="17:24" x14ac:dyDescent="0.25">
      <c r="Q1930" s="22"/>
      <c r="R1930" s="22"/>
      <c r="S1930" s="22"/>
      <c r="T1930" s="22"/>
      <c r="U1930" s="22"/>
      <c r="V1930" s="22"/>
      <c r="W1930" s="22"/>
      <c r="X1930" s="22"/>
    </row>
    <row r="1931" spans="17:24" x14ac:dyDescent="0.25">
      <c r="Q1931" s="22"/>
      <c r="R1931" s="22"/>
      <c r="S1931" s="22"/>
      <c r="T1931" s="22"/>
      <c r="U1931" s="22"/>
      <c r="V1931" s="22"/>
      <c r="W1931" s="22"/>
      <c r="X1931" s="22"/>
    </row>
    <row r="1932" spans="17:24" x14ac:dyDescent="0.25">
      <c r="Q1932" s="22"/>
      <c r="R1932" s="22"/>
      <c r="S1932" s="22"/>
      <c r="T1932" s="22"/>
      <c r="U1932" s="22"/>
      <c r="V1932" s="22"/>
      <c r="W1932" s="22"/>
      <c r="X1932" s="22"/>
    </row>
    <row r="1933" spans="17:24" x14ac:dyDescent="0.25">
      <c r="Q1933" s="22"/>
      <c r="R1933" s="22"/>
      <c r="S1933" s="22"/>
      <c r="T1933" s="22"/>
      <c r="U1933" s="22"/>
      <c r="V1933" s="22"/>
      <c r="W1933" s="22"/>
      <c r="X1933" s="22"/>
    </row>
    <row r="1934" spans="17:24" x14ac:dyDescent="0.25">
      <c r="Q1934" s="22"/>
      <c r="R1934" s="22"/>
      <c r="S1934" s="22"/>
      <c r="T1934" s="22"/>
      <c r="U1934" s="22"/>
      <c r="V1934" s="22"/>
      <c r="W1934" s="22"/>
      <c r="X1934" s="22"/>
    </row>
    <row r="1935" spans="17:24" x14ac:dyDescent="0.25">
      <c r="Q1935" s="22"/>
      <c r="R1935" s="22"/>
      <c r="S1935" s="22"/>
      <c r="T1935" s="22"/>
      <c r="U1935" s="22"/>
      <c r="V1935" s="22"/>
      <c r="W1935" s="22"/>
      <c r="X1935" s="22"/>
    </row>
    <row r="1936" spans="17:24" x14ac:dyDescent="0.25">
      <c r="Q1936" s="22"/>
      <c r="R1936" s="22"/>
      <c r="S1936" s="22"/>
      <c r="T1936" s="22"/>
      <c r="U1936" s="22"/>
      <c r="V1936" s="22"/>
      <c r="W1936" s="22"/>
      <c r="X1936" s="22"/>
    </row>
    <row r="1937" spans="17:24" x14ac:dyDescent="0.25">
      <c r="Q1937" s="22"/>
      <c r="R1937" s="22"/>
      <c r="S1937" s="22"/>
      <c r="T1937" s="22"/>
      <c r="U1937" s="22"/>
      <c r="V1937" s="22"/>
      <c r="W1937" s="22"/>
      <c r="X1937" s="22"/>
    </row>
    <row r="1938" spans="17:24" x14ac:dyDescent="0.25">
      <c r="Q1938" s="22"/>
      <c r="R1938" s="22"/>
      <c r="S1938" s="22"/>
      <c r="T1938" s="22"/>
      <c r="U1938" s="22"/>
      <c r="V1938" s="22"/>
      <c r="W1938" s="22"/>
      <c r="X1938" s="22"/>
    </row>
    <row r="1939" spans="17:24" x14ac:dyDescent="0.25">
      <c r="Q1939" s="22"/>
      <c r="R1939" s="22"/>
      <c r="S1939" s="22"/>
      <c r="T1939" s="22"/>
      <c r="U1939" s="22"/>
      <c r="V1939" s="22"/>
      <c r="W1939" s="22"/>
      <c r="X1939" s="22"/>
    </row>
    <row r="1940" spans="17:24" x14ac:dyDescent="0.25">
      <c r="Q1940" s="22"/>
      <c r="R1940" s="22"/>
      <c r="S1940" s="22"/>
      <c r="T1940" s="22"/>
      <c r="U1940" s="22"/>
      <c r="V1940" s="22"/>
      <c r="W1940" s="22"/>
      <c r="X1940" s="22"/>
    </row>
    <row r="1941" spans="17:24" x14ac:dyDescent="0.25">
      <c r="Q1941" s="22"/>
      <c r="R1941" s="22"/>
      <c r="S1941" s="22"/>
      <c r="T1941" s="22"/>
      <c r="U1941" s="22"/>
      <c r="V1941" s="22"/>
      <c r="W1941" s="22"/>
      <c r="X1941" s="22"/>
    </row>
    <row r="1942" spans="17:24" x14ac:dyDescent="0.25">
      <c r="Q1942" s="22"/>
      <c r="R1942" s="22"/>
      <c r="S1942" s="22"/>
      <c r="T1942" s="22"/>
      <c r="U1942" s="22"/>
      <c r="V1942" s="22"/>
      <c r="W1942" s="22"/>
      <c r="X1942" s="22"/>
    </row>
    <row r="1943" spans="17:24" x14ac:dyDescent="0.25">
      <c r="Q1943" s="22"/>
      <c r="R1943" s="22"/>
      <c r="S1943" s="22"/>
      <c r="T1943" s="22"/>
      <c r="U1943" s="22"/>
      <c r="V1943" s="22"/>
      <c r="W1943" s="22"/>
      <c r="X1943" s="22"/>
    </row>
    <row r="1944" spans="17:24" x14ac:dyDescent="0.25">
      <c r="Q1944" s="22"/>
      <c r="R1944" s="22"/>
      <c r="S1944" s="22"/>
      <c r="T1944" s="22"/>
      <c r="U1944" s="22"/>
      <c r="V1944" s="22"/>
      <c r="W1944" s="22"/>
      <c r="X1944" s="22"/>
    </row>
    <row r="1945" spans="17:24" x14ac:dyDescent="0.25">
      <c r="Q1945" s="22"/>
      <c r="R1945" s="22"/>
      <c r="S1945" s="22"/>
      <c r="T1945" s="22"/>
      <c r="U1945" s="22"/>
      <c r="V1945" s="22"/>
      <c r="W1945" s="22"/>
      <c r="X1945" s="22"/>
    </row>
    <row r="1946" spans="17:24" x14ac:dyDescent="0.25">
      <c r="Q1946" s="22"/>
      <c r="R1946" s="22"/>
      <c r="S1946" s="22"/>
      <c r="T1946" s="22"/>
      <c r="U1946" s="22"/>
      <c r="V1946" s="22"/>
      <c r="W1946" s="22"/>
      <c r="X1946" s="22"/>
    </row>
    <row r="1947" spans="17:24" x14ac:dyDescent="0.25">
      <c r="Q1947" s="22"/>
      <c r="R1947" s="22"/>
      <c r="S1947" s="22"/>
      <c r="T1947" s="22"/>
      <c r="U1947" s="22"/>
      <c r="V1947" s="22"/>
      <c r="W1947" s="22"/>
      <c r="X1947" s="22"/>
    </row>
    <row r="1948" spans="17:24" x14ac:dyDescent="0.25">
      <c r="Q1948" s="22"/>
      <c r="R1948" s="22"/>
      <c r="S1948" s="22"/>
      <c r="T1948" s="22"/>
      <c r="U1948" s="22"/>
      <c r="V1948" s="22"/>
      <c r="W1948" s="22"/>
      <c r="X1948" s="22"/>
    </row>
    <row r="1949" spans="17:24" x14ac:dyDescent="0.25">
      <c r="Q1949" s="22"/>
      <c r="R1949" s="22"/>
      <c r="S1949" s="22"/>
      <c r="T1949" s="22"/>
      <c r="U1949" s="22"/>
      <c r="V1949" s="22"/>
      <c r="W1949" s="22"/>
      <c r="X1949" s="22"/>
    </row>
    <row r="1950" spans="17:24" x14ac:dyDescent="0.25">
      <c r="Q1950" s="22"/>
      <c r="R1950" s="22"/>
      <c r="S1950" s="22"/>
      <c r="T1950" s="22"/>
      <c r="U1950" s="22"/>
      <c r="V1950" s="22"/>
      <c r="W1950" s="22"/>
      <c r="X1950" s="22"/>
    </row>
    <row r="1951" spans="17:24" x14ac:dyDescent="0.25">
      <c r="Q1951" s="22"/>
      <c r="R1951" s="22"/>
      <c r="S1951" s="22"/>
      <c r="T1951" s="22"/>
      <c r="U1951" s="22"/>
      <c r="V1951" s="22"/>
      <c r="W1951" s="22"/>
      <c r="X1951" s="22"/>
    </row>
    <row r="1952" spans="17:24" x14ac:dyDescent="0.25">
      <c r="Q1952" s="22"/>
      <c r="R1952" s="22"/>
      <c r="S1952" s="22"/>
      <c r="T1952" s="22"/>
      <c r="U1952" s="22"/>
      <c r="V1952" s="22"/>
      <c r="W1952" s="22"/>
      <c r="X1952" s="22"/>
    </row>
    <row r="1953" spans="17:24" x14ac:dyDescent="0.25">
      <c r="Q1953" s="22"/>
      <c r="R1953" s="22"/>
      <c r="S1953" s="22"/>
      <c r="T1953" s="22"/>
      <c r="U1953" s="22"/>
      <c r="V1953" s="22"/>
      <c r="W1953" s="22"/>
      <c r="X1953" s="22"/>
    </row>
    <row r="1954" spans="17:24" x14ac:dyDescent="0.25">
      <c r="Q1954" s="22"/>
      <c r="R1954" s="22"/>
      <c r="S1954" s="22"/>
      <c r="T1954" s="22"/>
      <c r="U1954" s="22"/>
      <c r="V1954" s="22"/>
      <c r="W1954" s="22"/>
      <c r="X1954" s="22"/>
    </row>
    <row r="1955" spans="17:24" x14ac:dyDescent="0.25">
      <c r="Q1955" s="22"/>
      <c r="R1955" s="22"/>
      <c r="S1955" s="22"/>
      <c r="T1955" s="22"/>
      <c r="U1955" s="22"/>
      <c r="V1955" s="22"/>
      <c r="W1955" s="22"/>
      <c r="X1955" s="22"/>
    </row>
    <row r="1956" spans="17:24" x14ac:dyDescent="0.25">
      <c r="Q1956" s="22"/>
      <c r="R1956" s="22"/>
      <c r="S1956" s="22"/>
      <c r="T1956" s="22"/>
      <c r="U1956" s="22"/>
      <c r="V1956" s="22"/>
      <c r="W1956" s="22"/>
      <c r="X1956" s="22"/>
    </row>
    <row r="1957" spans="17:24" x14ac:dyDescent="0.25">
      <c r="Q1957" s="22"/>
      <c r="R1957" s="22"/>
      <c r="S1957" s="22"/>
      <c r="T1957" s="22"/>
      <c r="U1957" s="22"/>
      <c r="V1957" s="22"/>
      <c r="W1957" s="22"/>
      <c r="X1957" s="22"/>
    </row>
    <row r="1958" spans="17:24" x14ac:dyDescent="0.25">
      <c r="Q1958" s="22"/>
      <c r="R1958" s="22"/>
      <c r="S1958" s="22"/>
      <c r="T1958" s="22"/>
      <c r="U1958" s="22"/>
      <c r="V1958" s="22"/>
      <c r="W1958" s="22"/>
      <c r="X1958" s="22"/>
    </row>
    <row r="1959" spans="17:24" x14ac:dyDescent="0.25">
      <c r="Q1959" s="22"/>
      <c r="R1959" s="22"/>
      <c r="S1959" s="22"/>
      <c r="T1959" s="22"/>
      <c r="U1959" s="22"/>
      <c r="V1959" s="22"/>
      <c r="W1959" s="22"/>
      <c r="X1959" s="22"/>
    </row>
    <row r="1960" spans="17:24" x14ac:dyDescent="0.25">
      <c r="Q1960" s="22"/>
      <c r="R1960" s="22"/>
      <c r="S1960" s="22"/>
      <c r="T1960" s="22"/>
      <c r="U1960" s="22"/>
      <c r="V1960" s="22"/>
      <c r="W1960" s="22"/>
      <c r="X1960" s="22"/>
    </row>
    <row r="1961" spans="17:24" x14ac:dyDescent="0.25">
      <c r="Q1961" s="22"/>
      <c r="R1961" s="22"/>
      <c r="S1961" s="22"/>
      <c r="T1961" s="22"/>
      <c r="U1961" s="22"/>
      <c r="V1961" s="22"/>
      <c r="W1961" s="22"/>
      <c r="X1961" s="22"/>
    </row>
    <row r="1962" spans="17:24" x14ac:dyDescent="0.25">
      <c r="Q1962" s="22"/>
      <c r="R1962" s="22"/>
      <c r="S1962" s="22"/>
      <c r="T1962" s="22"/>
      <c r="U1962" s="22"/>
      <c r="V1962" s="22"/>
      <c r="W1962" s="22"/>
      <c r="X1962" s="22"/>
    </row>
    <row r="1963" spans="17:24" x14ac:dyDescent="0.25">
      <c r="Q1963" s="22"/>
      <c r="R1963" s="22"/>
      <c r="S1963" s="22"/>
      <c r="T1963" s="22"/>
      <c r="U1963" s="22"/>
      <c r="V1963" s="22"/>
      <c r="W1963" s="22"/>
      <c r="X1963" s="22"/>
    </row>
    <row r="1964" spans="17:24" x14ac:dyDescent="0.25">
      <c r="Q1964" s="22"/>
      <c r="R1964" s="22"/>
      <c r="S1964" s="22"/>
      <c r="T1964" s="22"/>
      <c r="U1964" s="22"/>
      <c r="V1964" s="22"/>
      <c r="W1964" s="22"/>
      <c r="X1964" s="22"/>
    </row>
    <row r="1965" spans="17:24" x14ac:dyDescent="0.25">
      <c r="Q1965" s="22"/>
      <c r="R1965" s="22"/>
      <c r="S1965" s="22"/>
      <c r="T1965" s="22"/>
      <c r="U1965" s="22"/>
      <c r="V1965" s="22"/>
      <c r="W1965" s="22"/>
      <c r="X1965" s="22"/>
    </row>
    <row r="1966" spans="17:24" x14ac:dyDescent="0.25">
      <c r="Q1966" s="22"/>
      <c r="R1966" s="22"/>
      <c r="S1966" s="22"/>
      <c r="T1966" s="22"/>
      <c r="U1966" s="22"/>
      <c r="V1966" s="22"/>
      <c r="W1966" s="22"/>
      <c r="X1966" s="22"/>
    </row>
    <row r="1967" spans="17:24" x14ac:dyDescent="0.25">
      <c r="Q1967" s="22"/>
      <c r="R1967" s="22"/>
      <c r="S1967" s="22"/>
      <c r="T1967" s="22"/>
      <c r="U1967" s="22"/>
      <c r="V1967" s="22"/>
      <c r="W1967" s="22"/>
      <c r="X1967" s="22"/>
    </row>
    <row r="1968" spans="17:24" x14ac:dyDescent="0.25">
      <c r="Q1968" s="22"/>
      <c r="R1968" s="22"/>
      <c r="S1968" s="22"/>
      <c r="T1968" s="22"/>
      <c r="U1968" s="22"/>
      <c r="V1968" s="22"/>
      <c r="W1968" s="22"/>
      <c r="X1968" s="22"/>
    </row>
    <row r="1969" spans="17:24" x14ac:dyDescent="0.25">
      <c r="Q1969" s="22"/>
      <c r="R1969" s="22"/>
      <c r="S1969" s="22"/>
      <c r="T1969" s="22"/>
      <c r="U1969" s="22"/>
      <c r="V1969" s="22"/>
      <c r="W1969" s="22"/>
      <c r="X1969" s="22"/>
    </row>
    <row r="1970" spans="17:24" x14ac:dyDescent="0.25">
      <c r="Q1970" s="22"/>
      <c r="R1970" s="22"/>
      <c r="S1970" s="22"/>
      <c r="T1970" s="22"/>
      <c r="U1970" s="22"/>
      <c r="V1970" s="22"/>
      <c r="W1970" s="22"/>
      <c r="X1970" s="22"/>
    </row>
    <row r="1971" spans="17:24" x14ac:dyDescent="0.25">
      <c r="Q1971" s="22"/>
      <c r="R1971" s="22"/>
      <c r="S1971" s="22"/>
      <c r="T1971" s="22"/>
      <c r="U1971" s="22"/>
      <c r="V1971" s="22"/>
      <c r="W1971" s="22"/>
      <c r="X1971" s="22"/>
    </row>
    <row r="1972" spans="17:24" x14ac:dyDescent="0.25">
      <c r="Q1972" s="22"/>
      <c r="R1972" s="22"/>
      <c r="S1972" s="22"/>
      <c r="T1972" s="22"/>
      <c r="U1972" s="22"/>
      <c r="V1972" s="22"/>
      <c r="W1972" s="22"/>
      <c r="X1972" s="22"/>
    </row>
    <row r="1973" spans="17:24" x14ac:dyDescent="0.25">
      <c r="Q1973" s="22"/>
      <c r="R1973" s="22"/>
      <c r="S1973" s="22"/>
      <c r="T1973" s="22"/>
      <c r="U1973" s="22"/>
      <c r="V1973" s="22"/>
      <c r="W1973" s="22"/>
      <c r="X1973" s="22"/>
    </row>
    <row r="1974" spans="17:24" x14ac:dyDescent="0.25">
      <c r="Q1974" s="22"/>
      <c r="R1974" s="22"/>
      <c r="S1974" s="22"/>
      <c r="T1974" s="22"/>
      <c r="U1974" s="22"/>
      <c r="V1974" s="22"/>
      <c r="W1974" s="22"/>
      <c r="X1974" s="22"/>
    </row>
    <row r="1975" spans="17:24" x14ac:dyDescent="0.25">
      <c r="Q1975" s="22"/>
      <c r="R1975" s="22"/>
      <c r="S1975" s="22"/>
      <c r="T1975" s="22"/>
      <c r="U1975" s="22"/>
      <c r="V1975" s="22"/>
      <c r="W1975" s="22"/>
      <c r="X1975" s="22"/>
    </row>
    <row r="1976" spans="17:24" x14ac:dyDescent="0.25">
      <c r="Q1976" s="22"/>
      <c r="R1976" s="22"/>
      <c r="S1976" s="22"/>
      <c r="T1976" s="22"/>
      <c r="U1976" s="22"/>
      <c r="V1976" s="22"/>
      <c r="W1976" s="22"/>
      <c r="X1976" s="22"/>
    </row>
    <row r="1977" spans="17:24" x14ac:dyDescent="0.25">
      <c r="Q1977" s="22"/>
      <c r="R1977" s="22"/>
      <c r="S1977" s="22"/>
      <c r="T1977" s="22"/>
      <c r="U1977" s="22"/>
      <c r="V1977" s="22"/>
      <c r="W1977" s="22"/>
      <c r="X1977" s="22"/>
    </row>
    <row r="1978" spans="17:24" x14ac:dyDescent="0.25">
      <c r="Q1978" s="22"/>
      <c r="R1978" s="22"/>
      <c r="S1978" s="22"/>
      <c r="T1978" s="22"/>
      <c r="U1978" s="22"/>
      <c r="V1978" s="22"/>
      <c r="W1978" s="22"/>
      <c r="X1978" s="22"/>
    </row>
    <row r="1979" spans="17:24" x14ac:dyDescent="0.25">
      <c r="Q1979" s="22"/>
      <c r="R1979" s="22"/>
      <c r="S1979" s="22"/>
      <c r="T1979" s="22"/>
      <c r="U1979" s="22"/>
      <c r="V1979" s="22"/>
      <c r="W1979" s="22"/>
      <c r="X1979" s="22"/>
    </row>
    <row r="1980" spans="17:24" x14ac:dyDescent="0.25">
      <c r="Q1980" s="22"/>
      <c r="R1980" s="22"/>
      <c r="S1980" s="22"/>
      <c r="T1980" s="22"/>
      <c r="U1980" s="22"/>
      <c r="V1980" s="22"/>
      <c r="W1980" s="22"/>
      <c r="X1980" s="22"/>
    </row>
    <row r="1981" spans="17:24" x14ac:dyDescent="0.25">
      <c r="Q1981" s="22"/>
      <c r="R1981" s="22"/>
      <c r="S1981" s="22"/>
      <c r="T1981" s="22"/>
      <c r="U1981" s="22"/>
      <c r="V1981" s="22"/>
      <c r="W1981" s="22"/>
      <c r="X1981" s="22"/>
    </row>
    <row r="1982" spans="17:24" x14ac:dyDescent="0.25">
      <c r="Q1982" s="22"/>
      <c r="R1982" s="22"/>
      <c r="S1982" s="22"/>
      <c r="T1982" s="22"/>
      <c r="U1982" s="22"/>
      <c r="V1982" s="22"/>
      <c r="W1982" s="22"/>
      <c r="X1982" s="22"/>
    </row>
    <row r="1983" spans="17:24" x14ac:dyDescent="0.25">
      <c r="Q1983" s="22"/>
      <c r="R1983" s="22"/>
      <c r="S1983" s="22"/>
      <c r="T1983" s="22"/>
      <c r="U1983" s="22"/>
      <c r="V1983" s="22"/>
      <c r="W1983" s="22"/>
      <c r="X1983" s="22"/>
    </row>
    <row r="1984" spans="17:24" x14ac:dyDescent="0.25">
      <c r="Q1984" s="22"/>
      <c r="R1984" s="22"/>
      <c r="S1984" s="22"/>
      <c r="T1984" s="22"/>
      <c r="U1984" s="22"/>
      <c r="V1984" s="22"/>
      <c r="W1984" s="22"/>
      <c r="X1984" s="22"/>
    </row>
    <row r="1985" spans="17:24" x14ac:dyDescent="0.25">
      <c r="Q1985" s="22"/>
      <c r="R1985" s="22"/>
      <c r="S1985" s="22"/>
      <c r="T1985" s="22"/>
      <c r="U1985" s="22"/>
      <c r="V1985" s="22"/>
      <c r="W1985" s="22"/>
      <c r="X1985" s="22"/>
    </row>
    <row r="1986" spans="17:24" x14ac:dyDescent="0.25">
      <c r="Q1986" s="22"/>
      <c r="R1986" s="22"/>
      <c r="S1986" s="22"/>
      <c r="T1986" s="22"/>
      <c r="U1986" s="22"/>
      <c r="V1986" s="22"/>
      <c r="W1986" s="22"/>
      <c r="X1986" s="22"/>
    </row>
    <row r="1987" spans="17:24" x14ac:dyDescent="0.25">
      <c r="Q1987" s="22"/>
      <c r="R1987" s="22"/>
      <c r="S1987" s="22"/>
      <c r="T1987" s="22"/>
      <c r="U1987" s="22"/>
      <c r="V1987" s="22"/>
      <c r="W1987" s="22"/>
      <c r="X1987" s="22"/>
    </row>
    <row r="1988" spans="17:24" x14ac:dyDescent="0.25">
      <c r="Q1988" s="22"/>
      <c r="R1988" s="22"/>
      <c r="S1988" s="22"/>
      <c r="T1988" s="22"/>
      <c r="U1988" s="22"/>
      <c r="V1988" s="22"/>
      <c r="W1988" s="22"/>
      <c r="X1988" s="22"/>
    </row>
    <row r="1989" spans="17:24" x14ac:dyDescent="0.25">
      <c r="Q1989" s="22"/>
      <c r="R1989" s="22"/>
      <c r="S1989" s="22"/>
      <c r="T1989" s="22"/>
      <c r="U1989" s="22"/>
      <c r="V1989" s="22"/>
      <c r="W1989" s="22"/>
      <c r="X1989" s="22"/>
    </row>
    <row r="1990" spans="17:24" x14ac:dyDescent="0.25">
      <c r="Q1990" s="22"/>
      <c r="R1990" s="22"/>
      <c r="S1990" s="22"/>
      <c r="T1990" s="22"/>
      <c r="U1990" s="22"/>
      <c r="V1990" s="22"/>
      <c r="W1990" s="22"/>
      <c r="X1990" s="22"/>
    </row>
    <row r="1991" spans="17:24" x14ac:dyDescent="0.25">
      <c r="Q1991" s="22"/>
      <c r="R1991" s="22"/>
      <c r="S1991" s="22"/>
      <c r="T1991" s="22"/>
      <c r="U1991" s="22"/>
      <c r="V1991" s="22"/>
      <c r="W1991" s="22"/>
      <c r="X1991" s="22"/>
    </row>
    <row r="1992" spans="17:24" x14ac:dyDescent="0.25">
      <c r="Q1992" s="22"/>
      <c r="R1992" s="22"/>
      <c r="S1992" s="22"/>
      <c r="T1992" s="22"/>
      <c r="U1992" s="22"/>
      <c r="V1992" s="22"/>
      <c r="W1992" s="22"/>
      <c r="X1992" s="22"/>
    </row>
    <row r="1993" spans="17:24" x14ac:dyDescent="0.25">
      <c r="Q1993" s="22"/>
      <c r="R1993" s="22"/>
      <c r="S1993" s="22"/>
      <c r="T1993" s="22"/>
      <c r="U1993" s="22"/>
      <c r="V1993" s="22"/>
      <c r="W1993" s="22"/>
      <c r="X1993" s="22"/>
    </row>
    <row r="1994" spans="17:24" x14ac:dyDescent="0.25">
      <c r="Q1994" s="22"/>
      <c r="R1994" s="22"/>
      <c r="S1994" s="22"/>
      <c r="T1994" s="22"/>
      <c r="U1994" s="22"/>
      <c r="V1994" s="22"/>
      <c r="W1994" s="22"/>
      <c r="X1994" s="22"/>
    </row>
    <row r="1995" spans="17:24" x14ac:dyDescent="0.25">
      <c r="Q1995" s="22"/>
      <c r="R1995" s="22"/>
      <c r="S1995" s="22"/>
      <c r="T1995" s="22"/>
      <c r="U1995" s="22"/>
      <c r="V1995" s="22"/>
      <c r="W1995" s="22"/>
      <c r="X1995" s="22"/>
    </row>
    <row r="1996" spans="17:24" x14ac:dyDescent="0.25">
      <c r="Q1996" s="22"/>
      <c r="R1996" s="22"/>
      <c r="S1996" s="22"/>
      <c r="T1996" s="22"/>
      <c r="U1996" s="22"/>
      <c r="V1996" s="22"/>
      <c r="W1996" s="22"/>
      <c r="X1996" s="22"/>
    </row>
    <row r="1997" spans="17:24" x14ac:dyDescent="0.25">
      <c r="Q1997" s="22"/>
      <c r="R1997" s="22"/>
      <c r="S1997" s="22"/>
      <c r="T1997" s="22"/>
      <c r="U1997" s="22"/>
      <c r="V1997" s="22"/>
      <c r="W1997" s="22"/>
      <c r="X1997" s="22"/>
    </row>
    <row r="1998" spans="17:24" x14ac:dyDescent="0.25">
      <c r="Q1998" s="22"/>
      <c r="R1998" s="22"/>
      <c r="S1998" s="22"/>
      <c r="T1998" s="22"/>
      <c r="U1998" s="22"/>
      <c r="V1998" s="22"/>
      <c r="W1998" s="22"/>
      <c r="X1998" s="22"/>
    </row>
    <row r="1999" spans="17:24" x14ac:dyDescent="0.25">
      <c r="Q1999" s="22"/>
      <c r="R1999" s="22"/>
      <c r="S1999" s="22"/>
      <c r="T1999" s="22"/>
      <c r="U1999" s="22"/>
      <c r="V1999" s="22"/>
      <c r="W1999" s="22"/>
      <c r="X1999" s="22"/>
    </row>
    <row r="2000" spans="17:24" x14ac:dyDescent="0.25">
      <c r="Q2000" s="22"/>
      <c r="R2000" s="22"/>
      <c r="S2000" s="22"/>
      <c r="T2000" s="22"/>
      <c r="U2000" s="22"/>
      <c r="V2000" s="22"/>
      <c r="W2000" s="22"/>
      <c r="X2000" s="22"/>
    </row>
    <row r="2001" spans="17:24" x14ac:dyDescent="0.25">
      <c r="Q2001" s="22"/>
      <c r="R2001" s="22"/>
      <c r="S2001" s="22"/>
      <c r="T2001" s="22"/>
      <c r="U2001" s="22"/>
      <c r="V2001" s="22"/>
      <c r="W2001" s="22"/>
      <c r="X2001" s="22"/>
    </row>
    <row r="2002" spans="17:24" x14ac:dyDescent="0.25">
      <c r="Q2002" s="22"/>
      <c r="R2002" s="22"/>
      <c r="S2002" s="22"/>
      <c r="T2002" s="22"/>
      <c r="U2002" s="22"/>
      <c r="V2002" s="22"/>
      <c r="W2002" s="22"/>
      <c r="X2002" s="22"/>
    </row>
    <row r="2003" spans="17:24" x14ac:dyDescent="0.25">
      <c r="Q2003" s="22"/>
      <c r="R2003" s="22"/>
      <c r="S2003" s="22"/>
      <c r="T2003" s="22"/>
      <c r="U2003" s="22"/>
      <c r="V2003" s="22"/>
      <c r="W2003" s="22"/>
      <c r="X2003" s="22"/>
    </row>
    <row r="2004" spans="17:24" x14ac:dyDescent="0.25">
      <c r="Q2004" s="22"/>
      <c r="R2004" s="22"/>
      <c r="S2004" s="22"/>
      <c r="T2004" s="22"/>
      <c r="U2004" s="22"/>
      <c r="V2004" s="22"/>
      <c r="W2004" s="22"/>
      <c r="X2004" s="22"/>
    </row>
    <row r="2005" spans="17:24" x14ac:dyDescent="0.25">
      <c r="Q2005" s="22"/>
      <c r="R2005" s="22"/>
      <c r="S2005" s="22"/>
      <c r="T2005" s="22"/>
      <c r="U2005" s="22"/>
      <c r="V2005" s="22"/>
      <c r="W2005" s="22"/>
      <c r="X2005" s="22"/>
    </row>
    <row r="2006" spans="17:24" x14ac:dyDescent="0.25">
      <c r="Q2006" s="22"/>
      <c r="R2006" s="22"/>
      <c r="S2006" s="22"/>
      <c r="T2006" s="22"/>
      <c r="U2006" s="22"/>
      <c r="V2006" s="22"/>
      <c r="W2006" s="22"/>
      <c r="X2006" s="22"/>
    </row>
    <row r="2007" spans="17:24" x14ac:dyDescent="0.25">
      <c r="Q2007" s="22"/>
      <c r="R2007" s="22"/>
      <c r="S2007" s="22"/>
      <c r="T2007" s="22"/>
      <c r="U2007" s="22"/>
      <c r="V2007" s="22"/>
      <c r="W2007" s="22"/>
      <c r="X2007" s="22"/>
    </row>
    <row r="2008" spans="17:24" x14ac:dyDescent="0.25">
      <c r="Q2008" s="22"/>
      <c r="R2008" s="22"/>
      <c r="S2008" s="22"/>
      <c r="T2008" s="22"/>
      <c r="U2008" s="22"/>
      <c r="V2008" s="22"/>
      <c r="W2008" s="22"/>
      <c r="X2008" s="22"/>
    </row>
    <row r="2009" spans="17:24" x14ac:dyDescent="0.25">
      <c r="Q2009" s="22"/>
      <c r="R2009" s="22"/>
      <c r="S2009" s="22"/>
      <c r="T2009" s="22"/>
      <c r="U2009" s="22"/>
      <c r="V2009" s="22"/>
      <c r="W2009" s="22"/>
      <c r="X2009" s="22"/>
    </row>
    <row r="2010" spans="17:24" x14ac:dyDescent="0.25">
      <c r="Q2010" s="22"/>
      <c r="R2010" s="22"/>
      <c r="S2010" s="22"/>
      <c r="T2010" s="22"/>
      <c r="U2010" s="22"/>
      <c r="V2010" s="22"/>
      <c r="W2010" s="22"/>
      <c r="X2010" s="22"/>
    </row>
    <row r="2011" spans="17:24" x14ac:dyDescent="0.25">
      <c r="Q2011" s="22"/>
      <c r="R2011" s="22"/>
      <c r="S2011" s="22"/>
      <c r="T2011" s="22"/>
      <c r="U2011" s="22"/>
      <c r="V2011" s="22"/>
      <c r="W2011" s="22"/>
      <c r="X2011" s="22"/>
    </row>
    <row r="2012" spans="17:24" x14ac:dyDescent="0.25">
      <c r="Q2012" s="22"/>
      <c r="R2012" s="22"/>
      <c r="S2012" s="22"/>
      <c r="T2012" s="22"/>
      <c r="U2012" s="22"/>
      <c r="V2012" s="22"/>
      <c r="W2012" s="22"/>
      <c r="X2012" s="22"/>
    </row>
    <row r="2013" spans="17:24" x14ac:dyDescent="0.25">
      <c r="Q2013" s="22"/>
      <c r="R2013" s="22"/>
      <c r="S2013" s="22"/>
      <c r="T2013" s="22"/>
      <c r="U2013" s="22"/>
      <c r="V2013" s="22"/>
      <c r="W2013" s="22"/>
      <c r="X2013" s="22"/>
    </row>
    <row r="2014" spans="17:24" x14ac:dyDescent="0.25">
      <c r="Q2014" s="22"/>
      <c r="R2014" s="22"/>
      <c r="S2014" s="22"/>
      <c r="T2014" s="22"/>
      <c r="U2014" s="22"/>
      <c r="V2014" s="22"/>
      <c r="W2014" s="22"/>
      <c r="X2014" s="22"/>
    </row>
    <row r="2015" spans="17:24" x14ac:dyDescent="0.25">
      <c r="Q2015" s="22"/>
      <c r="R2015" s="22"/>
      <c r="S2015" s="22"/>
      <c r="T2015" s="22"/>
      <c r="U2015" s="22"/>
      <c r="V2015" s="22"/>
      <c r="W2015" s="22"/>
      <c r="X2015" s="22"/>
    </row>
    <row r="2016" spans="17:24" x14ac:dyDescent="0.25">
      <c r="Q2016" s="22"/>
      <c r="R2016" s="22"/>
      <c r="S2016" s="22"/>
      <c r="T2016" s="22"/>
      <c r="U2016" s="22"/>
      <c r="V2016" s="22"/>
      <c r="W2016" s="22"/>
      <c r="X2016" s="22"/>
    </row>
    <row r="2017" spans="17:24" x14ac:dyDescent="0.25">
      <c r="Q2017" s="22"/>
      <c r="R2017" s="22"/>
      <c r="S2017" s="22"/>
      <c r="T2017" s="22"/>
      <c r="U2017" s="22"/>
      <c r="V2017" s="22"/>
      <c r="W2017" s="22"/>
      <c r="X2017" s="22"/>
    </row>
    <row r="2018" spans="17:24" x14ac:dyDescent="0.25">
      <c r="Q2018" s="22"/>
      <c r="R2018" s="22"/>
      <c r="S2018" s="22"/>
      <c r="T2018" s="22"/>
      <c r="U2018" s="22"/>
      <c r="V2018" s="22"/>
      <c r="W2018" s="22"/>
      <c r="X2018" s="22"/>
    </row>
    <row r="2019" spans="17:24" x14ac:dyDescent="0.25">
      <c r="Q2019" s="22"/>
      <c r="R2019" s="22"/>
      <c r="S2019" s="22"/>
      <c r="T2019" s="22"/>
      <c r="U2019" s="22"/>
      <c r="V2019" s="22"/>
      <c r="W2019" s="22"/>
      <c r="X2019" s="22"/>
    </row>
    <row r="2020" spans="17:24" x14ac:dyDescent="0.25">
      <c r="Q2020" s="22"/>
      <c r="R2020" s="22"/>
      <c r="S2020" s="22"/>
      <c r="T2020" s="22"/>
      <c r="U2020" s="22"/>
      <c r="V2020" s="22"/>
      <c r="W2020" s="22"/>
      <c r="X2020" s="22"/>
    </row>
    <row r="2021" spans="17:24" x14ac:dyDescent="0.25">
      <c r="Q2021" s="22"/>
      <c r="R2021" s="22"/>
      <c r="S2021" s="22"/>
      <c r="T2021" s="22"/>
      <c r="U2021" s="22"/>
      <c r="V2021" s="22"/>
      <c r="W2021" s="22"/>
      <c r="X2021" s="22"/>
    </row>
    <row r="2022" spans="17:24" x14ac:dyDescent="0.25">
      <c r="Q2022" s="22"/>
      <c r="R2022" s="22"/>
      <c r="S2022" s="22"/>
      <c r="T2022" s="22"/>
      <c r="U2022" s="22"/>
      <c r="V2022" s="22"/>
      <c r="W2022" s="22"/>
      <c r="X2022" s="22"/>
    </row>
    <row r="2023" spans="17:24" x14ac:dyDescent="0.25">
      <c r="Q2023" s="22"/>
      <c r="R2023" s="22"/>
      <c r="S2023" s="22"/>
      <c r="T2023" s="22"/>
      <c r="U2023" s="22"/>
      <c r="V2023" s="22"/>
      <c r="W2023" s="22"/>
      <c r="X2023" s="22"/>
    </row>
    <row r="2024" spans="17:24" x14ac:dyDescent="0.25">
      <c r="Q2024" s="22"/>
      <c r="R2024" s="22"/>
      <c r="S2024" s="22"/>
      <c r="T2024" s="22"/>
      <c r="U2024" s="22"/>
      <c r="V2024" s="22"/>
      <c r="W2024" s="22"/>
      <c r="X2024" s="22"/>
    </row>
    <row r="2025" spans="17:24" x14ac:dyDescent="0.25">
      <c r="Q2025" s="22"/>
      <c r="R2025" s="22"/>
      <c r="S2025" s="22"/>
      <c r="T2025" s="22"/>
      <c r="U2025" s="22"/>
      <c r="V2025" s="22"/>
      <c r="W2025" s="22"/>
      <c r="X2025" s="22"/>
    </row>
    <row r="2026" spans="17:24" x14ac:dyDescent="0.25">
      <c r="Q2026" s="22"/>
      <c r="R2026" s="22"/>
      <c r="S2026" s="22"/>
      <c r="T2026" s="22"/>
      <c r="U2026" s="22"/>
      <c r="V2026" s="22"/>
      <c r="W2026" s="22"/>
      <c r="X2026" s="22"/>
    </row>
    <row r="2027" spans="17:24" x14ac:dyDescent="0.25">
      <c r="Q2027" s="22"/>
      <c r="R2027" s="22"/>
      <c r="S2027" s="22"/>
      <c r="T2027" s="22"/>
      <c r="U2027" s="22"/>
      <c r="V2027" s="22"/>
      <c r="W2027" s="22"/>
      <c r="X2027" s="22"/>
    </row>
    <row r="2028" spans="17:24" x14ac:dyDescent="0.25">
      <c r="Q2028" s="22"/>
      <c r="R2028" s="22"/>
      <c r="S2028" s="22"/>
      <c r="T2028" s="22"/>
      <c r="U2028" s="22"/>
      <c r="V2028" s="22"/>
      <c r="W2028" s="22"/>
      <c r="X2028" s="22"/>
    </row>
    <row r="2029" spans="17:24" x14ac:dyDescent="0.25">
      <c r="Q2029" s="22"/>
      <c r="R2029" s="22"/>
      <c r="S2029" s="22"/>
      <c r="T2029" s="22"/>
      <c r="U2029" s="22"/>
      <c r="V2029" s="22"/>
      <c r="W2029" s="22"/>
      <c r="X2029" s="22"/>
    </row>
    <row r="2030" spans="17:24" x14ac:dyDescent="0.25">
      <c r="Q2030" s="22"/>
      <c r="R2030" s="22"/>
      <c r="S2030" s="22"/>
      <c r="T2030" s="22"/>
      <c r="U2030" s="22"/>
      <c r="V2030" s="22"/>
      <c r="W2030" s="22"/>
      <c r="X2030" s="22"/>
    </row>
    <row r="2031" spans="17:24" x14ac:dyDescent="0.25">
      <c r="Q2031" s="22"/>
      <c r="R2031" s="22"/>
      <c r="S2031" s="22"/>
      <c r="T2031" s="22"/>
      <c r="U2031" s="22"/>
      <c r="V2031" s="22"/>
      <c r="W2031" s="22"/>
      <c r="X2031" s="22"/>
    </row>
    <row r="2032" spans="17:24" x14ac:dyDescent="0.25">
      <c r="Q2032" s="22"/>
      <c r="R2032" s="22"/>
      <c r="S2032" s="22"/>
      <c r="T2032" s="22"/>
      <c r="U2032" s="22"/>
      <c r="V2032" s="22"/>
      <c r="W2032" s="22"/>
      <c r="X2032" s="22"/>
    </row>
    <row r="2033" spans="17:24" x14ac:dyDescent="0.25">
      <c r="Q2033" s="22"/>
      <c r="R2033" s="22"/>
      <c r="S2033" s="22"/>
      <c r="T2033" s="22"/>
      <c r="U2033" s="22"/>
      <c r="V2033" s="22"/>
      <c r="W2033" s="22"/>
      <c r="X2033" s="22"/>
    </row>
    <row r="2034" spans="17:24" x14ac:dyDescent="0.25">
      <c r="Q2034" s="22"/>
      <c r="R2034" s="22"/>
      <c r="S2034" s="22"/>
      <c r="T2034" s="22"/>
      <c r="U2034" s="22"/>
      <c r="V2034" s="22"/>
      <c r="W2034" s="22"/>
      <c r="X2034" s="22"/>
    </row>
    <row r="2035" spans="17:24" x14ac:dyDescent="0.25">
      <c r="Q2035" s="22"/>
      <c r="R2035" s="22"/>
      <c r="S2035" s="22"/>
      <c r="T2035" s="22"/>
      <c r="U2035" s="22"/>
      <c r="V2035" s="22"/>
      <c r="W2035" s="22"/>
      <c r="X2035" s="22"/>
    </row>
    <row r="2036" spans="17:24" x14ac:dyDescent="0.25">
      <c r="Q2036" s="22"/>
      <c r="R2036" s="22"/>
      <c r="S2036" s="22"/>
      <c r="T2036" s="22"/>
      <c r="U2036" s="22"/>
      <c r="V2036" s="22"/>
      <c r="W2036" s="22"/>
      <c r="X2036" s="22"/>
    </row>
    <row r="2037" spans="17:24" x14ac:dyDescent="0.25">
      <c r="Q2037" s="22"/>
      <c r="R2037" s="22"/>
      <c r="S2037" s="22"/>
      <c r="T2037" s="22"/>
      <c r="U2037" s="22"/>
      <c r="V2037" s="22"/>
      <c r="W2037" s="22"/>
      <c r="X2037" s="22"/>
    </row>
    <row r="2038" spans="17:24" x14ac:dyDescent="0.25">
      <c r="Q2038" s="22"/>
      <c r="R2038" s="22"/>
      <c r="S2038" s="22"/>
      <c r="T2038" s="22"/>
      <c r="U2038" s="22"/>
      <c r="V2038" s="22"/>
      <c r="W2038" s="22"/>
      <c r="X2038" s="22"/>
    </row>
    <row r="2039" spans="17:24" x14ac:dyDescent="0.25">
      <c r="Q2039" s="22"/>
      <c r="R2039" s="22"/>
      <c r="S2039" s="22"/>
      <c r="T2039" s="22"/>
      <c r="U2039" s="22"/>
      <c r="V2039" s="22"/>
      <c r="W2039" s="22"/>
      <c r="X2039" s="22"/>
    </row>
    <row r="2040" spans="17:24" x14ac:dyDescent="0.25">
      <c r="Q2040" s="22"/>
      <c r="R2040" s="22"/>
      <c r="S2040" s="22"/>
      <c r="T2040" s="22"/>
      <c r="U2040" s="22"/>
      <c r="V2040" s="22"/>
      <c r="W2040" s="22"/>
      <c r="X2040" s="22"/>
    </row>
    <row r="2041" spans="17:24" x14ac:dyDescent="0.25">
      <c r="Q2041" s="22"/>
      <c r="R2041" s="22"/>
      <c r="S2041" s="22"/>
      <c r="T2041" s="22"/>
      <c r="U2041" s="22"/>
      <c r="V2041" s="22"/>
      <c r="W2041" s="22"/>
      <c r="X2041" s="22"/>
    </row>
    <row r="2042" spans="17:24" x14ac:dyDescent="0.25">
      <c r="Q2042" s="22"/>
      <c r="R2042" s="22"/>
      <c r="S2042" s="22"/>
      <c r="T2042" s="22"/>
      <c r="U2042" s="22"/>
      <c r="V2042" s="22"/>
      <c r="W2042" s="22"/>
      <c r="X2042" s="22"/>
    </row>
    <row r="2043" spans="17:24" x14ac:dyDescent="0.25">
      <c r="Q2043" s="22"/>
      <c r="R2043" s="22"/>
      <c r="S2043" s="22"/>
      <c r="T2043" s="22"/>
      <c r="U2043" s="22"/>
      <c r="V2043" s="22"/>
      <c r="W2043" s="22"/>
      <c r="X2043" s="22"/>
    </row>
    <row r="2044" spans="17:24" x14ac:dyDescent="0.25">
      <c r="Q2044" s="22"/>
      <c r="R2044" s="22"/>
      <c r="S2044" s="22"/>
      <c r="T2044" s="22"/>
      <c r="U2044" s="22"/>
      <c r="V2044" s="22"/>
      <c r="W2044" s="22"/>
      <c r="X2044" s="22"/>
    </row>
    <row r="2045" spans="17:24" x14ac:dyDescent="0.25">
      <c r="Q2045" s="22"/>
      <c r="R2045" s="22"/>
      <c r="S2045" s="22"/>
      <c r="T2045" s="22"/>
      <c r="U2045" s="22"/>
      <c r="V2045" s="22"/>
      <c r="W2045" s="22"/>
      <c r="X2045" s="22"/>
    </row>
    <row r="2046" spans="17:24" x14ac:dyDescent="0.25">
      <c r="Q2046" s="22"/>
      <c r="R2046" s="22"/>
      <c r="S2046" s="22"/>
      <c r="T2046" s="22"/>
      <c r="U2046" s="22"/>
      <c r="V2046" s="22"/>
      <c r="W2046" s="22"/>
      <c r="X2046" s="22"/>
    </row>
    <row r="2047" spans="17:24" x14ac:dyDescent="0.25">
      <c r="Q2047" s="22"/>
      <c r="R2047" s="22"/>
      <c r="S2047" s="22"/>
      <c r="T2047" s="22"/>
      <c r="U2047" s="22"/>
      <c r="V2047" s="22"/>
      <c r="W2047" s="22"/>
      <c r="X2047" s="22"/>
    </row>
    <row r="2048" spans="17:24" x14ac:dyDescent="0.25">
      <c r="Q2048" s="22"/>
      <c r="R2048" s="22"/>
      <c r="S2048" s="22"/>
      <c r="T2048" s="22"/>
      <c r="U2048" s="22"/>
      <c r="V2048" s="22"/>
      <c r="W2048" s="22"/>
      <c r="X2048" s="22"/>
    </row>
    <row r="2049" spans="17:24" x14ac:dyDescent="0.25">
      <c r="Q2049" s="22"/>
      <c r="R2049" s="22"/>
      <c r="S2049" s="22"/>
      <c r="T2049" s="22"/>
      <c r="U2049" s="22"/>
      <c r="V2049" s="22"/>
      <c r="W2049" s="22"/>
      <c r="X2049" s="22"/>
    </row>
    <row r="2050" spans="17:24" x14ac:dyDescent="0.25">
      <c r="Q2050" s="22"/>
      <c r="R2050" s="22"/>
      <c r="S2050" s="22"/>
      <c r="T2050" s="22"/>
      <c r="U2050" s="22"/>
      <c r="V2050" s="22"/>
      <c r="W2050" s="22"/>
      <c r="X2050" s="22"/>
    </row>
    <row r="2051" spans="17:24" x14ac:dyDescent="0.25">
      <c r="Q2051" s="22"/>
      <c r="R2051" s="22"/>
      <c r="S2051" s="22"/>
      <c r="T2051" s="22"/>
      <c r="U2051" s="22"/>
      <c r="V2051" s="22"/>
      <c r="W2051" s="22"/>
      <c r="X2051" s="22"/>
    </row>
    <row r="2052" spans="17:24" x14ac:dyDescent="0.25">
      <c r="Q2052" s="22"/>
      <c r="R2052" s="22"/>
      <c r="S2052" s="22"/>
      <c r="T2052" s="22"/>
      <c r="U2052" s="22"/>
      <c r="V2052" s="22"/>
      <c r="W2052" s="22"/>
      <c r="X2052" s="22"/>
    </row>
    <row r="2053" spans="17:24" x14ac:dyDescent="0.25">
      <c r="Q2053" s="22"/>
      <c r="R2053" s="22"/>
      <c r="S2053" s="22"/>
      <c r="T2053" s="22"/>
      <c r="U2053" s="22"/>
      <c r="V2053" s="22"/>
      <c r="W2053" s="22"/>
      <c r="X2053" s="22"/>
    </row>
    <row r="2054" spans="17:24" x14ac:dyDescent="0.25">
      <c r="Q2054" s="22"/>
      <c r="R2054" s="22"/>
      <c r="S2054" s="22"/>
      <c r="T2054" s="22"/>
      <c r="U2054" s="22"/>
      <c r="V2054" s="22"/>
      <c r="W2054" s="22"/>
      <c r="X2054" s="22"/>
    </row>
    <row r="2055" spans="17:24" x14ac:dyDescent="0.25">
      <c r="Q2055" s="22"/>
      <c r="R2055" s="22"/>
      <c r="S2055" s="22"/>
      <c r="T2055" s="22"/>
      <c r="U2055" s="22"/>
      <c r="V2055" s="22"/>
      <c r="W2055" s="22"/>
      <c r="X2055" s="22"/>
    </row>
    <row r="2056" spans="17:24" x14ac:dyDescent="0.25">
      <c r="Q2056" s="22"/>
      <c r="R2056" s="22"/>
      <c r="S2056" s="22"/>
      <c r="T2056" s="22"/>
      <c r="U2056" s="22"/>
      <c r="V2056" s="22"/>
      <c r="W2056" s="22"/>
      <c r="X2056" s="22"/>
    </row>
    <row r="2057" spans="17:24" x14ac:dyDescent="0.25">
      <c r="Q2057" s="22"/>
      <c r="R2057" s="22"/>
      <c r="S2057" s="22"/>
      <c r="T2057" s="22"/>
      <c r="U2057" s="22"/>
      <c r="V2057" s="22"/>
      <c r="W2057" s="22"/>
      <c r="X2057" s="22"/>
    </row>
    <row r="2058" spans="17:24" x14ac:dyDescent="0.25">
      <c r="Q2058" s="22"/>
      <c r="R2058" s="22"/>
      <c r="S2058" s="22"/>
      <c r="T2058" s="22"/>
      <c r="U2058" s="22"/>
      <c r="V2058" s="22"/>
      <c r="W2058" s="22"/>
      <c r="X2058" s="22"/>
    </row>
    <row r="2059" spans="17:24" x14ac:dyDescent="0.25">
      <c r="Q2059" s="22"/>
      <c r="R2059" s="22"/>
      <c r="S2059" s="22"/>
      <c r="T2059" s="22"/>
      <c r="U2059" s="22"/>
      <c r="V2059" s="22"/>
      <c r="W2059" s="22"/>
      <c r="X2059" s="22"/>
    </row>
    <row r="2060" spans="17:24" x14ac:dyDescent="0.25">
      <c r="Q2060" s="22"/>
      <c r="R2060" s="22"/>
      <c r="S2060" s="22"/>
      <c r="T2060" s="22"/>
      <c r="U2060" s="22"/>
      <c r="V2060" s="22"/>
      <c r="W2060" s="22"/>
      <c r="X2060" s="22"/>
    </row>
    <row r="2061" spans="17:24" x14ac:dyDescent="0.25">
      <c r="Q2061" s="22"/>
      <c r="R2061" s="22"/>
      <c r="S2061" s="22"/>
      <c r="T2061" s="22"/>
      <c r="U2061" s="22"/>
      <c r="V2061" s="22"/>
      <c r="W2061" s="22"/>
      <c r="X2061" s="22"/>
    </row>
    <row r="2062" spans="17:24" x14ac:dyDescent="0.25">
      <c r="Q2062" s="22"/>
      <c r="R2062" s="22"/>
      <c r="S2062" s="22"/>
      <c r="T2062" s="22"/>
      <c r="U2062" s="22"/>
      <c r="V2062" s="22"/>
      <c r="W2062" s="22"/>
      <c r="X2062" s="22"/>
    </row>
    <row r="2063" spans="17:24" x14ac:dyDescent="0.25">
      <c r="Q2063" s="22"/>
      <c r="R2063" s="22"/>
      <c r="S2063" s="22"/>
      <c r="T2063" s="22"/>
      <c r="U2063" s="22"/>
      <c r="V2063" s="22"/>
      <c r="W2063" s="22"/>
      <c r="X2063" s="22"/>
    </row>
    <row r="2064" spans="17:24" x14ac:dyDescent="0.25">
      <c r="Q2064" s="22"/>
      <c r="R2064" s="22"/>
      <c r="S2064" s="22"/>
      <c r="T2064" s="22"/>
      <c r="U2064" s="22"/>
      <c r="V2064" s="22"/>
      <c r="W2064" s="22"/>
      <c r="X2064" s="22"/>
    </row>
    <row r="2065" spans="17:24" x14ac:dyDescent="0.25">
      <c r="Q2065" s="22"/>
      <c r="R2065" s="22"/>
      <c r="S2065" s="22"/>
      <c r="T2065" s="22"/>
      <c r="U2065" s="22"/>
      <c r="V2065" s="22"/>
      <c r="W2065" s="22"/>
      <c r="X2065" s="22"/>
    </row>
    <row r="2066" spans="17:24" x14ac:dyDescent="0.25">
      <c r="Q2066" s="22"/>
      <c r="R2066" s="22"/>
      <c r="S2066" s="22"/>
      <c r="T2066" s="22"/>
      <c r="U2066" s="22"/>
      <c r="V2066" s="22"/>
      <c r="W2066" s="22"/>
      <c r="X2066" s="22"/>
    </row>
    <row r="2067" spans="17:24" x14ac:dyDescent="0.25">
      <c r="Q2067" s="22"/>
      <c r="R2067" s="22"/>
      <c r="S2067" s="22"/>
      <c r="T2067" s="22"/>
      <c r="U2067" s="22"/>
      <c r="V2067" s="22"/>
      <c r="W2067" s="22"/>
      <c r="X2067" s="22"/>
    </row>
    <row r="2068" spans="17:24" x14ac:dyDescent="0.25">
      <c r="Q2068" s="22"/>
      <c r="R2068" s="22"/>
      <c r="S2068" s="22"/>
      <c r="T2068" s="22"/>
      <c r="U2068" s="22"/>
      <c r="V2068" s="22"/>
      <c r="W2068" s="22"/>
      <c r="X2068" s="22"/>
    </row>
    <row r="2069" spans="17:24" x14ac:dyDescent="0.25">
      <c r="Q2069" s="22"/>
      <c r="R2069" s="22"/>
      <c r="S2069" s="22"/>
      <c r="T2069" s="22"/>
      <c r="U2069" s="22"/>
      <c r="V2069" s="22"/>
      <c r="W2069" s="22"/>
      <c r="X2069" s="22"/>
    </row>
    <row r="2070" spans="17:24" x14ac:dyDescent="0.25">
      <c r="Q2070" s="22"/>
      <c r="R2070" s="22"/>
      <c r="S2070" s="22"/>
      <c r="T2070" s="22"/>
      <c r="U2070" s="22"/>
      <c r="V2070" s="22"/>
      <c r="W2070" s="22"/>
      <c r="X2070" s="22"/>
    </row>
    <row r="2071" spans="17:24" x14ac:dyDescent="0.25">
      <c r="Q2071" s="22"/>
      <c r="R2071" s="22"/>
      <c r="S2071" s="22"/>
      <c r="T2071" s="22"/>
      <c r="U2071" s="22"/>
      <c r="V2071" s="22"/>
      <c r="W2071" s="22"/>
      <c r="X2071" s="22"/>
    </row>
    <row r="2072" spans="17:24" x14ac:dyDescent="0.25">
      <c r="Q2072" s="22"/>
      <c r="R2072" s="22"/>
      <c r="S2072" s="22"/>
      <c r="T2072" s="22"/>
      <c r="U2072" s="22"/>
      <c r="V2072" s="22"/>
      <c r="W2072" s="22"/>
      <c r="X2072" s="22"/>
    </row>
    <row r="2073" spans="17:24" x14ac:dyDescent="0.25">
      <c r="Q2073" s="22"/>
      <c r="R2073" s="22"/>
      <c r="S2073" s="22"/>
      <c r="T2073" s="22"/>
      <c r="U2073" s="22"/>
      <c r="V2073" s="22"/>
      <c r="W2073" s="22"/>
      <c r="X2073" s="22"/>
    </row>
    <row r="2074" spans="17:24" x14ac:dyDescent="0.25">
      <c r="Q2074" s="22"/>
      <c r="R2074" s="22"/>
      <c r="S2074" s="22"/>
      <c r="T2074" s="22"/>
      <c r="U2074" s="22"/>
      <c r="V2074" s="22"/>
      <c r="W2074" s="22"/>
      <c r="X2074" s="22"/>
    </row>
    <row r="2075" spans="17:24" x14ac:dyDescent="0.25">
      <c r="Q2075" s="22"/>
      <c r="R2075" s="22"/>
      <c r="S2075" s="22"/>
      <c r="T2075" s="22"/>
      <c r="U2075" s="22"/>
      <c r="V2075" s="22"/>
      <c r="W2075" s="22"/>
      <c r="X2075" s="22"/>
    </row>
    <row r="2076" spans="17:24" x14ac:dyDescent="0.25">
      <c r="Q2076" s="22"/>
      <c r="R2076" s="22"/>
      <c r="S2076" s="22"/>
      <c r="T2076" s="22"/>
      <c r="U2076" s="22"/>
      <c r="V2076" s="22"/>
      <c r="W2076" s="22"/>
      <c r="X2076" s="22"/>
    </row>
    <row r="2077" spans="17:24" x14ac:dyDescent="0.25">
      <c r="Q2077" s="22"/>
      <c r="R2077" s="22"/>
      <c r="S2077" s="22"/>
      <c r="T2077" s="22"/>
      <c r="U2077" s="22"/>
      <c r="V2077" s="22"/>
      <c r="W2077" s="22"/>
      <c r="X2077" s="22"/>
    </row>
    <row r="2078" spans="17:24" x14ac:dyDescent="0.25">
      <c r="Q2078" s="22"/>
      <c r="R2078" s="22"/>
      <c r="S2078" s="22"/>
      <c r="T2078" s="22"/>
      <c r="U2078" s="22"/>
      <c r="V2078" s="22"/>
      <c r="W2078" s="22"/>
      <c r="X2078" s="22"/>
    </row>
    <row r="2079" spans="17:24" x14ac:dyDescent="0.25">
      <c r="Q2079" s="22"/>
      <c r="R2079" s="22"/>
      <c r="S2079" s="22"/>
      <c r="T2079" s="22"/>
      <c r="U2079" s="22"/>
      <c r="V2079" s="22"/>
      <c r="W2079" s="22"/>
      <c r="X2079" s="22"/>
    </row>
    <row r="2080" spans="17:24" x14ac:dyDescent="0.25">
      <c r="Q2080" s="22"/>
      <c r="R2080" s="22"/>
      <c r="S2080" s="22"/>
      <c r="T2080" s="22"/>
      <c r="U2080" s="22"/>
      <c r="V2080" s="22"/>
      <c r="W2080" s="22"/>
      <c r="X2080" s="22"/>
    </row>
    <row r="2081" spans="17:24" x14ac:dyDescent="0.25">
      <c r="Q2081" s="22"/>
      <c r="R2081" s="22"/>
      <c r="S2081" s="22"/>
      <c r="T2081" s="22"/>
      <c r="U2081" s="22"/>
      <c r="V2081" s="22"/>
      <c r="W2081" s="22"/>
      <c r="X2081" s="22"/>
    </row>
    <row r="2082" spans="17:24" x14ac:dyDescent="0.25">
      <c r="Q2082" s="22"/>
      <c r="R2082" s="22"/>
      <c r="S2082" s="22"/>
      <c r="T2082" s="22"/>
      <c r="U2082" s="22"/>
      <c r="V2082" s="22"/>
      <c r="W2082" s="22"/>
      <c r="X2082" s="22"/>
    </row>
    <row r="2083" spans="17:24" x14ac:dyDescent="0.25">
      <c r="Q2083" s="22"/>
      <c r="R2083" s="22"/>
      <c r="S2083" s="22"/>
      <c r="T2083" s="22"/>
      <c r="U2083" s="22"/>
      <c r="V2083" s="22"/>
      <c r="W2083" s="22"/>
      <c r="X2083" s="22"/>
    </row>
    <row r="2084" spans="17:24" x14ac:dyDescent="0.25">
      <c r="Q2084" s="22"/>
      <c r="R2084" s="22"/>
      <c r="S2084" s="22"/>
      <c r="T2084" s="22"/>
      <c r="U2084" s="22"/>
      <c r="V2084" s="22"/>
      <c r="W2084" s="22"/>
      <c r="X2084" s="22"/>
    </row>
    <row r="2085" spans="17:24" x14ac:dyDescent="0.25">
      <c r="Q2085" s="22"/>
      <c r="R2085" s="22"/>
      <c r="S2085" s="22"/>
      <c r="T2085" s="22"/>
      <c r="U2085" s="22"/>
      <c r="V2085" s="22"/>
      <c r="W2085" s="22"/>
      <c r="X2085" s="22"/>
    </row>
    <row r="2086" spans="17:24" x14ac:dyDescent="0.25">
      <c r="Q2086" s="22"/>
      <c r="R2086" s="22"/>
      <c r="S2086" s="22"/>
      <c r="T2086" s="22"/>
      <c r="U2086" s="22"/>
      <c r="V2086" s="22"/>
      <c r="W2086" s="22"/>
      <c r="X2086" s="22"/>
    </row>
    <row r="2087" spans="17:24" x14ac:dyDescent="0.25">
      <c r="Q2087" s="22"/>
      <c r="R2087" s="22"/>
      <c r="S2087" s="22"/>
      <c r="T2087" s="22"/>
      <c r="U2087" s="22"/>
      <c r="V2087" s="22"/>
      <c r="W2087" s="22"/>
      <c r="X2087" s="22"/>
    </row>
    <row r="2088" spans="17:24" x14ac:dyDescent="0.25">
      <c r="Q2088" s="22"/>
      <c r="R2088" s="22"/>
      <c r="S2088" s="22"/>
      <c r="T2088" s="22"/>
      <c r="U2088" s="22"/>
      <c r="V2088" s="22"/>
      <c r="W2088" s="22"/>
      <c r="X2088" s="22"/>
    </row>
    <row r="2089" spans="17:24" x14ac:dyDescent="0.25">
      <c r="Q2089" s="22"/>
      <c r="R2089" s="22"/>
      <c r="S2089" s="22"/>
      <c r="T2089" s="22"/>
      <c r="U2089" s="22"/>
      <c r="V2089" s="22"/>
      <c r="W2089" s="22"/>
      <c r="X2089" s="22"/>
    </row>
    <row r="2090" spans="17:24" x14ac:dyDescent="0.25">
      <c r="Q2090" s="22"/>
      <c r="R2090" s="22"/>
      <c r="S2090" s="22"/>
      <c r="T2090" s="22"/>
      <c r="U2090" s="22"/>
      <c r="V2090" s="22"/>
      <c r="W2090" s="22"/>
      <c r="X2090" s="22"/>
    </row>
    <row r="2091" spans="17:24" x14ac:dyDescent="0.25">
      <c r="Q2091" s="22"/>
      <c r="R2091" s="22"/>
      <c r="S2091" s="22"/>
      <c r="T2091" s="22"/>
      <c r="U2091" s="22"/>
      <c r="V2091" s="22"/>
      <c r="W2091" s="22"/>
      <c r="X2091" s="22"/>
    </row>
    <row r="2092" spans="17:24" x14ac:dyDescent="0.25">
      <c r="Q2092" s="22"/>
      <c r="R2092" s="22"/>
      <c r="S2092" s="22"/>
      <c r="T2092" s="22"/>
      <c r="U2092" s="22"/>
      <c r="V2092" s="22"/>
      <c r="W2092" s="22"/>
      <c r="X2092" s="22"/>
    </row>
    <row r="2093" spans="17:24" x14ac:dyDescent="0.25">
      <c r="Q2093" s="22"/>
      <c r="R2093" s="22"/>
      <c r="S2093" s="22"/>
      <c r="T2093" s="22"/>
      <c r="U2093" s="22"/>
      <c r="V2093" s="22"/>
      <c r="W2093" s="22"/>
      <c r="X2093" s="22"/>
    </row>
    <row r="2094" spans="17:24" x14ac:dyDescent="0.25">
      <c r="Q2094" s="22"/>
      <c r="R2094" s="22"/>
      <c r="S2094" s="22"/>
      <c r="T2094" s="22"/>
      <c r="U2094" s="22"/>
      <c r="V2094" s="22"/>
      <c r="W2094" s="22"/>
      <c r="X2094" s="22"/>
    </row>
    <row r="2095" spans="17:24" x14ac:dyDescent="0.25">
      <c r="Q2095" s="22"/>
      <c r="R2095" s="22"/>
      <c r="S2095" s="22"/>
      <c r="T2095" s="22"/>
      <c r="U2095" s="22"/>
      <c r="V2095" s="22"/>
      <c r="W2095" s="22"/>
      <c r="X2095" s="22"/>
    </row>
    <row r="2096" spans="17:24" x14ac:dyDescent="0.25">
      <c r="Q2096" s="22"/>
      <c r="R2096" s="22"/>
      <c r="S2096" s="22"/>
      <c r="T2096" s="22"/>
      <c r="U2096" s="22"/>
      <c r="V2096" s="22"/>
      <c r="W2096" s="22"/>
      <c r="X2096" s="22"/>
    </row>
    <row r="2097" spans="17:24" x14ac:dyDescent="0.25">
      <c r="Q2097" s="22"/>
      <c r="R2097" s="22"/>
      <c r="S2097" s="22"/>
      <c r="T2097" s="22"/>
      <c r="U2097" s="22"/>
      <c r="V2097" s="22"/>
      <c r="W2097" s="22"/>
      <c r="X2097" s="22"/>
    </row>
    <row r="2098" spans="17:24" x14ac:dyDescent="0.25">
      <c r="Q2098" s="22"/>
      <c r="R2098" s="22"/>
      <c r="S2098" s="22"/>
      <c r="T2098" s="22"/>
      <c r="U2098" s="22"/>
      <c r="V2098" s="22"/>
      <c r="W2098" s="22"/>
      <c r="X2098" s="22"/>
    </row>
    <row r="2099" spans="17:24" x14ac:dyDescent="0.25">
      <c r="Q2099" s="22"/>
      <c r="R2099" s="22"/>
      <c r="S2099" s="22"/>
      <c r="T2099" s="22"/>
      <c r="U2099" s="22"/>
      <c r="V2099" s="22"/>
      <c r="W2099" s="22"/>
      <c r="X2099" s="22"/>
    </row>
    <row r="2100" spans="17:24" x14ac:dyDescent="0.25">
      <c r="Q2100" s="22"/>
      <c r="R2100" s="22"/>
      <c r="S2100" s="22"/>
      <c r="T2100" s="22"/>
      <c r="U2100" s="22"/>
      <c r="V2100" s="22"/>
      <c r="W2100" s="22"/>
      <c r="X2100" s="22"/>
    </row>
    <row r="2101" spans="17:24" x14ac:dyDescent="0.25">
      <c r="Q2101" s="22"/>
      <c r="R2101" s="22"/>
      <c r="S2101" s="22"/>
      <c r="T2101" s="22"/>
      <c r="U2101" s="22"/>
      <c r="V2101" s="22"/>
      <c r="W2101" s="22"/>
      <c r="X2101" s="22"/>
    </row>
    <row r="2102" spans="17:24" x14ac:dyDescent="0.25">
      <c r="Q2102" s="22"/>
      <c r="R2102" s="22"/>
      <c r="S2102" s="22"/>
      <c r="T2102" s="22"/>
      <c r="U2102" s="22"/>
      <c r="V2102" s="22"/>
      <c r="W2102" s="22"/>
      <c r="X2102" s="22"/>
    </row>
    <row r="2103" spans="17:24" x14ac:dyDescent="0.25">
      <c r="Q2103" s="22"/>
      <c r="R2103" s="22"/>
      <c r="S2103" s="22"/>
      <c r="T2103" s="22"/>
      <c r="U2103" s="22"/>
      <c r="V2103" s="22"/>
      <c r="W2103" s="22"/>
      <c r="X2103" s="22"/>
    </row>
    <row r="2104" spans="17:24" x14ac:dyDescent="0.25">
      <c r="Q2104" s="22"/>
      <c r="R2104" s="22"/>
      <c r="S2104" s="22"/>
      <c r="T2104" s="22"/>
      <c r="U2104" s="22"/>
      <c r="V2104" s="22"/>
      <c r="W2104" s="22"/>
      <c r="X2104" s="22"/>
    </row>
    <row r="2105" spans="17:24" x14ac:dyDescent="0.25">
      <c r="Q2105" s="22"/>
      <c r="R2105" s="22"/>
      <c r="S2105" s="22"/>
      <c r="T2105" s="22"/>
      <c r="U2105" s="22"/>
      <c r="V2105" s="22"/>
      <c r="W2105" s="22"/>
      <c r="X2105" s="22"/>
    </row>
    <row r="2106" spans="17:24" x14ac:dyDescent="0.25">
      <c r="Q2106" s="22"/>
      <c r="R2106" s="22"/>
      <c r="S2106" s="22"/>
      <c r="T2106" s="22"/>
      <c r="U2106" s="22"/>
      <c r="V2106" s="22"/>
      <c r="W2106" s="22"/>
      <c r="X2106" s="22"/>
    </row>
    <row r="2107" spans="17:24" x14ac:dyDescent="0.25">
      <c r="Q2107" s="22"/>
      <c r="R2107" s="22"/>
      <c r="S2107" s="22"/>
      <c r="T2107" s="22"/>
      <c r="U2107" s="22"/>
      <c r="V2107" s="22"/>
      <c r="W2107" s="22"/>
      <c r="X2107" s="22"/>
    </row>
    <row r="2108" spans="17:24" x14ac:dyDescent="0.25">
      <c r="Q2108" s="22"/>
      <c r="R2108" s="22"/>
      <c r="S2108" s="22"/>
      <c r="T2108" s="22"/>
      <c r="U2108" s="22"/>
      <c r="V2108" s="22"/>
      <c r="W2108" s="22"/>
      <c r="X2108" s="22"/>
    </row>
    <row r="2109" spans="17:24" x14ac:dyDescent="0.25">
      <c r="Q2109" s="22"/>
      <c r="R2109" s="22"/>
      <c r="S2109" s="22"/>
      <c r="T2109" s="22"/>
      <c r="U2109" s="22"/>
      <c r="V2109" s="22"/>
      <c r="W2109" s="22"/>
      <c r="X2109" s="22"/>
    </row>
    <row r="2110" spans="17:24" x14ac:dyDescent="0.25">
      <c r="Q2110" s="22"/>
      <c r="R2110" s="22"/>
      <c r="S2110" s="22"/>
      <c r="T2110" s="22"/>
      <c r="U2110" s="22"/>
      <c r="V2110" s="22"/>
      <c r="W2110" s="22"/>
      <c r="X2110" s="22"/>
    </row>
    <row r="2111" spans="17:24" x14ac:dyDescent="0.25">
      <c r="Q2111" s="22"/>
      <c r="R2111" s="22"/>
      <c r="S2111" s="22"/>
      <c r="T2111" s="22"/>
      <c r="U2111" s="22"/>
      <c r="V2111" s="22"/>
      <c r="W2111" s="22"/>
      <c r="X2111" s="22"/>
    </row>
    <row r="2112" spans="17:24" x14ac:dyDescent="0.25">
      <c r="Q2112" s="22"/>
      <c r="R2112" s="22"/>
      <c r="S2112" s="22"/>
      <c r="T2112" s="22"/>
      <c r="U2112" s="22"/>
      <c r="V2112" s="22"/>
      <c r="W2112" s="22"/>
      <c r="X2112" s="22"/>
    </row>
    <row r="2113" spans="17:24" x14ac:dyDescent="0.25">
      <c r="Q2113" s="22"/>
      <c r="R2113" s="22"/>
      <c r="S2113" s="22"/>
      <c r="T2113" s="22"/>
      <c r="U2113" s="22"/>
      <c r="V2113" s="22"/>
      <c r="W2113" s="22"/>
      <c r="X2113" s="22"/>
    </row>
    <row r="2114" spans="17:24" x14ac:dyDescent="0.25">
      <c r="Q2114" s="22"/>
      <c r="R2114" s="22"/>
      <c r="S2114" s="22"/>
      <c r="T2114" s="22"/>
      <c r="U2114" s="22"/>
      <c r="V2114" s="22"/>
      <c r="W2114" s="22"/>
      <c r="X2114" s="22"/>
    </row>
    <row r="2115" spans="17:24" x14ac:dyDescent="0.25">
      <c r="Q2115" s="22"/>
      <c r="R2115" s="22"/>
      <c r="S2115" s="22"/>
      <c r="T2115" s="22"/>
      <c r="U2115" s="22"/>
      <c r="V2115" s="22"/>
      <c r="W2115" s="22"/>
      <c r="X2115" s="22"/>
    </row>
    <row r="2116" spans="17:24" x14ac:dyDescent="0.25">
      <c r="Q2116" s="22"/>
      <c r="R2116" s="22"/>
      <c r="S2116" s="22"/>
      <c r="T2116" s="22"/>
      <c r="U2116" s="22"/>
      <c r="V2116" s="22"/>
      <c r="W2116" s="22"/>
      <c r="X2116" s="22"/>
    </row>
    <row r="2117" spans="17:24" x14ac:dyDescent="0.25">
      <c r="Q2117" s="22"/>
      <c r="R2117" s="22"/>
      <c r="S2117" s="22"/>
      <c r="T2117" s="22"/>
      <c r="U2117" s="22"/>
      <c r="V2117" s="22"/>
      <c r="W2117" s="22"/>
      <c r="X2117" s="22"/>
    </row>
    <row r="2118" spans="17:24" x14ac:dyDescent="0.25">
      <c r="Q2118" s="22"/>
      <c r="R2118" s="22"/>
      <c r="S2118" s="22"/>
      <c r="T2118" s="22"/>
      <c r="U2118" s="22"/>
      <c r="V2118" s="22"/>
      <c r="W2118" s="22"/>
      <c r="X2118" s="22"/>
    </row>
    <row r="2119" spans="17:24" x14ac:dyDescent="0.25">
      <c r="Q2119" s="22"/>
      <c r="R2119" s="22"/>
      <c r="S2119" s="22"/>
      <c r="T2119" s="22"/>
      <c r="U2119" s="22"/>
      <c r="V2119" s="22"/>
      <c r="W2119" s="22"/>
      <c r="X2119" s="22"/>
    </row>
    <row r="2120" spans="17:24" x14ac:dyDescent="0.25">
      <c r="Q2120" s="22"/>
      <c r="R2120" s="22"/>
      <c r="S2120" s="22"/>
      <c r="T2120" s="22"/>
      <c r="U2120" s="22"/>
      <c r="V2120" s="22"/>
      <c r="W2120" s="22"/>
      <c r="X2120" s="22"/>
    </row>
    <row r="2121" spans="17:24" x14ac:dyDescent="0.25">
      <c r="Q2121" s="22"/>
      <c r="R2121" s="22"/>
      <c r="S2121" s="22"/>
      <c r="T2121" s="22"/>
      <c r="U2121" s="22"/>
      <c r="V2121" s="22"/>
      <c r="W2121" s="22"/>
      <c r="X2121" s="22"/>
    </row>
    <row r="2122" spans="17:24" x14ac:dyDescent="0.25">
      <c r="Q2122" s="22"/>
      <c r="R2122" s="22"/>
      <c r="S2122" s="22"/>
      <c r="T2122" s="22"/>
      <c r="U2122" s="22"/>
      <c r="V2122" s="22"/>
      <c r="W2122" s="22"/>
      <c r="X2122" s="22"/>
    </row>
    <row r="2123" spans="17:24" x14ac:dyDescent="0.25">
      <c r="Q2123" s="22"/>
      <c r="R2123" s="22"/>
      <c r="S2123" s="22"/>
      <c r="T2123" s="22"/>
      <c r="U2123" s="22"/>
      <c r="V2123" s="22"/>
      <c r="W2123" s="22"/>
      <c r="X2123" s="22"/>
    </row>
    <row r="2124" spans="17:24" x14ac:dyDescent="0.25">
      <c r="Q2124" s="22"/>
      <c r="R2124" s="22"/>
      <c r="S2124" s="22"/>
      <c r="T2124" s="22"/>
      <c r="U2124" s="22"/>
      <c r="V2124" s="22"/>
      <c r="W2124" s="22"/>
      <c r="X2124" s="22"/>
    </row>
    <row r="2125" spans="17:24" x14ac:dyDescent="0.25">
      <c r="Q2125" s="22"/>
      <c r="R2125" s="22"/>
      <c r="S2125" s="22"/>
      <c r="T2125" s="22"/>
      <c r="U2125" s="22"/>
      <c r="V2125" s="22"/>
      <c r="W2125" s="22"/>
      <c r="X2125" s="22"/>
    </row>
    <row r="2126" spans="17:24" x14ac:dyDescent="0.25">
      <c r="Q2126" s="22"/>
      <c r="R2126" s="22"/>
      <c r="S2126" s="22"/>
      <c r="T2126" s="22"/>
      <c r="U2126" s="22"/>
      <c r="V2126" s="22"/>
      <c r="W2126" s="22"/>
      <c r="X2126" s="22"/>
    </row>
    <row r="2127" spans="17:24" x14ac:dyDescent="0.25">
      <c r="Q2127" s="22"/>
      <c r="R2127" s="22"/>
      <c r="S2127" s="22"/>
      <c r="T2127" s="22"/>
      <c r="U2127" s="22"/>
      <c r="V2127" s="22"/>
      <c r="W2127" s="22"/>
      <c r="X2127" s="22"/>
    </row>
    <row r="2128" spans="17:24" x14ac:dyDescent="0.25">
      <c r="Q2128" s="22"/>
      <c r="R2128" s="22"/>
      <c r="S2128" s="22"/>
      <c r="T2128" s="22"/>
      <c r="U2128" s="22"/>
      <c r="V2128" s="22"/>
      <c r="W2128" s="22"/>
      <c r="X2128" s="22"/>
    </row>
    <row r="2129" spans="17:24" x14ac:dyDescent="0.25">
      <c r="Q2129" s="22"/>
      <c r="R2129" s="22"/>
      <c r="S2129" s="22"/>
      <c r="T2129" s="22"/>
      <c r="U2129" s="22"/>
      <c r="V2129" s="22"/>
      <c r="W2129" s="22"/>
      <c r="X2129" s="22"/>
    </row>
    <row r="2130" spans="17:24" x14ac:dyDescent="0.25">
      <c r="Q2130" s="22"/>
      <c r="R2130" s="22"/>
      <c r="S2130" s="22"/>
      <c r="T2130" s="22"/>
      <c r="U2130" s="22"/>
      <c r="V2130" s="22"/>
      <c r="W2130" s="22"/>
      <c r="X2130" s="22"/>
    </row>
    <row r="2131" spans="17:24" x14ac:dyDescent="0.25">
      <c r="Q2131" s="22"/>
      <c r="R2131" s="22"/>
      <c r="S2131" s="22"/>
      <c r="T2131" s="22"/>
      <c r="U2131" s="22"/>
      <c r="V2131" s="22"/>
      <c r="W2131" s="22"/>
      <c r="X2131" s="22"/>
    </row>
    <row r="2132" spans="17:24" x14ac:dyDescent="0.25">
      <c r="Q2132" s="22"/>
      <c r="R2132" s="22"/>
      <c r="S2132" s="22"/>
      <c r="T2132" s="22"/>
      <c r="U2132" s="22"/>
      <c r="V2132" s="22"/>
      <c r="W2132" s="22"/>
      <c r="X2132" s="22"/>
    </row>
    <row r="2133" spans="17:24" x14ac:dyDescent="0.25">
      <c r="Q2133" s="22"/>
      <c r="R2133" s="22"/>
      <c r="S2133" s="22"/>
      <c r="T2133" s="22"/>
      <c r="U2133" s="22"/>
      <c r="V2133" s="22"/>
      <c r="W2133" s="22"/>
      <c r="X2133" s="22"/>
    </row>
    <row r="2134" spans="17:24" x14ac:dyDescent="0.25">
      <c r="Q2134" s="22"/>
      <c r="R2134" s="22"/>
      <c r="S2134" s="22"/>
      <c r="T2134" s="22"/>
      <c r="U2134" s="22"/>
      <c r="V2134" s="22"/>
      <c r="W2134" s="22"/>
      <c r="X2134" s="22"/>
    </row>
    <row r="2135" spans="17:24" x14ac:dyDescent="0.25">
      <c r="Q2135" s="22"/>
      <c r="R2135" s="22"/>
      <c r="S2135" s="22"/>
      <c r="T2135" s="22"/>
      <c r="U2135" s="22"/>
      <c r="V2135" s="22"/>
      <c r="W2135" s="22"/>
      <c r="X2135" s="22"/>
    </row>
    <row r="2136" spans="17:24" x14ac:dyDescent="0.25">
      <c r="Q2136" s="22"/>
      <c r="R2136" s="22"/>
      <c r="S2136" s="22"/>
      <c r="T2136" s="22"/>
      <c r="U2136" s="22"/>
      <c r="V2136" s="22"/>
      <c r="W2136" s="22"/>
      <c r="X2136" s="22"/>
    </row>
    <row r="2137" spans="17:24" x14ac:dyDescent="0.25">
      <c r="Q2137" s="22"/>
      <c r="R2137" s="22"/>
      <c r="S2137" s="22"/>
      <c r="T2137" s="22"/>
      <c r="U2137" s="22"/>
      <c r="V2137" s="22"/>
      <c r="W2137" s="22"/>
      <c r="X2137" s="22"/>
    </row>
    <row r="2138" spans="17:24" x14ac:dyDescent="0.25">
      <c r="Q2138" s="22"/>
      <c r="R2138" s="22"/>
      <c r="S2138" s="22"/>
      <c r="T2138" s="22"/>
      <c r="U2138" s="22"/>
      <c r="V2138" s="22"/>
      <c r="W2138" s="22"/>
      <c r="X2138" s="22"/>
    </row>
    <row r="2139" spans="17:24" x14ac:dyDescent="0.25">
      <c r="Q2139" s="22"/>
      <c r="R2139" s="22"/>
      <c r="S2139" s="22"/>
      <c r="T2139" s="22"/>
      <c r="U2139" s="22"/>
      <c r="V2139" s="22"/>
      <c r="W2139" s="22"/>
      <c r="X2139" s="22"/>
    </row>
    <row r="2140" spans="17:24" x14ac:dyDescent="0.25">
      <c r="Q2140" s="22"/>
      <c r="R2140" s="22"/>
      <c r="S2140" s="22"/>
      <c r="T2140" s="22"/>
      <c r="U2140" s="22"/>
      <c r="V2140" s="22"/>
      <c r="W2140" s="22"/>
      <c r="X2140" s="22"/>
    </row>
    <row r="2141" spans="17:24" x14ac:dyDescent="0.25">
      <c r="Q2141" s="22"/>
      <c r="R2141" s="22"/>
      <c r="S2141" s="22"/>
      <c r="T2141" s="22"/>
      <c r="U2141" s="22"/>
      <c r="V2141" s="22"/>
      <c r="W2141" s="22"/>
      <c r="X2141" s="22"/>
    </row>
    <row r="2142" spans="17:24" x14ac:dyDescent="0.25">
      <c r="Q2142" s="22"/>
      <c r="R2142" s="22"/>
      <c r="S2142" s="22"/>
      <c r="T2142" s="22"/>
      <c r="U2142" s="22"/>
      <c r="V2142" s="22"/>
      <c r="W2142" s="22"/>
      <c r="X2142" s="22"/>
    </row>
    <row r="2143" spans="17:24" x14ac:dyDescent="0.25">
      <c r="Q2143" s="22"/>
      <c r="R2143" s="22"/>
      <c r="S2143" s="22"/>
      <c r="T2143" s="22"/>
      <c r="U2143" s="22"/>
      <c r="V2143" s="22"/>
      <c r="W2143" s="22"/>
      <c r="X2143" s="22"/>
    </row>
    <row r="2144" spans="17:24" x14ac:dyDescent="0.25">
      <c r="Q2144" s="22"/>
      <c r="R2144" s="22"/>
      <c r="S2144" s="22"/>
      <c r="T2144" s="22"/>
      <c r="U2144" s="22"/>
      <c r="V2144" s="22"/>
      <c r="W2144" s="22"/>
      <c r="X2144" s="22"/>
    </row>
    <row r="2145" spans="17:24" x14ac:dyDescent="0.25">
      <c r="Q2145" s="22"/>
      <c r="R2145" s="22"/>
      <c r="S2145" s="22"/>
      <c r="T2145" s="22"/>
      <c r="U2145" s="22"/>
      <c r="V2145" s="22"/>
      <c r="W2145" s="22"/>
      <c r="X2145" s="22"/>
    </row>
    <row r="2146" spans="17:24" x14ac:dyDescent="0.25">
      <c r="Q2146" s="22"/>
      <c r="R2146" s="22"/>
      <c r="S2146" s="22"/>
      <c r="T2146" s="22"/>
      <c r="U2146" s="22"/>
      <c r="V2146" s="22"/>
      <c r="W2146" s="22"/>
      <c r="X2146" s="22"/>
    </row>
    <row r="2147" spans="17:24" x14ac:dyDescent="0.25">
      <c r="Q2147" s="22"/>
      <c r="R2147" s="22"/>
      <c r="S2147" s="22"/>
      <c r="T2147" s="22"/>
      <c r="U2147" s="22"/>
      <c r="V2147" s="22"/>
      <c r="W2147" s="22"/>
      <c r="X2147" s="22"/>
    </row>
    <row r="2148" spans="17:24" x14ac:dyDescent="0.25">
      <c r="Q2148" s="22"/>
      <c r="R2148" s="22"/>
      <c r="S2148" s="22"/>
      <c r="T2148" s="22"/>
      <c r="U2148" s="22"/>
      <c r="V2148" s="22"/>
      <c r="W2148" s="22"/>
      <c r="X2148" s="22"/>
    </row>
    <row r="2149" spans="17:24" x14ac:dyDescent="0.25">
      <c r="Q2149" s="22"/>
      <c r="R2149" s="22"/>
      <c r="S2149" s="22"/>
      <c r="T2149" s="22"/>
      <c r="U2149" s="22"/>
      <c r="V2149" s="22"/>
      <c r="W2149" s="22"/>
      <c r="X2149" s="22"/>
    </row>
    <row r="2150" spans="17:24" x14ac:dyDescent="0.25">
      <c r="Q2150" s="22"/>
      <c r="R2150" s="22"/>
      <c r="S2150" s="22"/>
      <c r="T2150" s="22"/>
      <c r="U2150" s="22"/>
      <c r="V2150" s="22"/>
      <c r="W2150" s="22"/>
      <c r="X2150" s="22"/>
    </row>
    <row r="2151" spans="17:24" x14ac:dyDescent="0.25">
      <c r="Q2151" s="22"/>
      <c r="R2151" s="22"/>
      <c r="S2151" s="22"/>
      <c r="T2151" s="22"/>
      <c r="U2151" s="22"/>
      <c r="V2151" s="22"/>
      <c r="W2151" s="22"/>
      <c r="X2151" s="22"/>
    </row>
    <row r="2152" spans="17:24" x14ac:dyDescent="0.25">
      <c r="Q2152" s="22"/>
      <c r="R2152" s="22"/>
      <c r="S2152" s="22"/>
      <c r="T2152" s="22"/>
      <c r="U2152" s="22"/>
      <c r="V2152" s="22"/>
      <c r="W2152" s="22"/>
      <c r="X2152" s="22"/>
    </row>
    <row r="2153" spans="17:24" x14ac:dyDescent="0.25">
      <c r="Q2153" s="22"/>
      <c r="R2153" s="22"/>
      <c r="S2153" s="22"/>
      <c r="T2153" s="22"/>
      <c r="U2153" s="22"/>
      <c r="V2153" s="22"/>
      <c r="W2153" s="22"/>
      <c r="X2153" s="22"/>
    </row>
    <row r="2154" spans="17:24" x14ac:dyDescent="0.25">
      <c r="Q2154" s="22"/>
      <c r="R2154" s="22"/>
      <c r="S2154" s="22"/>
      <c r="T2154" s="22"/>
      <c r="U2154" s="22"/>
      <c r="V2154" s="22"/>
      <c r="W2154" s="22"/>
      <c r="X2154" s="22"/>
    </row>
    <row r="2155" spans="17:24" x14ac:dyDescent="0.25">
      <c r="Q2155" s="22"/>
      <c r="R2155" s="22"/>
      <c r="S2155" s="22"/>
      <c r="T2155" s="22"/>
      <c r="U2155" s="22"/>
      <c r="V2155" s="22"/>
      <c r="W2155" s="22"/>
      <c r="X2155" s="22"/>
    </row>
    <row r="2156" spans="17:24" x14ac:dyDescent="0.25">
      <c r="Q2156" s="22"/>
      <c r="R2156" s="22"/>
      <c r="S2156" s="22"/>
      <c r="T2156" s="22"/>
      <c r="U2156" s="22"/>
      <c r="V2156" s="22"/>
      <c r="W2156" s="22"/>
      <c r="X2156" s="22"/>
    </row>
    <row r="2157" spans="17:24" x14ac:dyDescent="0.25">
      <c r="Q2157" s="22"/>
      <c r="R2157" s="22"/>
      <c r="S2157" s="22"/>
      <c r="T2157" s="22"/>
      <c r="U2157" s="22"/>
      <c r="V2157" s="22"/>
      <c r="W2157" s="22"/>
      <c r="X2157" s="22"/>
    </row>
    <row r="2158" spans="17:24" x14ac:dyDescent="0.25">
      <c r="Q2158" s="22"/>
      <c r="R2158" s="22"/>
      <c r="S2158" s="22"/>
      <c r="T2158" s="22"/>
      <c r="U2158" s="22"/>
      <c r="V2158" s="22"/>
      <c r="W2158" s="22"/>
      <c r="X2158" s="22"/>
    </row>
    <row r="2159" spans="17:24" x14ac:dyDescent="0.25">
      <c r="Q2159" s="22"/>
      <c r="R2159" s="22"/>
      <c r="S2159" s="22"/>
      <c r="T2159" s="22"/>
      <c r="U2159" s="22"/>
      <c r="V2159" s="22"/>
      <c r="W2159" s="22"/>
      <c r="X2159" s="22"/>
    </row>
    <row r="2160" spans="17:24" x14ac:dyDescent="0.25">
      <c r="Q2160" s="22"/>
      <c r="R2160" s="22"/>
      <c r="S2160" s="22"/>
      <c r="T2160" s="22"/>
      <c r="U2160" s="22"/>
      <c r="V2160" s="22"/>
      <c r="W2160" s="22"/>
      <c r="X2160" s="22"/>
    </row>
    <row r="2161" spans="17:24" x14ac:dyDescent="0.25">
      <c r="Q2161" s="22"/>
      <c r="R2161" s="22"/>
      <c r="S2161" s="22"/>
      <c r="T2161" s="22"/>
      <c r="U2161" s="22"/>
      <c r="V2161" s="22"/>
      <c r="W2161" s="22"/>
      <c r="X2161" s="22"/>
    </row>
    <row r="2162" spans="17:24" x14ac:dyDescent="0.25">
      <c r="Q2162" s="22"/>
      <c r="R2162" s="22"/>
      <c r="S2162" s="22"/>
      <c r="T2162" s="22"/>
      <c r="U2162" s="22"/>
      <c r="V2162" s="22"/>
      <c r="W2162" s="22"/>
      <c r="X2162" s="22"/>
    </row>
    <row r="2163" spans="17:24" x14ac:dyDescent="0.25">
      <c r="Q2163" s="22"/>
      <c r="R2163" s="22"/>
      <c r="S2163" s="22"/>
      <c r="T2163" s="22"/>
      <c r="U2163" s="22"/>
      <c r="V2163" s="22"/>
      <c r="W2163" s="22"/>
      <c r="X2163" s="22"/>
    </row>
    <row r="2164" spans="17:24" x14ac:dyDescent="0.25">
      <c r="Q2164" s="22"/>
      <c r="R2164" s="22"/>
      <c r="S2164" s="22"/>
      <c r="T2164" s="22"/>
      <c r="U2164" s="22"/>
      <c r="V2164" s="22"/>
      <c r="W2164" s="22"/>
      <c r="X2164" s="22"/>
    </row>
    <row r="2165" spans="17:24" x14ac:dyDescent="0.25">
      <c r="Q2165" s="22"/>
      <c r="R2165" s="22"/>
      <c r="S2165" s="22"/>
      <c r="T2165" s="22"/>
      <c r="U2165" s="22"/>
      <c r="V2165" s="22"/>
      <c r="W2165" s="22"/>
      <c r="X2165" s="22"/>
    </row>
    <row r="2166" spans="17:24" x14ac:dyDescent="0.25">
      <c r="Q2166" s="22"/>
      <c r="R2166" s="22"/>
      <c r="S2166" s="22"/>
      <c r="T2166" s="22"/>
      <c r="U2166" s="22"/>
      <c r="V2166" s="22"/>
      <c r="W2166" s="22"/>
      <c r="X2166" s="22"/>
    </row>
    <row r="2167" spans="17:24" x14ac:dyDescent="0.25">
      <c r="Q2167" s="22"/>
      <c r="R2167" s="22"/>
      <c r="S2167" s="22"/>
      <c r="T2167" s="22"/>
      <c r="U2167" s="22"/>
      <c r="V2167" s="22"/>
      <c r="W2167" s="22"/>
      <c r="X2167" s="22"/>
    </row>
    <row r="2168" spans="17:24" x14ac:dyDescent="0.25">
      <c r="Q2168" s="22"/>
      <c r="R2168" s="22"/>
      <c r="S2168" s="22"/>
      <c r="T2168" s="22"/>
      <c r="U2168" s="22"/>
      <c r="V2168" s="22"/>
      <c r="W2168" s="22"/>
      <c r="X2168" s="22"/>
    </row>
    <row r="2169" spans="17:24" x14ac:dyDescent="0.25">
      <c r="Q2169" s="22"/>
      <c r="R2169" s="22"/>
      <c r="S2169" s="22"/>
      <c r="T2169" s="22"/>
      <c r="U2169" s="22"/>
      <c r="V2169" s="22"/>
      <c r="W2169" s="22"/>
      <c r="X2169" s="22"/>
    </row>
    <row r="2170" spans="17:24" x14ac:dyDescent="0.25">
      <c r="Q2170" s="22"/>
      <c r="R2170" s="22"/>
      <c r="S2170" s="22"/>
      <c r="T2170" s="22"/>
      <c r="U2170" s="22"/>
      <c r="V2170" s="22"/>
      <c r="W2170" s="22"/>
      <c r="X2170" s="22"/>
    </row>
    <row r="2171" spans="17:24" x14ac:dyDescent="0.25">
      <c r="Q2171" s="22"/>
      <c r="R2171" s="22"/>
      <c r="S2171" s="22"/>
      <c r="T2171" s="22"/>
      <c r="U2171" s="22"/>
      <c r="V2171" s="22"/>
      <c r="W2171" s="22"/>
      <c r="X2171" s="22"/>
    </row>
    <row r="2172" spans="17:24" x14ac:dyDescent="0.25">
      <c r="Q2172" s="22"/>
      <c r="R2172" s="22"/>
      <c r="S2172" s="22"/>
      <c r="T2172" s="22"/>
      <c r="U2172" s="22"/>
      <c r="V2172" s="22"/>
      <c r="W2172" s="22"/>
      <c r="X2172" s="22"/>
    </row>
    <row r="2173" spans="17:24" x14ac:dyDescent="0.25">
      <c r="Q2173" s="22"/>
      <c r="R2173" s="22"/>
      <c r="S2173" s="22"/>
      <c r="T2173" s="22"/>
      <c r="U2173" s="22"/>
      <c r="V2173" s="22"/>
      <c r="W2173" s="22"/>
      <c r="X2173" s="22"/>
    </row>
    <row r="2174" spans="17:24" x14ac:dyDescent="0.25">
      <c r="Q2174" s="22"/>
      <c r="R2174" s="22"/>
      <c r="S2174" s="22"/>
      <c r="T2174" s="22"/>
      <c r="U2174" s="22"/>
      <c r="V2174" s="22"/>
      <c r="W2174" s="22"/>
      <c r="X2174" s="22"/>
    </row>
    <row r="2175" spans="17:24" x14ac:dyDescent="0.25">
      <c r="Q2175" s="22"/>
      <c r="R2175" s="22"/>
      <c r="S2175" s="22"/>
      <c r="T2175" s="22"/>
      <c r="U2175" s="22"/>
      <c r="V2175" s="22"/>
      <c r="W2175" s="22"/>
      <c r="X2175" s="22"/>
    </row>
    <row r="2176" spans="17:24" x14ac:dyDescent="0.25">
      <c r="Q2176" s="22"/>
      <c r="R2176" s="22"/>
      <c r="S2176" s="22"/>
      <c r="T2176" s="22"/>
      <c r="U2176" s="22"/>
      <c r="V2176" s="22"/>
      <c r="W2176" s="22"/>
      <c r="X2176" s="22"/>
    </row>
    <row r="2177" spans="17:24" x14ac:dyDescent="0.25">
      <c r="Q2177" s="22"/>
      <c r="R2177" s="22"/>
      <c r="S2177" s="22"/>
      <c r="T2177" s="22"/>
      <c r="U2177" s="22"/>
      <c r="V2177" s="22"/>
      <c r="W2177" s="22"/>
      <c r="X2177" s="22"/>
    </row>
    <row r="2178" spans="17:24" x14ac:dyDescent="0.25">
      <c r="Q2178" s="22"/>
      <c r="R2178" s="22"/>
      <c r="S2178" s="22"/>
      <c r="T2178" s="22"/>
      <c r="U2178" s="22"/>
      <c r="V2178" s="22"/>
      <c r="W2178" s="22"/>
      <c r="X2178" s="22"/>
    </row>
    <row r="2179" spans="17:24" x14ac:dyDescent="0.25">
      <c r="Q2179" s="22"/>
      <c r="R2179" s="22"/>
      <c r="S2179" s="22"/>
      <c r="T2179" s="22"/>
      <c r="U2179" s="22"/>
      <c r="V2179" s="22"/>
      <c r="W2179" s="22"/>
      <c r="X2179" s="22"/>
    </row>
    <row r="2180" spans="17:24" x14ac:dyDescent="0.25">
      <c r="Q2180" s="22"/>
      <c r="R2180" s="22"/>
      <c r="S2180" s="22"/>
      <c r="T2180" s="22"/>
      <c r="U2180" s="22"/>
      <c r="V2180" s="22"/>
      <c r="W2180" s="22"/>
      <c r="X2180" s="22"/>
    </row>
    <row r="2181" spans="17:24" x14ac:dyDescent="0.25">
      <c r="Q2181" s="22"/>
      <c r="R2181" s="22"/>
      <c r="S2181" s="22"/>
      <c r="T2181" s="22"/>
      <c r="U2181" s="22"/>
      <c r="V2181" s="22"/>
      <c r="W2181" s="22"/>
      <c r="X2181" s="22"/>
    </row>
    <row r="2182" spans="17:24" x14ac:dyDescent="0.25">
      <c r="Q2182" s="22"/>
      <c r="R2182" s="22"/>
      <c r="S2182" s="22"/>
      <c r="T2182" s="22"/>
      <c r="U2182" s="22"/>
      <c r="V2182" s="22"/>
      <c r="W2182" s="22"/>
      <c r="X2182" s="22"/>
    </row>
    <row r="2183" spans="17:24" x14ac:dyDescent="0.25">
      <c r="Q2183" s="22"/>
      <c r="R2183" s="22"/>
      <c r="S2183" s="22"/>
      <c r="T2183" s="22"/>
      <c r="U2183" s="22"/>
      <c r="V2183" s="22"/>
      <c r="W2183" s="22"/>
      <c r="X2183" s="22"/>
    </row>
    <row r="2184" spans="17:24" x14ac:dyDescent="0.25">
      <c r="Q2184" s="22"/>
      <c r="R2184" s="22"/>
      <c r="S2184" s="22"/>
      <c r="T2184" s="22"/>
      <c r="U2184" s="22"/>
      <c r="V2184" s="22"/>
      <c r="W2184" s="22"/>
      <c r="X2184" s="22"/>
    </row>
    <row r="2185" spans="17:24" x14ac:dyDescent="0.25">
      <c r="Q2185" s="22"/>
      <c r="R2185" s="22"/>
      <c r="S2185" s="22"/>
      <c r="T2185" s="22"/>
      <c r="U2185" s="22"/>
      <c r="V2185" s="22"/>
      <c r="W2185" s="22"/>
      <c r="X2185" s="22"/>
    </row>
    <row r="2186" spans="17:24" x14ac:dyDescent="0.25">
      <c r="Q2186" s="22"/>
      <c r="R2186" s="22"/>
      <c r="S2186" s="22"/>
      <c r="T2186" s="22"/>
      <c r="U2186" s="22"/>
      <c r="V2186" s="22"/>
      <c r="W2186" s="22"/>
      <c r="X2186" s="22"/>
    </row>
    <row r="2187" spans="17:24" x14ac:dyDescent="0.25">
      <c r="Q2187" s="22"/>
      <c r="R2187" s="22"/>
      <c r="S2187" s="22"/>
      <c r="T2187" s="22"/>
      <c r="U2187" s="22"/>
      <c r="V2187" s="22"/>
      <c r="W2187" s="22"/>
      <c r="X2187" s="22"/>
    </row>
    <row r="2188" spans="17:24" x14ac:dyDescent="0.25">
      <c r="Q2188" s="22"/>
      <c r="R2188" s="22"/>
      <c r="S2188" s="22"/>
      <c r="T2188" s="22"/>
      <c r="U2188" s="22"/>
      <c r="V2188" s="22"/>
      <c r="W2188" s="22"/>
      <c r="X2188" s="22"/>
    </row>
    <row r="2189" spans="17:24" x14ac:dyDescent="0.25">
      <c r="Q2189" s="22"/>
      <c r="R2189" s="22"/>
      <c r="S2189" s="22"/>
      <c r="T2189" s="22"/>
      <c r="U2189" s="22"/>
      <c r="V2189" s="22"/>
      <c r="W2189" s="22"/>
      <c r="X2189" s="22"/>
    </row>
    <row r="2190" spans="17:24" x14ac:dyDescent="0.25">
      <c r="Q2190" s="22"/>
      <c r="R2190" s="22"/>
      <c r="S2190" s="22"/>
      <c r="T2190" s="22"/>
      <c r="U2190" s="22"/>
      <c r="V2190" s="22"/>
      <c r="W2190" s="22"/>
      <c r="X2190" s="22"/>
    </row>
    <row r="2191" spans="17:24" x14ac:dyDescent="0.25">
      <c r="Q2191" s="22"/>
      <c r="R2191" s="22"/>
      <c r="S2191" s="22"/>
      <c r="T2191" s="22"/>
      <c r="U2191" s="22"/>
      <c r="V2191" s="22"/>
      <c r="W2191" s="22"/>
      <c r="X2191" s="22"/>
    </row>
    <row r="2192" spans="17:24" x14ac:dyDescent="0.25">
      <c r="Q2192" s="22"/>
      <c r="R2192" s="22"/>
      <c r="S2192" s="22"/>
      <c r="T2192" s="22"/>
      <c r="U2192" s="22"/>
      <c r="V2192" s="22"/>
      <c r="W2192" s="22"/>
      <c r="X2192" s="22"/>
    </row>
    <row r="2193" spans="17:24" x14ac:dyDescent="0.25">
      <c r="Q2193" s="22"/>
      <c r="R2193" s="22"/>
      <c r="S2193" s="22"/>
      <c r="T2193" s="22"/>
      <c r="U2193" s="22"/>
      <c r="V2193" s="22"/>
      <c r="W2193" s="22"/>
      <c r="X2193" s="22"/>
    </row>
    <row r="2194" spans="17:24" x14ac:dyDescent="0.25">
      <c r="Q2194" s="22"/>
      <c r="R2194" s="22"/>
      <c r="S2194" s="22"/>
      <c r="T2194" s="22"/>
      <c r="U2194" s="22"/>
      <c r="V2194" s="22"/>
      <c r="W2194" s="22"/>
      <c r="X2194" s="22"/>
    </row>
    <row r="2195" spans="17:24" x14ac:dyDescent="0.25">
      <c r="Q2195" s="22"/>
      <c r="R2195" s="22"/>
      <c r="S2195" s="22"/>
      <c r="T2195" s="22"/>
      <c r="U2195" s="22"/>
      <c r="V2195" s="22"/>
      <c r="W2195" s="22"/>
      <c r="X2195" s="22"/>
    </row>
    <row r="2196" spans="17:24" x14ac:dyDescent="0.25">
      <c r="Q2196" s="22"/>
      <c r="R2196" s="22"/>
      <c r="S2196" s="22"/>
      <c r="T2196" s="22"/>
      <c r="U2196" s="22"/>
      <c r="V2196" s="22"/>
      <c r="W2196" s="22"/>
      <c r="X2196" s="22"/>
    </row>
    <row r="2197" spans="17:24" x14ac:dyDescent="0.25">
      <c r="Q2197" s="22"/>
      <c r="R2197" s="22"/>
      <c r="S2197" s="22"/>
      <c r="T2197" s="22"/>
      <c r="U2197" s="22"/>
      <c r="V2197" s="22"/>
      <c r="W2197" s="22"/>
      <c r="X2197" s="22"/>
    </row>
    <row r="2198" spans="17:24" x14ac:dyDescent="0.25">
      <c r="Q2198" s="22"/>
      <c r="R2198" s="22"/>
      <c r="S2198" s="22"/>
      <c r="T2198" s="22"/>
      <c r="U2198" s="22"/>
      <c r="V2198" s="22"/>
      <c r="W2198" s="22"/>
      <c r="X2198" s="22"/>
    </row>
    <row r="2199" spans="17:24" x14ac:dyDescent="0.25">
      <c r="Q2199" s="22"/>
      <c r="R2199" s="22"/>
      <c r="S2199" s="22"/>
      <c r="T2199" s="22"/>
      <c r="U2199" s="22"/>
      <c r="V2199" s="22"/>
      <c r="W2199" s="22"/>
      <c r="X2199" s="22"/>
    </row>
    <row r="2200" spans="17:24" x14ac:dyDescent="0.25">
      <c r="Q2200" s="22"/>
      <c r="R2200" s="22"/>
      <c r="S2200" s="22"/>
      <c r="T2200" s="22"/>
      <c r="U2200" s="22"/>
      <c r="V2200" s="22"/>
      <c r="W2200" s="22"/>
      <c r="X2200" s="22"/>
    </row>
    <row r="2201" spans="17:24" x14ac:dyDescent="0.25">
      <c r="Q2201" s="22"/>
      <c r="R2201" s="22"/>
      <c r="S2201" s="22"/>
      <c r="T2201" s="22"/>
      <c r="U2201" s="22"/>
      <c r="V2201" s="22"/>
      <c r="W2201" s="22"/>
      <c r="X2201" s="22"/>
    </row>
    <row r="2202" spans="17:24" x14ac:dyDescent="0.25">
      <c r="Q2202" s="22"/>
      <c r="R2202" s="22"/>
      <c r="S2202" s="22"/>
      <c r="T2202" s="22"/>
      <c r="U2202" s="22"/>
      <c r="V2202" s="22"/>
      <c r="W2202" s="22"/>
      <c r="X2202" s="22"/>
    </row>
    <row r="2203" spans="17:24" x14ac:dyDescent="0.25">
      <c r="Q2203" s="22"/>
      <c r="R2203" s="22"/>
      <c r="S2203" s="22"/>
      <c r="T2203" s="22"/>
      <c r="U2203" s="22"/>
      <c r="V2203" s="22"/>
      <c r="W2203" s="22"/>
      <c r="X2203" s="22"/>
    </row>
    <row r="2204" spans="17:24" x14ac:dyDescent="0.25">
      <c r="Q2204" s="22"/>
      <c r="R2204" s="22"/>
      <c r="S2204" s="22"/>
      <c r="T2204" s="22"/>
      <c r="U2204" s="22"/>
      <c r="V2204" s="22"/>
      <c r="W2204" s="22"/>
      <c r="X2204" s="22"/>
    </row>
    <row r="2205" spans="17:24" x14ac:dyDescent="0.25">
      <c r="Q2205" s="22"/>
      <c r="R2205" s="22"/>
      <c r="S2205" s="22"/>
      <c r="T2205" s="22"/>
      <c r="U2205" s="22"/>
      <c r="V2205" s="22"/>
      <c r="W2205" s="22"/>
      <c r="X2205" s="22"/>
    </row>
    <row r="2206" spans="17:24" x14ac:dyDescent="0.25">
      <c r="Q2206" s="22"/>
      <c r="R2206" s="22"/>
      <c r="S2206" s="22"/>
      <c r="T2206" s="22"/>
      <c r="U2206" s="22"/>
      <c r="V2206" s="22"/>
      <c r="W2206" s="22"/>
      <c r="X2206" s="22"/>
    </row>
    <row r="2207" spans="17:24" x14ac:dyDescent="0.25">
      <c r="Q2207" s="22"/>
      <c r="R2207" s="22"/>
      <c r="S2207" s="22"/>
      <c r="T2207" s="22"/>
      <c r="U2207" s="22"/>
      <c r="V2207" s="22"/>
      <c r="W2207" s="22"/>
      <c r="X2207" s="22"/>
    </row>
    <row r="2208" spans="17:24" x14ac:dyDescent="0.25">
      <c r="Q2208" s="22"/>
      <c r="R2208" s="22"/>
      <c r="S2208" s="22"/>
      <c r="T2208" s="22"/>
      <c r="U2208" s="22"/>
      <c r="V2208" s="22"/>
      <c r="W2208" s="22"/>
      <c r="X2208" s="22"/>
    </row>
    <row r="2209" spans="17:24" x14ac:dyDescent="0.25">
      <c r="Q2209" s="22"/>
      <c r="R2209" s="22"/>
      <c r="S2209" s="22"/>
      <c r="T2209" s="22"/>
      <c r="U2209" s="22"/>
      <c r="V2209" s="22"/>
      <c r="W2209" s="22"/>
      <c r="X2209" s="22"/>
    </row>
    <row r="2210" spans="17:24" x14ac:dyDescent="0.25">
      <c r="Q2210" s="22"/>
      <c r="R2210" s="22"/>
      <c r="S2210" s="22"/>
      <c r="T2210" s="22"/>
      <c r="U2210" s="22"/>
      <c r="V2210" s="22"/>
      <c r="W2210" s="22"/>
      <c r="X2210" s="22"/>
    </row>
    <row r="2211" spans="17:24" x14ac:dyDescent="0.25">
      <c r="Q2211" s="22"/>
      <c r="R2211" s="22"/>
      <c r="S2211" s="22"/>
      <c r="T2211" s="22"/>
      <c r="U2211" s="22"/>
      <c r="V2211" s="22"/>
      <c r="W2211" s="22"/>
      <c r="X2211" s="22"/>
    </row>
    <row r="2212" spans="17:24" x14ac:dyDescent="0.25">
      <c r="Q2212" s="22"/>
      <c r="R2212" s="22"/>
      <c r="S2212" s="22"/>
      <c r="T2212" s="22"/>
      <c r="U2212" s="22"/>
      <c r="V2212" s="22"/>
      <c r="W2212" s="22"/>
      <c r="X2212" s="22"/>
    </row>
    <row r="2213" spans="17:24" x14ac:dyDescent="0.25">
      <c r="Q2213" s="22"/>
      <c r="R2213" s="22"/>
      <c r="S2213" s="22"/>
      <c r="T2213" s="22"/>
      <c r="U2213" s="22"/>
      <c r="V2213" s="22"/>
      <c r="W2213" s="22"/>
      <c r="X2213" s="22"/>
    </row>
    <row r="2214" spans="17:24" x14ac:dyDescent="0.25">
      <c r="Q2214" s="22"/>
      <c r="R2214" s="22"/>
      <c r="S2214" s="22"/>
      <c r="T2214" s="22"/>
      <c r="U2214" s="22"/>
      <c r="V2214" s="22"/>
      <c r="W2214" s="22"/>
      <c r="X2214" s="22"/>
    </row>
    <row r="2215" spans="17:24" x14ac:dyDescent="0.25">
      <c r="Q2215" s="22"/>
      <c r="R2215" s="22"/>
      <c r="S2215" s="22"/>
      <c r="T2215" s="22"/>
      <c r="U2215" s="22"/>
      <c r="V2215" s="22"/>
      <c r="W2215" s="22"/>
      <c r="X2215" s="22"/>
    </row>
    <row r="2216" spans="17:24" x14ac:dyDescent="0.25">
      <c r="Q2216" s="22"/>
      <c r="R2216" s="22"/>
      <c r="S2216" s="22"/>
      <c r="T2216" s="22"/>
      <c r="U2216" s="22"/>
      <c r="V2216" s="22"/>
      <c r="W2216" s="22"/>
      <c r="X2216" s="22"/>
    </row>
    <row r="2217" spans="17:24" x14ac:dyDescent="0.25">
      <c r="Q2217" s="22"/>
      <c r="R2217" s="22"/>
      <c r="S2217" s="22"/>
      <c r="T2217" s="22"/>
      <c r="U2217" s="22"/>
      <c r="V2217" s="22"/>
      <c r="W2217" s="22"/>
      <c r="X2217" s="22"/>
    </row>
    <row r="2218" spans="17:24" x14ac:dyDescent="0.25">
      <c r="Q2218" s="22"/>
      <c r="R2218" s="22"/>
      <c r="S2218" s="22"/>
      <c r="T2218" s="22"/>
      <c r="U2218" s="22"/>
      <c r="V2218" s="22"/>
      <c r="W2218" s="22"/>
      <c r="X2218" s="22"/>
    </row>
    <row r="2219" spans="17:24" x14ac:dyDescent="0.25">
      <c r="Q2219" s="22"/>
      <c r="R2219" s="22"/>
      <c r="S2219" s="22"/>
      <c r="T2219" s="22"/>
      <c r="U2219" s="22"/>
      <c r="V2219" s="22"/>
      <c r="W2219" s="22"/>
      <c r="X2219" s="22"/>
    </row>
    <row r="2220" spans="17:24" x14ac:dyDescent="0.25">
      <c r="Q2220" s="22"/>
      <c r="R2220" s="22"/>
      <c r="S2220" s="22"/>
      <c r="T2220" s="22"/>
      <c r="U2220" s="22"/>
      <c r="V2220" s="22"/>
      <c r="W2220" s="22"/>
      <c r="X2220" s="22"/>
    </row>
    <row r="2221" spans="17:24" x14ac:dyDescent="0.25">
      <c r="Q2221" s="22"/>
      <c r="R2221" s="22"/>
      <c r="S2221" s="22"/>
      <c r="T2221" s="22"/>
      <c r="U2221" s="22"/>
      <c r="V2221" s="22"/>
      <c r="W2221" s="22"/>
      <c r="X2221" s="22"/>
    </row>
    <row r="2222" spans="17:24" x14ac:dyDescent="0.25">
      <c r="Q2222" s="22"/>
      <c r="R2222" s="22"/>
      <c r="S2222" s="22"/>
      <c r="T2222" s="22"/>
      <c r="U2222" s="22"/>
      <c r="V2222" s="22"/>
      <c r="W2222" s="22"/>
      <c r="X2222" s="22"/>
    </row>
    <row r="2223" spans="17:24" x14ac:dyDescent="0.25">
      <c r="Q2223" s="22"/>
      <c r="R2223" s="22"/>
      <c r="S2223" s="22"/>
      <c r="T2223" s="22"/>
      <c r="U2223" s="22"/>
      <c r="V2223" s="22"/>
      <c r="W2223" s="22"/>
      <c r="X2223" s="22"/>
    </row>
    <row r="2224" spans="17:24" x14ac:dyDescent="0.25">
      <c r="Q2224" s="22"/>
      <c r="R2224" s="22"/>
      <c r="S2224" s="22"/>
      <c r="T2224" s="22"/>
      <c r="U2224" s="22"/>
      <c r="V2224" s="22"/>
      <c r="W2224" s="22"/>
      <c r="X2224" s="22"/>
    </row>
    <row r="2225" spans="17:24" x14ac:dyDescent="0.25">
      <c r="Q2225" s="22"/>
      <c r="R2225" s="22"/>
      <c r="S2225" s="22"/>
      <c r="T2225" s="22"/>
      <c r="U2225" s="22"/>
      <c r="V2225" s="22"/>
      <c r="W2225" s="22"/>
      <c r="X2225" s="22"/>
    </row>
    <row r="2226" spans="17:24" x14ac:dyDescent="0.25">
      <c r="Q2226" s="22"/>
      <c r="R2226" s="22"/>
      <c r="S2226" s="22"/>
      <c r="T2226" s="22"/>
      <c r="U2226" s="22"/>
      <c r="V2226" s="22"/>
      <c r="W2226" s="22"/>
      <c r="X2226" s="22"/>
    </row>
    <row r="2227" spans="17:24" x14ac:dyDescent="0.25">
      <c r="Q2227" s="22"/>
      <c r="R2227" s="22"/>
      <c r="S2227" s="22"/>
      <c r="T2227" s="22"/>
      <c r="U2227" s="22"/>
      <c r="V2227" s="22"/>
      <c r="W2227" s="22"/>
      <c r="X2227" s="22"/>
    </row>
    <row r="2228" spans="17:24" x14ac:dyDescent="0.25">
      <c r="Q2228" s="22"/>
      <c r="R2228" s="22"/>
      <c r="S2228" s="22"/>
      <c r="T2228" s="22"/>
      <c r="U2228" s="22"/>
      <c r="V2228" s="22"/>
      <c r="W2228" s="22"/>
      <c r="X2228" s="22"/>
    </row>
    <row r="2229" spans="17:24" x14ac:dyDescent="0.25">
      <c r="Q2229" s="22"/>
      <c r="R2229" s="22"/>
      <c r="S2229" s="22"/>
      <c r="T2229" s="22"/>
      <c r="U2229" s="22"/>
      <c r="V2229" s="22"/>
      <c r="W2229" s="22"/>
      <c r="X2229" s="22"/>
    </row>
    <row r="2230" spans="17:24" x14ac:dyDescent="0.25">
      <c r="Q2230" s="22"/>
      <c r="R2230" s="22"/>
      <c r="S2230" s="22"/>
      <c r="T2230" s="22"/>
      <c r="U2230" s="22"/>
      <c r="V2230" s="22"/>
      <c r="W2230" s="22"/>
      <c r="X2230" s="22"/>
    </row>
    <row r="2231" spans="17:24" x14ac:dyDescent="0.25">
      <c r="Q2231" s="22"/>
      <c r="R2231" s="22"/>
      <c r="S2231" s="22"/>
      <c r="T2231" s="22"/>
      <c r="U2231" s="22"/>
      <c r="V2231" s="22"/>
      <c r="W2231" s="22"/>
      <c r="X2231" s="22"/>
    </row>
    <row r="2232" spans="17:24" x14ac:dyDescent="0.25">
      <c r="Q2232" s="22"/>
      <c r="R2232" s="22"/>
      <c r="S2232" s="22"/>
      <c r="T2232" s="22"/>
      <c r="U2232" s="22"/>
      <c r="V2232" s="22"/>
      <c r="W2232" s="22"/>
      <c r="X2232" s="22"/>
    </row>
    <row r="2233" spans="17:24" x14ac:dyDescent="0.25">
      <c r="Q2233" s="22"/>
      <c r="R2233" s="22"/>
      <c r="S2233" s="22"/>
      <c r="T2233" s="22"/>
      <c r="U2233" s="22"/>
      <c r="V2233" s="22"/>
      <c r="W2233" s="22"/>
      <c r="X2233" s="22"/>
    </row>
    <row r="2234" spans="17:24" x14ac:dyDescent="0.25">
      <c r="Q2234" s="22"/>
      <c r="R2234" s="22"/>
      <c r="S2234" s="22"/>
      <c r="T2234" s="22"/>
      <c r="U2234" s="22"/>
      <c r="V2234" s="22"/>
      <c r="W2234" s="22"/>
      <c r="X2234" s="22"/>
    </row>
    <row r="2235" spans="17:24" x14ac:dyDescent="0.25">
      <c r="Q2235" s="22"/>
      <c r="R2235" s="22"/>
      <c r="S2235" s="22"/>
      <c r="T2235" s="22"/>
      <c r="U2235" s="22"/>
      <c r="V2235" s="22"/>
      <c r="W2235" s="22"/>
      <c r="X2235" s="22"/>
    </row>
    <row r="2236" spans="17:24" x14ac:dyDescent="0.25">
      <c r="Q2236" s="22"/>
      <c r="R2236" s="22"/>
      <c r="S2236" s="22"/>
      <c r="T2236" s="22"/>
      <c r="U2236" s="22"/>
      <c r="V2236" s="22"/>
      <c r="W2236" s="22"/>
      <c r="X2236" s="22"/>
    </row>
    <row r="2237" spans="17:24" x14ac:dyDescent="0.25">
      <c r="Q2237" s="22"/>
      <c r="R2237" s="22"/>
      <c r="S2237" s="22"/>
      <c r="T2237" s="22"/>
      <c r="U2237" s="22"/>
      <c r="V2237" s="22"/>
      <c r="W2237" s="22"/>
      <c r="X2237" s="22"/>
    </row>
    <row r="2238" spans="17:24" x14ac:dyDescent="0.25">
      <c r="Q2238" s="22"/>
      <c r="R2238" s="22"/>
      <c r="S2238" s="22"/>
      <c r="T2238" s="22"/>
      <c r="U2238" s="22"/>
      <c r="V2238" s="22"/>
      <c r="W2238" s="22"/>
      <c r="X2238" s="22"/>
    </row>
    <row r="2239" spans="17:24" x14ac:dyDescent="0.25">
      <c r="Q2239" s="22"/>
      <c r="R2239" s="22"/>
      <c r="S2239" s="22"/>
      <c r="T2239" s="22"/>
      <c r="U2239" s="22"/>
      <c r="V2239" s="22"/>
      <c r="W2239" s="22"/>
      <c r="X2239" s="22"/>
    </row>
    <row r="2240" spans="17:24" x14ac:dyDescent="0.25">
      <c r="Q2240" s="22"/>
      <c r="R2240" s="22"/>
      <c r="S2240" s="22"/>
      <c r="T2240" s="22"/>
      <c r="U2240" s="22"/>
      <c r="V2240" s="22"/>
      <c r="W2240" s="22"/>
      <c r="X2240" s="22"/>
    </row>
    <row r="2241" spans="17:24" x14ac:dyDescent="0.25">
      <c r="Q2241" s="22"/>
      <c r="R2241" s="22"/>
      <c r="S2241" s="22"/>
      <c r="T2241" s="22"/>
      <c r="U2241" s="22"/>
      <c r="V2241" s="22"/>
      <c r="W2241" s="22"/>
      <c r="X2241" s="22"/>
    </row>
    <row r="2242" spans="17:24" x14ac:dyDescent="0.25">
      <c r="Q2242" s="22"/>
      <c r="R2242" s="22"/>
      <c r="S2242" s="22"/>
      <c r="T2242" s="22"/>
      <c r="U2242" s="22"/>
      <c r="V2242" s="22"/>
      <c r="W2242" s="22"/>
      <c r="X2242" s="22"/>
    </row>
    <row r="2243" spans="17:24" x14ac:dyDescent="0.25">
      <c r="Q2243" s="22"/>
      <c r="R2243" s="22"/>
      <c r="S2243" s="22"/>
      <c r="T2243" s="22"/>
      <c r="U2243" s="22"/>
      <c r="V2243" s="22"/>
      <c r="W2243" s="22"/>
      <c r="X2243" s="22"/>
    </row>
    <row r="2244" spans="17:24" x14ac:dyDescent="0.25">
      <c r="Q2244" s="22"/>
      <c r="R2244" s="22"/>
      <c r="S2244" s="22"/>
      <c r="T2244" s="22"/>
      <c r="U2244" s="22"/>
      <c r="V2244" s="22"/>
      <c r="W2244" s="22"/>
      <c r="X2244" s="22"/>
    </row>
    <row r="2245" spans="17:24" x14ac:dyDescent="0.25">
      <c r="Q2245" s="22"/>
      <c r="R2245" s="22"/>
      <c r="S2245" s="22"/>
      <c r="T2245" s="22"/>
      <c r="U2245" s="22"/>
      <c r="V2245" s="22"/>
      <c r="W2245" s="22"/>
      <c r="X2245" s="22"/>
    </row>
    <row r="2246" spans="17:24" x14ac:dyDescent="0.25">
      <c r="Q2246" s="22"/>
      <c r="R2246" s="22"/>
      <c r="S2246" s="22"/>
      <c r="T2246" s="22"/>
      <c r="U2246" s="22"/>
      <c r="V2246" s="22"/>
      <c r="W2246" s="22"/>
      <c r="X2246" s="22"/>
    </row>
    <row r="2247" spans="17:24" x14ac:dyDescent="0.25">
      <c r="Q2247" s="22"/>
      <c r="R2247" s="22"/>
      <c r="S2247" s="22"/>
      <c r="T2247" s="22"/>
      <c r="U2247" s="22"/>
      <c r="V2247" s="22"/>
      <c r="W2247" s="22"/>
      <c r="X2247" s="22"/>
    </row>
    <row r="2248" spans="17:24" x14ac:dyDescent="0.25">
      <c r="Q2248" s="22"/>
      <c r="R2248" s="22"/>
      <c r="S2248" s="22"/>
      <c r="T2248" s="22"/>
      <c r="U2248" s="22"/>
      <c r="V2248" s="22"/>
      <c r="W2248" s="22"/>
      <c r="X2248" s="22"/>
    </row>
    <row r="2249" spans="17:24" x14ac:dyDescent="0.25">
      <c r="Q2249" s="22"/>
      <c r="R2249" s="22"/>
      <c r="S2249" s="22"/>
      <c r="T2249" s="22"/>
      <c r="U2249" s="22"/>
      <c r="V2249" s="22"/>
      <c r="W2249" s="22"/>
      <c r="X2249" s="22"/>
    </row>
    <row r="2250" spans="17:24" x14ac:dyDescent="0.25">
      <c r="Q2250" s="22"/>
      <c r="R2250" s="22"/>
      <c r="S2250" s="22"/>
      <c r="T2250" s="22"/>
      <c r="U2250" s="22"/>
      <c r="V2250" s="22"/>
      <c r="W2250" s="22"/>
      <c r="X2250" s="22"/>
    </row>
    <row r="2251" spans="17:24" x14ac:dyDescent="0.25">
      <c r="Q2251" s="22"/>
      <c r="R2251" s="22"/>
      <c r="S2251" s="22"/>
      <c r="T2251" s="22"/>
      <c r="U2251" s="22"/>
      <c r="V2251" s="22"/>
      <c r="W2251" s="22"/>
      <c r="X2251" s="22"/>
    </row>
    <row r="2252" spans="17:24" x14ac:dyDescent="0.25">
      <c r="Q2252" s="22"/>
      <c r="R2252" s="22"/>
      <c r="S2252" s="22"/>
      <c r="T2252" s="22"/>
      <c r="U2252" s="22"/>
      <c r="V2252" s="22"/>
      <c r="W2252" s="22"/>
      <c r="X2252" s="22"/>
    </row>
    <row r="2253" spans="17:24" x14ac:dyDescent="0.25">
      <c r="Q2253" s="22"/>
      <c r="R2253" s="22"/>
      <c r="S2253" s="22"/>
      <c r="T2253" s="22"/>
      <c r="U2253" s="22"/>
      <c r="V2253" s="22"/>
      <c r="W2253" s="22"/>
      <c r="X2253" s="22"/>
    </row>
    <row r="2254" spans="17:24" x14ac:dyDescent="0.25">
      <c r="Q2254" s="22"/>
      <c r="R2254" s="22"/>
      <c r="S2254" s="22"/>
      <c r="T2254" s="22"/>
      <c r="U2254" s="22"/>
      <c r="V2254" s="22"/>
      <c r="W2254" s="22"/>
      <c r="X2254" s="22"/>
    </row>
    <row r="2255" spans="17:24" x14ac:dyDescent="0.25">
      <c r="Q2255" s="22"/>
      <c r="R2255" s="22"/>
      <c r="S2255" s="22"/>
      <c r="T2255" s="22"/>
      <c r="U2255" s="22"/>
      <c r="V2255" s="22"/>
      <c r="W2255" s="22"/>
      <c r="X2255" s="22"/>
    </row>
    <row r="2256" spans="17:24" x14ac:dyDescent="0.25">
      <c r="Q2256" s="22"/>
      <c r="R2256" s="22"/>
      <c r="S2256" s="22"/>
      <c r="T2256" s="22"/>
      <c r="U2256" s="22"/>
      <c r="V2256" s="22"/>
      <c r="W2256" s="22"/>
      <c r="X2256" s="22"/>
    </row>
    <row r="2257" spans="17:24" x14ac:dyDescent="0.25">
      <c r="Q2257" s="22"/>
      <c r="R2257" s="22"/>
      <c r="S2257" s="22"/>
      <c r="T2257" s="22"/>
      <c r="U2257" s="22"/>
      <c r="V2257" s="22"/>
      <c r="W2257" s="22"/>
      <c r="X2257" s="22"/>
    </row>
    <row r="2258" spans="17:24" x14ac:dyDescent="0.25">
      <c r="Q2258" s="22"/>
      <c r="R2258" s="22"/>
      <c r="S2258" s="22"/>
      <c r="T2258" s="22"/>
      <c r="U2258" s="22"/>
      <c r="V2258" s="22"/>
      <c r="W2258" s="22"/>
      <c r="X2258" s="22"/>
    </row>
    <row r="2259" spans="17:24" x14ac:dyDescent="0.25">
      <c r="Q2259" s="22"/>
      <c r="R2259" s="22"/>
      <c r="S2259" s="22"/>
      <c r="T2259" s="22"/>
      <c r="U2259" s="22"/>
      <c r="V2259" s="22"/>
      <c r="W2259" s="22"/>
      <c r="X2259" s="22"/>
    </row>
    <row r="2260" spans="17:24" x14ac:dyDescent="0.25">
      <c r="Q2260" s="22"/>
      <c r="R2260" s="22"/>
      <c r="S2260" s="22"/>
      <c r="T2260" s="22"/>
      <c r="U2260" s="22"/>
      <c r="V2260" s="22"/>
      <c r="W2260" s="22"/>
      <c r="X2260" s="22"/>
    </row>
    <row r="2261" spans="17:24" x14ac:dyDescent="0.25">
      <c r="Q2261" s="22"/>
      <c r="R2261" s="22"/>
      <c r="S2261" s="22"/>
      <c r="T2261" s="22"/>
      <c r="U2261" s="22"/>
      <c r="V2261" s="22"/>
      <c r="W2261" s="22"/>
      <c r="X2261" s="22"/>
    </row>
    <row r="2262" spans="17:24" x14ac:dyDescent="0.25">
      <c r="Q2262" s="22"/>
      <c r="R2262" s="22"/>
      <c r="S2262" s="22"/>
      <c r="T2262" s="22"/>
      <c r="U2262" s="22"/>
      <c r="V2262" s="22"/>
      <c r="W2262" s="22"/>
      <c r="X2262" s="22"/>
    </row>
    <row r="2263" spans="17:24" x14ac:dyDescent="0.25">
      <c r="Q2263" s="22"/>
      <c r="R2263" s="22"/>
      <c r="S2263" s="22"/>
      <c r="T2263" s="22"/>
      <c r="U2263" s="22"/>
      <c r="V2263" s="22"/>
      <c r="W2263" s="22"/>
      <c r="X2263" s="22"/>
    </row>
    <row r="2264" spans="17:24" x14ac:dyDescent="0.25">
      <c r="Q2264" s="22"/>
      <c r="R2264" s="22"/>
      <c r="S2264" s="22"/>
      <c r="T2264" s="22"/>
      <c r="U2264" s="22"/>
      <c r="V2264" s="22"/>
      <c r="W2264" s="22"/>
      <c r="X2264" s="22"/>
    </row>
    <row r="2265" spans="17:24" x14ac:dyDescent="0.25">
      <c r="Q2265" s="22"/>
      <c r="R2265" s="22"/>
      <c r="S2265" s="22"/>
      <c r="T2265" s="22"/>
      <c r="U2265" s="22"/>
      <c r="V2265" s="22"/>
      <c r="W2265" s="22"/>
      <c r="X2265" s="22"/>
    </row>
    <row r="2266" spans="17:24" x14ac:dyDescent="0.25">
      <c r="Q2266" s="22"/>
      <c r="R2266" s="22"/>
      <c r="S2266" s="22"/>
      <c r="T2266" s="22"/>
      <c r="U2266" s="22"/>
      <c r="V2266" s="22"/>
      <c r="W2266" s="22"/>
      <c r="X2266" s="22"/>
    </row>
    <row r="2267" spans="17:24" x14ac:dyDescent="0.25">
      <c r="Q2267" s="22"/>
      <c r="R2267" s="22"/>
      <c r="S2267" s="22"/>
      <c r="T2267" s="22"/>
      <c r="U2267" s="22"/>
      <c r="V2267" s="22"/>
      <c r="W2267" s="22"/>
      <c r="X2267" s="22"/>
    </row>
    <row r="2268" spans="17:24" x14ac:dyDescent="0.25">
      <c r="Q2268" s="22"/>
      <c r="R2268" s="22"/>
      <c r="S2268" s="22"/>
      <c r="T2268" s="22"/>
      <c r="U2268" s="22"/>
      <c r="V2268" s="22"/>
      <c r="W2268" s="22"/>
      <c r="X2268" s="22"/>
    </row>
    <row r="2269" spans="17:24" x14ac:dyDescent="0.25">
      <c r="Q2269" s="22"/>
      <c r="R2269" s="22"/>
      <c r="S2269" s="22"/>
      <c r="T2269" s="22"/>
      <c r="U2269" s="22"/>
      <c r="V2269" s="22"/>
      <c r="W2269" s="22"/>
      <c r="X2269" s="22"/>
    </row>
    <row r="2270" spans="17:24" x14ac:dyDescent="0.25">
      <c r="Q2270" s="22"/>
      <c r="R2270" s="22"/>
      <c r="S2270" s="22"/>
      <c r="T2270" s="22"/>
      <c r="U2270" s="22"/>
      <c r="V2270" s="22"/>
      <c r="W2270" s="22"/>
      <c r="X2270" s="22"/>
    </row>
    <row r="2271" spans="17:24" x14ac:dyDescent="0.25">
      <c r="Q2271" s="22"/>
      <c r="R2271" s="22"/>
      <c r="S2271" s="22"/>
      <c r="T2271" s="22"/>
      <c r="U2271" s="22"/>
      <c r="V2271" s="22"/>
      <c r="W2271" s="22"/>
      <c r="X2271" s="22"/>
    </row>
    <row r="2272" spans="17:24" x14ac:dyDescent="0.25">
      <c r="Q2272" s="22"/>
      <c r="R2272" s="22"/>
      <c r="S2272" s="22"/>
      <c r="T2272" s="22"/>
      <c r="U2272" s="22"/>
      <c r="V2272" s="22"/>
      <c r="W2272" s="22"/>
      <c r="X2272" s="22"/>
    </row>
    <row r="2273" spans="17:24" x14ac:dyDescent="0.25">
      <c r="Q2273" s="22"/>
      <c r="R2273" s="22"/>
      <c r="S2273" s="22"/>
      <c r="T2273" s="22"/>
      <c r="U2273" s="22"/>
      <c r="V2273" s="22"/>
      <c r="W2273" s="22"/>
      <c r="X2273" s="22"/>
    </row>
    <row r="2274" spans="17:24" x14ac:dyDescent="0.25">
      <c r="Q2274" s="22"/>
      <c r="R2274" s="22"/>
      <c r="S2274" s="22"/>
      <c r="T2274" s="22"/>
      <c r="U2274" s="22"/>
      <c r="V2274" s="22"/>
      <c r="W2274" s="22"/>
      <c r="X2274" s="22"/>
    </row>
    <row r="2275" spans="17:24" x14ac:dyDescent="0.25">
      <c r="Q2275" s="22"/>
      <c r="R2275" s="22"/>
      <c r="S2275" s="22"/>
      <c r="T2275" s="22"/>
      <c r="U2275" s="22"/>
      <c r="V2275" s="22"/>
      <c r="W2275" s="22"/>
      <c r="X2275" s="22"/>
    </row>
    <row r="2276" spans="17:24" x14ac:dyDescent="0.25">
      <c r="Q2276" s="22"/>
      <c r="R2276" s="22"/>
      <c r="S2276" s="22"/>
      <c r="T2276" s="22"/>
      <c r="U2276" s="22"/>
      <c r="V2276" s="22"/>
      <c r="W2276" s="22"/>
      <c r="X2276" s="22"/>
    </row>
    <row r="2277" spans="17:24" x14ac:dyDescent="0.25">
      <c r="Q2277" s="22"/>
      <c r="R2277" s="22"/>
      <c r="S2277" s="22"/>
      <c r="T2277" s="22"/>
      <c r="U2277" s="22"/>
      <c r="V2277" s="22"/>
      <c r="W2277" s="22"/>
      <c r="X2277" s="22"/>
    </row>
    <row r="2278" spans="17:24" x14ac:dyDescent="0.25">
      <c r="Q2278" s="22"/>
      <c r="R2278" s="22"/>
      <c r="S2278" s="22"/>
      <c r="T2278" s="22"/>
      <c r="U2278" s="22"/>
      <c r="V2278" s="22"/>
      <c r="W2278" s="22"/>
      <c r="X2278" s="22"/>
    </row>
    <row r="2279" spans="17:24" x14ac:dyDescent="0.25">
      <c r="Q2279" s="22"/>
      <c r="R2279" s="22"/>
      <c r="S2279" s="22"/>
      <c r="T2279" s="22"/>
      <c r="U2279" s="22"/>
      <c r="V2279" s="22"/>
      <c r="W2279" s="22"/>
      <c r="X2279" s="22"/>
    </row>
    <row r="2280" spans="17:24" x14ac:dyDescent="0.25">
      <c r="Q2280" s="22"/>
      <c r="R2280" s="22"/>
      <c r="S2280" s="22"/>
      <c r="T2280" s="22"/>
      <c r="U2280" s="22"/>
      <c r="V2280" s="22"/>
      <c r="W2280" s="22"/>
      <c r="X2280" s="22"/>
    </row>
    <row r="2281" spans="17:24" x14ac:dyDescent="0.25">
      <c r="Q2281" s="22"/>
      <c r="R2281" s="22"/>
      <c r="S2281" s="22"/>
      <c r="T2281" s="22"/>
      <c r="U2281" s="22"/>
      <c r="V2281" s="22"/>
      <c r="W2281" s="22"/>
      <c r="X2281" s="22"/>
    </row>
    <row r="2282" spans="17:24" x14ac:dyDescent="0.25">
      <c r="Q2282" s="22"/>
      <c r="R2282" s="22"/>
      <c r="S2282" s="22"/>
      <c r="T2282" s="22"/>
      <c r="U2282" s="22"/>
      <c r="V2282" s="22"/>
      <c r="W2282" s="22"/>
      <c r="X2282" s="22"/>
    </row>
    <row r="2283" spans="17:24" x14ac:dyDescent="0.25">
      <c r="Q2283" s="22"/>
      <c r="R2283" s="22"/>
      <c r="S2283" s="22"/>
      <c r="T2283" s="22"/>
      <c r="U2283" s="22"/>
      <c r="V2283" s="22"/>
      <c r="W2283" s="22"/>
      <c r="X2283" s="22"/>
    </row>
    <row r="2284" spans="17:24" x14ac:dyDescent="0.25">
      <c r="Q2284" s="22"/>
      <c r="R2284" s="22"/>
      <c r="S2284" s="22"/>
      <c r="T2284" s="22"/>
      <c r="U2284" s="22"/>
      <c r="V2284" s="22"/>
      <c r="W2284" s="22"/>
      <c r="X2284" s="22"/>
    </row>
    <row r="2285" spans="17:24" x14ac:dyDescent="0.25">
      <c r="Q2285" s="22"/>
      <c r="R2285" s="22"/>
      <c r="S2285" s="22"/>
      <c r="T2285" s="22"/>
      <c r="U2285" s="22"/>
      <c r="V2285" s="22"/>
      <c r="W2285" s="22"/>
      <c r="X2285" s="22"/>
    </row>
    <row r="2286" spans="17:24" x14ac:dyDescent="0.25">
      <c r="Q2286" s="22"/>
      <c r="R2286" s="22"/>
      <c r="S2286" s="22"/>
      <c r="T2286" s="22"/>
      <c r="U2286" s="22"/>
      <c r="V2286" s="22"/>
      <c r="W2286" s="22"/>
      <c r="X2286" s="22"/>
    </row>
    <row r="2287" spans="17:24" x14ac:dyDescent="0.25">
      <c r="Q2287" s="22"/>
      <c r="R2287" s="22"/>
      <c r="S2287" s="22"/>
      <c r="T2287" s="22"/>
      <c r="U2287" s="22"/>
      <c r="V2287" s="22"/>
      <c r="W2287" s="22"/>
      <c r="X2287" s="22"/>
    </row>
    <row r="2288" spans="17:24" x14ac:dyDescent="0.25">
      <c r="Q2288" s="22"/>
      <c r="R2288" s="22"/>
      <c r="S2288" s="22"/>
      <c r="T2288" s="22"/>
      <c r="U2288" s="22"/>
      <c r="V2288" s="22"/>
      <c r="W2288" s="22"/>
      <c r="X2288" s="22"/>
    </row>
    <row r="2289" spans="17:24" x14ac:dyDescent="0.25">
      <c r="Q2289" s="22"/>
      <c r="R2289" s="22"/>
      <c r="S2289" s="22"/>
      <c r="T2289" s="22"/>
      <c r="U2289" s="22"/>
      <c r="V2289" s="22"/>
      <c r="W2289" s="22"/>
      <c r="X2289" s="22"/>
    </row>
    <row r="2290" spans="17:24" x14ac:dyDescent="0.25">
      <c r="Q2290" s="22"/>
      <c r="R2290" s="22"/>
      <c r="S2290" s="22"/>
      <c r="T2290" s="22"/>
      <c r="U2290" s="22"/>
      <c r="V2290" s="22"/>
      <c r="W2290" s="22"/>
      <c r="X2290" s="22"/>
    </row>
    <row r="2291" spans="17:24" x14ac:dyDescent="0.25">
      <c r="Q2291" s="22"/>
      <c r="R2291" s="22"/>
      <c r="S2291" s="22"/>
      <c r="T2291" s="22"/>
      <c r="U2291" s="22"/>
      <c r="V2291" s="22"/>
      <c r="W2291" s="22"/>
      <c r="X2291" s="22"/>
    </row>
    <row r="2292" spans="17:24" x14ac:dyDescent="0.25">
      <c r="Q2292" s="22"/>
      <c r="R2292" s="22"/>
      <c r="S2292" s="22"/>
      <c r="T2292" s="22"/>
      <c r="U2292" s="22"/>
      <c r="V2292" s="22"/>
      <c r="W2292" s="22"/>
      <c r="X2292" s="22"/>
    </row>
    <row r="2293" spans="17:24" x14ac:dyDescent="0.25">
      <c r="Q2293" s="22"/>
      <c r="R2293" s="22"/>
      <c r="S2293" s="22"/>
      <c r="T2293" s="22"/>
      <c r="U2293" s="22"/>
      <c r="V2293" s="22"/>
      <c r="W2293" s="22"/>
      <c r="X2293" s="22"/>
    </row>
    <row r="2294" spans="17:24" x14ac:dyDescent="0.25">
      <c r="Q2294" s="22"/>
      <c r="R2294" s="22"/>
      <c r="S2294" s="22"/>
      <c r="T2294" s="22"/>
      <c r="U2294" s="22"/>
      <c r="V2294" s="22"/>
      <c r="W2294" s="22"/>
      <c r="X2294" s="22"/>
    </row>
    <row r="2295" spans="17:24" x14ac:dyDescent="0.25">
      <c r="Q2295" s="22"/>
      <c r="R2295" s="22"/>
      <c r="S2295" s="22"/>
      <c r="T2295" s="22"/>
      <c r="U2295" s="22"/>
      <c r="V2295" s="22"/>
      <c r="W2295" s="22"/>
      <c r="X2295" s="22"/>
    </row>
    <row r="2296" spans="17:24" x14ac:dyDescent="0.25">
      <c r="Q2296" s="22"/>
      <c r="R2296" s="22"/>
      <c r="S2296" s="22"/>
      <c r="T2296" s="22"/>
      <c r="U2296" s="22"/>
      <c r="V2296" s="22"/>
      <c r="W2296" s="22"/>
      <c r="X2296" s="22"/>
    </row>
    <row r="2297" spans="17:24" x14ac:dyDescent="0.25">
      <c r="Q2297" s="22"/>
      <c r="R2297" s="22"/>
      <c r="S2297" s="22"/>
      <c r="T2297" s="22"/>
      <c r="U2297" s="22"/>
      <c r="V2297" s="22"/>
      <c r="W2297" s="22"/>
      <c r="X2297" s="22"/>
    </row>
    <row r="2298" spans="17:24" x14ac:dyDescent="0.25">
      <c r="Q2298" s="22"/>
      <c r="R2298" s="22"/>
      <c r="S2298" s="22"/>
      <c r="T2298" s="22"/>
      <c r="U2298" s="22"/>
      <c r="V2298" s="22"/>
      <c r="W2298" s="22"/>
      <c r="X2298" s="22"/>
    </row>
    <row r="2299" spans="17:24" x14ac:dyDescent="0.25">
      <c r="Q2299" s="22"/>
      <c r="R2299" s="22"/>
      <c r="S2299" s="22"/>
      <c r="T2299" s="22"/>
      <c r="U2299" s="22"/>
      <c r="V2299" s="22"/>
      <c r="W2299" s="22"/>
      <c r="X2299" s="22"/>
    </row>
    <row r="2300" spans="17:24" x14ac:dyDescent="0.25">
      <c r="Q2300" s="22"/>
      <c r="R2300" s="22"/>
      <c r="S2300" s="22"/>
      <c r="T2300" s="22"/>
      <c r="U2300" s="22"/>
      <c r="V2300" s="22"/>
      <c r="W2300" s="22"/>
      <c r="X2300" s="22"/>
    </row>
    <row r="2301" spans="17:24" x14ac:dyDescent="0.25">
      <c r="Q2301" s="22"/>
      <c r="R2301" s="22"/>
      <c r="S2301" s="22"/>
      <c r="T2301" s="22"/>
      <c r="U2301" s="22"/>
      <c r="V2301" s="22"/>
      <c r="W2301" s="22"/>
      <c r="X2301" s="22"/>
    </row>
    <row r="2302" spans="17:24" x14ac:dyDescent="0.25">
      <c r="Q2302" s="22"/>
      <c r="R2302" s="22"/>
      <c r="S2302" s="22"/>
      <c r="T2302" s="22"/>
      <c r="U2302" s="22"/>
      <c r="V2302" s="22"/>
      <c r="W2302" s="22"/>
      <c r="X2302" s="22"/>
    </row>
    <row r="2303" spans="17:24" x14ac:dyDescent="0.25">
      <c r="Q2303" s="22"/>
      <c r="R2303" s="22"/>
      <c r="S2303" s="22"/>
      <c r="T2303" s="22"/>
      <c r="U2303" s="22"/>
      <c r="V2303" s="22"/>
      <c r="W2303" s="22"/>
      <c r="X2303" s="22"/>
    </row>
    <row r="2304" spans="17:24" x14ac:dyDescent="0.25">
      <c r="Q2304" s="22"/>
      <c r="R2304" s="22"/>
      <c r="S2304" s="22"/>
      <c r="T2304" s="22"/>
      <c r="U2304" s="22"/>
      <c r="V2304" s="22"/>
      <c r="W2304" s="22"/>
      <c r="X2304" s="22"/>
    </row>
    <row r="2305" spans="17:24" x14ac:dyDescent="0.25">
      <c r="Q2305" s="22"/>
      <c r="R2305" s="22"/>
      <c r="S2305" s="22"/>
      <c r="T2305" s="22"/>
      <c r="U2305" s="22"/>
      <c r="V2305" s="22"/>
      <c r="W2305" s="22"/>
      <c r="X2305" s="22"/>
    </row>
    <row r="2306" spans="17:24" x14ac:dyDescent="0.25">
      <c r="Q2306" s="22"/>
      <c r="R2306" s="22"/>
      <c r="S2306" s="22"/>
      <c r="T2306" s="22"/>
      <c r="U2306" s="22"/>
      <c r="V2306" s="22"/>
      <c r="W2306" s="22"/>
      <c r="X2306" s="22"/>
    </row>
    <row r="2307" spans="17:24" x14ac:dyDescent="0.25">
      <c r="Q2307" s="22"/>
      <c r="R2307" s="22"/>
      <c r="S2307" s="22"/>
      <c r="T2307" s="22"/>
      <c r="U2307" s="22"/>
      <c r="V2307" s="22"/>
      <c r="W2307" s="22"/>
      <c r="X2307" s="22"/>
    </row>
    <row r="2308" spans="17:24" x14ac:dyDescent="0.25">
      <c r="Q2308" s="22"/>
      <c r="R2308" s="22"/>
      <c r="S2308" s="22"/>
      <c r="T2308" s="22"/>
      <c r="U2308" s="22"/>
      <c r="V2308" s="22"/>
      <c r="W2308" s="22"/>
      <c r="X2308" s="22"/>
    </row>
    <row r="2309" spans="17:24" x14ac:dyDescent="0.25">
      <c r="Q2309" s="22"/>
      <c r="R2309" s="22"/>
      <c r="S2309" s="22"/>
      <c r="T2309" s="22"/>
      <c r="U2309" s="22"/>
      <c r="V2309" s="22"/>
      <c r="W2309" s="22"/>
      <c r="X2309" s="22"/>
    </row>
    <row r="2310" spans="17:24" x14ac:dyDescent="0.25">
      <c r="Q2310" s="22"/>
      <c r="R2310" s="22"/>
      <c r="S2310" s="22"/>
      <c r="T2310" s="22"/>
      <c r="U2310" s="22"/>
      <c r="V2310" s="22"/>
      <c r="W2310" s="22"/>
      <c r="X2310" s="22"/>
    </row>
    <row r="2311" spans="17:24" x14ac:dyDescent="0.25">
      <c r="Q2311" s="22"/>
      <c r="R2311" s="22"/>
      <c r="S2311" s="22"/>
      <c r="T2311" s="22"/>
      <c r="U2311" s="22"/>
      <c r="V2311" s="22"/>
      <c r="W2311" s="22"/>
      <c r="X2311" s="22"/>
    </row>
    <row r="2312" spans="17:24" x14ac:dyDescent="0.25">
      <c r="Q2312" s="22"/>
      <c r="R2312" s="22"/>
      <c r="S2312" s="22"/>
      <c r="T2312" s="22"/>
      <c r="U2312" s="22"/>
      <c r="V2312" s="22"/>
      <c r="W2312" s="22"/>
      <c r="X2312" s="22"/>
    </row>
    <row r="2313" spans="17:24" x14ac:dyDescent="0.25">
      <c r="Q2313" s="22"/>
      <c r="R2313" s="22"/>
      <c r="S2313" s="22"/>
      <c r="T2313" s="22"/>
      <c r="U2313" s="22"/>
      <c r="V2313" s="22"/>
      <c r="W2313" s="22"/>
      <c r="X2313" s="22"/>
    </row>
    <row r="2314" spans="17:24" x14ac:dyDescent="0.25">
      <c r="Q2314" s="22"/>
      <c r="R2314" s="22"/>
      <c r="S2314" s="22"/>
      <c r="T2314" s="22"/>
      <c r="U2314" s="22"/>
      <c r="V2314" s="22"/>
      <c r="W2314" s="22"/>
      <c r="X2314" s="22"/>
    </row>
    <row r="2315" spans="17:24" x14ac:dyDescent="0.25">
      <c r="Q2315" s="22"/>
      <c r="R2315" s="22"/>
      <c r="S2315" s="22"/>
      <c r="T2315" s="22"/>
      <c r="U2315" s="22"/>
      <c r="V2315" s="22"/>
      <c r="W2315" s="22"/>
      <c r="X2315" s="22"/>
    </row>
    <row r="2316" spans="17:24" x14ac:dyDescent="0.25">
      <c r="Q2316" s="22"/>
      <c r="R2316" s="22"/>
      <c r="S2316" s="22"/>
      <c r="T2316" s="22"/>
      <c r="U2316" s="22"/>
      <c r="V2316" s="22"/>
      <c r="W2316" s="22"/>
      <c r="X2316" s="22"/>
    </row>
    <row r="2317" spans="17:24" x14ac:dyDescent="0.25">
      <c r="Q2317" s="22"/>
      <c r="R2317" s="22"/>
      <c r="S2317" s="22"/>
      <c r="T2317" s="22"/>
      <c r="U2317" s="22"/>
      <c r="V2317" s="22"/>
      <c r="W2317" s="22"/>
      <c r="X2317" s="22"/>
    </row>
    <row r="2318" spans="17:24" x14ac:dyDescent="0.25">
      <c r="Q2318" s="22"/>
      <c r="R2318" s="22"/>
      <c r="S2318" s="22"/>
      <c r="T2318" s="22"/>
      <c r="U2318" s="22"/>
      <c r="V2318" s="22"/>
      <c r="W2318" s="22"/>
      <c r="X2318" s="22"/>
    </row>
    <row r="2319" spans="17:24" x14ac:dyDescent="0.25">
      <c r="Q2319" s="22"/>
      <c r="R2319" s="22"/>
      <c r="S2319" s="22"/>
      <c r="T2319" s="22"/>
      <c r="U2319" s="22"/>
      <c r="V2319" s="22"/>
      <c r="W2319" s="22"/>
      <c r="X2319" s="22"/>
    </row>
    <row r="2320" spans="17:24" x14ac:dyDescent="0.25">
      <c r="Q2320" s="22"/>
      <c r="R2320" s="22"/>
      <c r="S2320" s="22"/>
      <c r="T2320" s="22"/>
      <c r="U2320" s="22"/>
      <c r="V2320" s="22"/>
      <c r="W2320" s="22"/>
      <c r="X2320" s="22"/>
    </row>
    <row r="2321" spans="17:24" x14ac:dyDescent="0.25">
      <c r="Q2321" s="22"/>
      <c r="R2321" s="22"/>
      <c r="S2321" s="22"/>
      <c r="T2321" s="22"/>
      <c r="U2321" s="22"/>
      <c r="V2321" s="22"/>
      <c r="W2321" s="22"/>
      <c r="X2321" s="22"/>
    </row>
    <row r="2322" spans="17:24" x14ac:dyDescent="0.25">
      <c r="Q2322" s="22"/>
      <c r="R2322" s="22"/>
      <c r="S2322" s="22"/>
      <c r="T2322" s="22"/>
      <c r="U2322" s="22"/>
      <c r="V2322" s="22"/>
      <c r="W2322" s="22"/>
      <c r="X2322" s="22"/>
    </row>
    <row r="2323" spans="17:24" x14ac:dyDescent="0.25">
      <c r="Q2323" s="22"/>
      <c r="R2323" s="22"/>
      <c r="S2323" s="22"/>
      <c r="T2323" s="22"/>
      <c r="U2323" s="22"/>
      <c r="V2323" s="22"/>
      <c r="W2323" s="22"/>
      <c r="X2323" s="22"/>
    </row>
    <row r="2324" spans="17:24" x14ac:dyDescent="0.25">
      <c r="Q2324" s="22"/>
      <c r="R2324" s="22"/>
      <c r="S2324" s="22"/>
      <c r="T2324" s="22"/>
      <c r="U2324" s="22"/>
      <c r="V2324" s="22"/>
      <c r="W2324" s="22"/>
      <c r="X2324" s="22"/>
    </row>
    <row r="2325" spans="17:24" x14ac:dyDescent="0.25">
      <c r="Q2325" s="22"/>
      <c r="R2325" s="22"/>
      <c r="S2325" s="22"/>
      <c r="T2325" s="22"/>
      <c r="U2325" s="22"/>
      <c r="V2325" s="22"/>
      <c r="W2325" s="22"/>
      <c r="X2325" s="22"/>
    </row>
    <row r="2326" spans="17:24" x14ac:dyDescent="0.25">
      <c r="Q2326" s="22"/>
      <c r="R2326" s="22"/>
      <c r="S2326" s="22"/>
      <c r="T2326" s="22"/>
      <c r="U2326" s="22"/>
      <c r="V2326" s="22"/>
      <c r="W2326" s="22"/>
      <c r="X2326" s="22"/>
    </row>
    <row r="2327" spans="17:24" x14ac:dyDescent="0.25">
      <c r="Q2327" s="22"/>
      <c r="R2327" s="22"/>
      <c r="S2327" s="22"/>
      <c r="T2327" s="22"/>
      <c r="U2327" s="22"/>
      <c r="V2327" s="22"/>
      <c r="W2327" s="22"/>
      <c r="X2327" s="22"/>
    </row>
    <row r="2328" spans="17:24" x14ac:dyDescent="0.25">
      <c r="Q2328" s="22"/>
      <c r="R2328" s="22"/>
      <c r="S2328" s="22"/>
      <c r="T2328" s="22"/>
      <c r="U2328" s="22"/>
      <c r="V2328" s="22"/>
      <c r="W2328" s="22"/>
      <c r="X2328" s="22"/>
    </row>
    <row r="2329" spans="17:24" x14ac:dyDescent="0.25">
      <c r="Q2329" s="22"/>
      <c r="R2329" s="22"/>
      <c r="S2329" s="22"/>
      <c r="T2329" s="22"/>
      <c r="U2329" s="22"/>
      <c r="V2329" s="22"/>
      <c r="W2329" s="22"/>
      <c r="X2329" s="22"/>
    </row>
    <row r="2330" spans="17:24" x14ac:dyDescent="0.25">
      <c r="Q2330" s="22"/>
      <c r="R2330" s="22"/>
      <c r="S2330" s="22"/>
      <c r="T2330" s="22"/>
      <c r="U2330" s="22"/>
      <c r="V2330" s="22"/>
      <c r="W2330" s="22"/>
      <c r="X2330" s="22"/>
    </row>
    <row r="2331" spans="17:24" x14ac:dyDescent="0.25">
      <c r="Q2331" s="22"/>
      <c r="R2331" s="22"/>
      <c r="S2331" s="22"/>
      <c r="T2331" s="22"/>
      <c r="U2331" s="22"/>
      <c r="V2331" s="22"/>
      <c r="W2331" s="22"/>
      <c r="X2331" s="22"/>
    </row>
    <row r="2332" spans="17:24" x14ac:dyDescent="0.25">
      <c r="Q2332" s="22"/>
      <c r="R2332" s="22"/>
      <c r="S2332" s="22"/>
      <c r="T2332" s="22"/>
      <c r="U2332" s="22"/>
      <c r="V2332" s="22"/>
      <c r="W2332" s="22"/>
      <c r="X2332" s="22"/>
    </row>
    <row r="2333" spans="17:24" x14ac:dyDescent="0.25">
      <c r="Q2333" s="22"/>
      <c r="R2333" s="22"/>
      <c r="S2333" s="22"/>
      <c r="T2333" s="22"/>
      <c r="U2333" s="22"/>
      <c r="V2333" s="22"/>
      <c r="W2333" s="22"/>
      <c r="X2333" s="22"/>
    </row>
    <row r="2334" spans="17:24" x14ac:dyDescent="0.25">
      <c r="Q2334" s="22"/>
      <c r="R2334" s="22"/>
      <c r="S2334" s="22"/>
      <c r="T2334" s="22"/>
      <c r="U2334" s="22"/>
      <c r="V2334" s="22"/>
      <c r="W2334" s="22"/>
      <c r="X2334" s="22"/>
    </row>
    <row r="2335" spans="17:24" x14ac:dyDescent="0.25">
      <c r="Q2335" s="22"/>
      <c r="R2335" s="22"/>
      <c r="S2335" s="22"/>
      <c r="T2335" s="22"/>
      <c r="U2335" s="22"/>
      <c r="V2335" s="22"/>
      <c r="W2335" s="22"/>
      <c r="X2335" s="22"/>
    </row>
    <row r="2336" spans="17:24" x14ac:dyDescent="0.25">
      <c r="Q2336" s="22"/>
      <c r="R2336" s="22"/>
      <c r="S2336" s="22"/>
      <c r="T2336" s="22"/>
      <c r="U2336" s="22"/>
      <c r="V2336" s="22"/>
      <c r="W2336" s="22"/>
      <c r="X2336" s="22"/>
    </row>
    <row r="2337" spans="17:24" x14ac:dyDescent="0.25">
      <c r="Q2337" s="22"/>
      <c r="R2337" s="22"/>
      <c r="S2337" s="22"/>
      <c r="T2337" s="22"/>
      <c r="U2337" s="22"/>
      <c r="V2337" s="22"/>
      <c r="W2337" s="22"/>
      <c r="X2337" s="22"/>
    </row>
    <row r="2338" spans="17:24" x14ac:dyDescent="0.25">
      <c r="Q2338" s="22"/>
      <c r="R2338" s="22"/>
      <c r="S2338" s="22"/>
      <c r="T2338" s="22"/>
      <c r="U2338" s="22"/>
      <c r="V2338" s="22"/>
      <c r="W2338" s="22"/>
      <c r="X2338" s="22"/>
    </row>
    <row r="2339" spans="17:24" x14ac:dyDescent="0.25">
      <c r="Q2339" s="22"/>
      <c r="R2339" s="22"/>
      <c r="S2339" s="22"/>
      <c r="T2339" s="22"/>
      <c r="U2339" s="22"/>
      <c r="V2339" s="22"/>
      <c r="W2339" s="22"/>
      <c r="X2339" s="22"/>
    </row>
    <row r="2340" spans="17:24" x14ac:dyDescent="0.25">
      <c r="Q2340" s="22"/>
      <c r="R2340" s="22"/>
      <c r="S2340" s="22"/>
      <c r="T2340" s="22"/>
      <c r="U2340" s="22"/>
      <c r="V2340" s="22"/>
      <c r="W2340" s="22"/>
      <c r="X2340" s="22"/>
    </row>
    <row r="2341" spans="17:24" x14ac:dyDescent="0.25">
      <c r="Q2341" s="22"/>
      <c r="R2341" s="22"/>
      <c r="S2341" s="22"/>
      <c r="T2341" s="22"/>
      <c r="U2341" s="22"/>
      <c r="V2341" s="22"/>
      <c r="W2341" s="22"/>
      <c r="X2341" s="22"/>
    </row>
    <row r="2342" spans="17:24" x14ac:dyDescent="0.25">
      <c r="Q2342" s="22"/>
      <c r="R2342" s="22"/>
      <c r="S2342" s="22"/>
      <c r="T2342" s="22"/>
      <c r="U2342" s="22"/>
      <c r="V2342" s="22"/>
      <c r="W2342" s="22"/>
      <c r="X2342" s="22"/>
    </row>
    <row r="2343" spans="17:24" x14ac:dyDescent="0.25">
      <c r="Q2343" s="22"/>
      <c r="R2343" s="22"/>
      <c r="S2343" s="22"/>
      <c r="T2343" s="22"/>
      <c r="U2343" s="22"/>
      <c r="V2343" s="22"/>
      <c r="W2343" s="22"/>
      <c r="X2343" s="22"/>
    </row>
    <row r="2344" spans="17:24" x14ac:dyDescent="0.25">
      <c r="Q2344" s="22"/>
      <c r="R2344" s="22"/>
      <c r="S2344" s="22"/>
      <c r="T2344" s="22"/>
      <c r="U2344" s="22"/>
      <c r="V2344" s="22"/>
      <c r="W2344" s="22"/>
      <c r="X2344" s="22"/>
    </row>
    <row r="2345" spans="17:24" x14ac:dyDescent="0.25">
      <c r="Q2345" s="22"/>
      <c r="R2345" s="22"/>
      <c r="S2345" s="22"/>
      <c r="T2345" s="22"/>
      <c r="U2345" s="22"/>
      <c r="V2345" s="22"/>
      <c r="W2345" s="22"/>
      <c r="X2345" s="22"/>
    </row>
    <row r="2346" spans="17:24" x14ac:dyDescent="0.25">
      <c r="Q2346" s="22"/>
      <c r="R2346" s="22"/>
      <c r="S2346" s="22"/>
      <c r="T2346" s="22"/>
      <c r="U2346" s="22"/>
      <c r="V2346" s="22"/>
      <c r="W2346" s="22"/>
      <c r="X2346" s="22"/>
    </row>
    <row r="2347" spans="17:24" x14ac:dyDescent="0.25">
      <c r="Q2347" s="22"/>
      <c r="R2347" s="22"/>
      <c r="S2347" s="22"/>
      <c r="T2347" s="22"/>
      <c r="U2347" s="22"/>
      <c r="V2347" s="22"/>
      <c r="W2347" s="22"/>
      <c r="X2347" s="22"/>
    </row>
    <row r="2348" spans="17:24" x14ac:dyDescent="0.25">
      <c r="Q2348" s="22"/>
      <c r="R2348" s="22"/>
      <c r="S2348" s="22"/>
      <c r="T2348" s="22"/>
      <c r="U2348" s="22"/>
      <c r="V2348" s="22"/>
      <c r="W2348" s="22"/>
      <c r="X2348" s="22"/>
    </row>
    <row r="2349" spans="17:24" x14ac:dyDescent="0.25">
      <c r="Q2349" s="22"/>
      <c r="R2349" s="22"/>
      <c r="S2349" s="22"/>
      <c r="T2349" s="22"/>
      <c r="U2349" s="22"/>
      <c r="V2349" s="22"/>
      <c r="W2349" s="22"/>
      <c r="X2349" s="22"/>
    </row>
    <row r="2350" spans="17:24" x14ac:dyDescent="0.25">
      <c r="Q2350" s="22"/>
      <c r="R2350" s="22"/>
      <c r="S2350" s="22"/>
      <c r="T2350" s="22"/>
      <c r="U2350" s="22"/>
      <c r="V2350" s="22"/>
      <c r="W2350" s="22"/>
      <c r="X2350" s="22"/>
    </row>
    <row r="2351" spans="17:24" x14ac:dyDescent="0.25">
      <c r="Q2351" s="22"/>
      <c r="R2351" s="22"/>
      <c r="S2351" s="22"/>
      <c r="T2351" s="22"/>
      <c r="U2351" s="22"/>
      <c r="V2351" s="22"/>
      <c r="W2351" s="22"/>
      <c r="X2351" s="22"/>
    </row>
    <row r="2352" spans="17:24" x14ac:dyDescent="0.25">
      <c r="Q2352" s="22"/>
      <c r="R2352" s="22"/>
      <c r="S2352" s="22"/>
      <c r="T2352" s="22"/>
      <c r="U2352" s="22"/>
      <c r="V2352" s="22"/>
      <c r="W2352" s="22"/>
      <c r="X2352" s="22"/>
    </row>
    <row r="2353" spans="17:24" x14ac:dyDescent="0.25">
      <c r="Q2353" s="22"/>
      <c r="R2353" s="22"/>
      <c r="S2353" s="22"/>
      <c r="T2353" s="22"/>
      <c r="U2353" s="22"/>
      <c r="V2353" s="22"/>
      <c r="W2353" s="22"/>
      <c r="X2353" s="22"/>
    </row>
    <row r="2354" spans="17:24" x14ac:dyDescent="0.25">
      <c r="Q2354" s="22"/>
      <c r="R2354" s="22"/>
      <c r="S2354" s="22"/>
      <c r="T2354" s="22"/>
      <c r="U2354" s="22"/>
      <c r="V2354" s="22"/>
      <c r="W2354" s="22"/>
      <c r="X2354" s="22"/>
    </row>
    <row r="2355" spans="17:24" x14ac:dyDescent="0.25">
      <c r="Q2355" s="22"/>
      <c r="R2355" s="22"/>
      <c r="S2355" s="22"/>
      <c r="T2355" s="22"/>
      <c r="U2355" s="22"/>
      <c r="V2355" s="22"/>
      <c r="W2355" s="22"/>
      <c r="X2355" s="22"/>
    </row>
    <row r="2356" spans="17:24" x14ac:dyDescent="0.25">
      <c r="Q2356" s="22"/>
      <c r="R2356" s="22"/>
      <c r="S2356" s="22"/>
      <c r="T2356" s="22"/>
      <c r="U2356" s="22"/>
      <c r="V2356" s="22"/>
      <c r="W2356" s="22"/>
      <c r="X2356" s="22"/>
    </row>
    <row r="2357" spans="17:24" x14ac:dyDescent="0.25">
      <c r="Q2357" s="22"/>
      <c r="R2357" s="22"/>
      <c r="S2357" s="22"/>
      <c r="T2357" s="22"/>
      <c r="U2357" s="22"/>
      <c r="V2357" s="22"/>
      <c r="W2357" s="22"/>
      <c r="X2357" s="22"/>
    </row>
    <row r="2358" spans="17:24" x14ac:dyDescent="0.25">
      <c r="Q2358" s="22"/>
      <c r="R2358" s="22"/>
      <c r="S2358" s="22"/>
      <c r="T2358" s="22"/>
      <c r="U2358" s="22"/>
      <c r="V2358" s="22"/>
      <c r="W2358" s="22"/>
      <c r="X2358" s="22"/>
    </row>
    <row r="2359" spans="17:24" x14ac:dyDescent="0.25">
      <c r="Q2359" s="22"/>
      <c r="R2359" s="22"/>
      <c r="S2359" s="22"/>
      <c r="T2359" s="22"/>
      <c r="U2359" s="22"/>
      <c r="V2359" s="22"/>
      <c r="W2359" s="22"/>
      <c r="X2359" s="22"/>
    </row>
    <row r="2360" spans="17:24" x14ac:dyDescent="0.25">
      <c r="Q2360" s="22"/>
      <c r="R2360" s="22"/>
      <c r="S2360" s="22"/>
      <c r="T2360" s="22"/>
      <c r="U2360" s="22"/>
      <c r="V2360" s="22"/>
      <c r="W2360" s="22"/>
      <c r="X2360" s="22"/>
    </row>
    <row r="2361" spans="17:24" x14ac:dyDescent="0.25">
      <c r="Q2361" s="22"/>
      <c r="R2361" s="22"/>
      <c r="S2361" s="22"/>
      <c r="T2361" s="22"/>
      <c r="U2361" s="22"/>
      <c r="V2361" s="22"/>
      <c r="W2361" s="22"/>
      <c r="X2361" s="22"/>
    </row>
    <row r="2362" spans="17:24" x14ac:dyDescent="0.25">
      <c r="Q2362" s="22"/>
      <c r="R2362" s="22"/>
      <c r="S2362" s="22"/>
      <c r="T2362" s="22"/>
      <c r="U2362" s="22"/>
      <c r="V2362" s="22"/>
      <c r="W2362" s="22"/>
      <c r="X2362" s="22"/>
    </row>
    <row r="2363" spans="17:24" x14ac:dyDescent="0.25">
      <c r="Q2363" s="22"/>
      <c r="R2363" s="22"/>
      <c r="S2363" s="22"/>
      <c r="T2363" s="22"/>
      <c r="U2363" s="22"/>
      <c r="V2363" s="22"/>
      <c r="W2363" s="22"/>
      <c r="X2363" s="22"/>
    </row>
    <row r="2364" spans="17:24" x14ac:dyDescent="0.25">
      <c r="Q2364" s="22"/>
      <c r="R2364" s="22"/>
      <c r="S2364" s="22"/>
      <c r="T2364" s="22"/>
      <c r="U2364" s="22"/>
      <c r="V2364" s="22"/>
      <c r="W2364" s="22"/>
      <c r="X2364" s="22"/>
    </row>
    <row r="2365" spans="17:24" x14ac:dyDescent="0.25">
      <c r="Q2365" s="22"/>
      <c r="R2365" s="22"/>
      <c r="S2365" s="22"/>
      <c r="T2365" s="22"/>
      <c r="U2365" s="22"/>
      <c r="V2365" s="22"/>
      <c r="W2365" s="22"/>
      <c r="X2365" s="22"/>
    </row>
    <row r="2366" spans="17:24" x14ac:dyDescent="0.25">
      <c r="Q2366" s="22"/>
      <c r="R2366" s="22"/>
      <c r="S2366" s="22"/>
      <c r="T2366" s="22"/>
      <c r="U2366" s="22"/>
      <c r="V2366" s="22"/>
      <c r="W2366" s="22"/>
      <c r="X2366" s="22"/>
    </row>
    <row r="2367" spans="17:24" x14ac:dyDescent="0.25">
      <c r="Q2367" s="22"/>
      <c r="R2367" s="22"/>
      <c r="S2367" s="22"/>
      <c r="T2367" s="22"/>
      <c r="U2367" s="22"/>
      <c r="V2367" s="22"/>
      <c r="W2367" s="22"/>
      <c r="X2367" s="22"/>
    </row>
    <row r="2368" spans="17:24" x14ac:dyDescent="0.25">
      <c r="Q2368" s="22"/>
      <c r="R2368" s="22"/>
      <c r="S2368" s="22"/>
      <c r="T2368" s="22"/>
      <c r="U2368" s="22"/>
      <c r="V2368" s="22"/>
      <c r="W2368" s="22"/>
      <c r="X2368" s="22"/>
    </row>
    <row r="2369" spans="17:24" x14ac:dyDescent="0.25">
      <c r="Q2369" s="22"/>
      <c r="R2369" s="22"/>
      <c r="S2369" s="22"/>
      <c r="T2369" s="22"/>
      <c r="U2369" s="22"/>
      <c r="V2369" s="22"/>
      <c r="W2369" s="22"/>
      <c r="X2369" s="22"/>
    </row>
    <row r="2370" spans="17:24" x14ac:dyDescent="0.25">
      <c r="Q2370" s="22"/>
      <c r="R2370" s="22"/>
      <c r="S2370" s="22"/>
      <c r="T2370" s="22"/>
      <c r="U2370" s="22"/>
      <c r="V2370" s="22"/>
      <c r="W2370" s="22"/>
      <c r="X2370" s="22"/>
    </row>
    <row r="2371" spans="17:24" x14ac:dyDescent="0.25">
      <c r="Q2371" s="22"/>
      <c r="R2371" s="22"/>
      <c r="S2371" s="22"/>
      <c r="T2371" s="22"/>
      <c r="U2371" s="22"/>
      <c r="V2371" s="22"/>
      <c r="W2371" s="22"/>
      <c r="X2371" s="22"/>
    </row>
    <row r="2372" spans="17:24" x14ac:dyDescent="0.25">
      <c r="Q2372" s="22"/>
      <c r="R2372" s="22"/>
      <c r="S2372" s="22"/>
      <c r="T2372" s="22"/>
      <c r="U2372" s="22"/>
      <c r="V2372" s="22"/>
      <c r="W2372" s="22"/>
      <c r="X2372" s="22"/>
    </row>
    <row r="2373" spans="17:24" x14ac:dyDescent="0.25">
      <c r="Q2373" s="22"/>
      <c r="R2373" s="22"/>
      <c r="S2373" s="22"/>
      <c r="T2373" s="22"/>
      <c r="U2373" s="22"/>
      <c r="V2373" s="22"/>
      <c r="W2373" s="22"/>
      <c r="X2373" s="22"/>
    </row>
    <row r="2374" spans="17:24" x14ac:dyDescent="0.25">
      <c r="Q2374" s="22"/>
      <c r="R2374" s="22"/>
      <c r="S2374" s="22"/>
      <c r="T2374" s="22"/>
      <c r="U2374" s="22"/>
      <c r="V2374" s="22"/>
      <c r="W2374" s="22"/>
      <c r="X2374" s="22"/>
    </row>
    <row r="2375" spans="17:24" x14ac:dyDescent="0.25">
      <c r="Q2375" s="22"/>
      <c r="R2375" s="22"/>
      <c r="S2375" s="22"/>
      <c r="T2375" s="22"/>
      <c r="U2375" s="22"/>
      <c r="V2375" s="22"/>
      <c r="W2375" s="22"/>
      <c r="X2375" s="22"/>
    </row>
    <row r="2376" spans="17:24" x14ac:dyDescent="0.25">
      <c r="Q2376" s="22"/>
      <c r="R2376" s="22"/>
      <c r="S2376" s="22"/>
      <c r="T2376" s="22"/>
      <c r="U2376" s="22"/>
      <c r="V2376" s="22"/>
      <c r="W2376" s="22"/>
      <c r="X2376" s="22"/>
    </row>
    <row r="2377" spans="17:24" x14ac:dyDescent="0.25">
      <c r="Q2377" s="22"/>
      <c r="R2377" s="22"/>
      <c r="S2377" s="22"/>
      <c r="T2377" s="22"/>
      <c r="U2377" s="22"/>
      <c r="V2377" s="22"/>
      <c r="W2377" s="22"/>
      <c r="X2377" s="22"/>
    </row>
    <row r="2378" spans="17:24" x14ac:dyDescent="0.25">
      <c r="Q2378" s="22"/>
      <c r="R2378" s="22"/>
      <c r="S2378" s="22"/>
      <c r="T2378" s="22"/>
      <c r="U2378" s="22"/>
      <c r="V2378" s="22"/>
      <c r="W2378" s="22"/>
      <c r="X2378" s="22"/>
    </row>
    <row r="2379" spans="17:24" x14ac:dyDescent="0.25">
      <c r="Q2379" s="22"/>
      <c r="R2379" s="22"/>
      <c r="S2379" s="22"/>
      <c r="T2379" s="22"/>
      <c r="U2379" s="22"/>
      <c r="V2379" s="22"/>
      <c r="W2379" s="22"/>
      <c r="X2379" s="22"/>
    </row>
    <row r="2380" spans="17:24" x14ac:dyDescent="0.25">
      <c r="Q2380" s="22"/>
      <c r="R2380" s="22"/>
      <c r="S2380" s="22"/>
      <c r="T2380" s="22"/>
      <c r="U2380" s="22"/>
      <c r="V2380" s="22"/>
      <c r="W2380" s="22"/>
      <c r="X2380" s="22"/>
    </row>
    <row r="2381" spans="17:24" x14ac:dyDescent="0.25">
      <c r="Q2381" s="22"/>
      <c r="R2381" s="22"/>
      <c r="S2381" s="22"/>
      <c r="T2381" s="22"/>
      <c r="U2381" s="22"/>
      <c r="V2381" s="22"/>
      <c r="W2381" s="22"/>
      <c r="X2381" s="22"/>
    </row>
    <row r="2382" spans="17:24" x14ac:dyDescent="0.25">
      <c r="Q2382" s="22"/>
      <c r="R2382" s="22"/>
      <c r="S2382" s="22"/>
      <c r="T2382" s="22"/>
      <c r="U2382" s="22"/>
      <c r="V2382" s="22"/>
      <c r="W2382" s="22"/>
      <c r="X2382" s="22"/>
    </row>
    <row r="2383" spans="17:24" x14ac:dyDescent="0.25">
      <c r="Q2383" s="22"/>
      <c r="R2383" s="22"/>
      <c r="S2383" s="22"/>
      <c r="T2383" s="22"/>
      <c r="U2383" s="22"/>
      <c r="V2383" s="22"/>
      <c r="W2383" s="22"/>
      <c r="X2383" s="22"/>
    </row>
    <row r="2384" spans="17:24" x14ac:dyDescent="0.25">
      <c r="Q2384" s="22"/>
      <c r="R2384" s="22"/>
      <c r="S2384" s="22"/>
      <c r="T2384" s="22"/>
      <c r="U2384" s="22"/>
      <c r="V2384" s="22"/>
      <c r="W2384" s="22"/>
      <c r="X2384" s="22"/>
    </row>
    <row r="2385" spans="17:24" x14ac:dyDescent="0.25">
      <c r="Q2385" s="22"/>
      <c r="R2385" s="22"/>
      <c r="S2385" s="22"/>
      <c r="T2385" s="22"/>
      <c r="U2385" s="22"/>
      <c r="V2385" s="22"/>
      <c r="W2385" s="22"/>
      <c r="X2385" s="22"/>
    </row>
    <row r="2386" spans="17:24" x14ac:dyDescent="0.25">
      <c r="Q2386" s="22"/>
      <c r="R2386" s="22"/>
      <c r="S2386" s="22"/>
      <c r="T2386" s="22"/>
      <c r="U2386" s="22"/>
      <c r="V2386" s="22"/>
      <c r="W2386" s="22"/>
      <c r="X2386" s="22"/>
    </row>
    <row r="2387" spans="17:24" x14ac:dyDescent="0.25">
      <c r="Q2387" s="22"/>
      <c r="R2387" s="22"/>
      <c r="S2387" s="22"/>
      <c r="T2387" s="22"/>
      <c r="U2387" s="22"/>
      <c r="V2387" s="22"/>
      <c r="W2387" s="22"/>
      <c r="X2387" s="22"/>
    </row>
    <row r="2388" spans="17:24" x14ac:dyDescent="0.25">
      <c r="Q2388" s="22"/>
      <c r="R2388" s="22"/>
      <c r="S2388" s="22"/>
      <c r="T2388" s="22"/>
      <c r="U2388" s="22"/>
      <c r="V2388" s="22"/>
      <c r="W2388" s="22"/>
      <c r="X2388" s="22"/>
    </row>
    <row r="2389" spans="17:24" x14ac:dyDescent="0.25">
      <c r="Q2389" s="22"/>
      <c r="R2389" s="22"/>
      <c r="S2389" s="22"/>
      <c r="T2389" s="22"/>
      <c r="U2389" s="22"/>
      <c r="V2389" s="22"/>
      <c r="W2389" s="22"/>
      <c r="X2389" s="22"/>
    </row>
    <row r="2390" spans="17:24" x14ac:dyDescent="0.25">
      <c r="Q2390" s="22"/>
      <c r="R2390" s="22"/>
      <c r="S2390" s="22"/>
      <c r="T2390" s="22"/>
      <c r="U2390" s="22"/>
      <c r="V2390" s="22"/>
      <c r="W2390" s="22"/>
      <c r="X2390" s="22"/>
    </row>
    <row r="2391" spans="17:24" x14ac:dyDescent="0.25">
      <c r="Q2391" s="22"/>
      <c r="R2391" s="22"/>
      <c r="S2391" s="22"/>
      <c r="T2391" s="22"/>
      <c r="U2391" s="22"/>
      <c r="V2391" s="22"/>
      <c r="W2391" s="22"/>
      <c r="X2391" s="22"/>
    </row>
    <row r="2392" spans="17:24" x14ac:dyDescent="0.25">
      <c r="Q2392" s="22"/>
      <c r="R2392" s="22"/>
      <c r="S2392" s="22"/>
      <c r="T2392" s="22"/>
      <c r="U2392" s="22"/>
      <c r="V2392" s="22"/>
      <c r="W2392" s="22"/>
      <c r="X2392" s="22"/>
    </row>
    <row r="2393" spans="17:24" x14ac:dyDescent="0.25">
      <c r="Q2393" s="22"/>
      <c r="R2393" s="22"/>
      <c r="S2393" s="22"/>
      <c r="T2393" s="22"/>
      <c r="U2393" s="22"/>
      <c r="V2393" s="22"/>
      <c r="W2393" s="22"/>
      <c r="X2393" s="22"/>
    </row>
    <row r="2394" spans="17:24" x14ac:dyDescent="0.25">
      <c r="Q2394" s="22"/>
      <c r="R2394" s="22"/>
      <c r="S2394" s="22"/>
      <c r="T2394" s="22"/>
      <c r="U2394" s="22"/>
      <c r="V2394" s="22"/>
      <c r="W2394" s="22"/>
      <c r="X2394" s="22"/>
    </row>
    <row r="2395" spans="17:24" x14ac:dyDescent="0.25">
      <c r="Q2395" s="22"/>
      <c r="R2395" s="22"/>
      <c r="S2395" s="22"/>
      <c r="T2395" s="22"/>
      <c r="U2395" s="22"/>
      <c r="V2395" s="22"/>
      <c r="W2395" s="22"/>
      <c r="X2395" s="22"/>
    </row>
    <row r="2396" spans="17:24" x14ac:dyDescent="0.25">
      <c r="Q2396" s="22"/>
      <c r="R2396" s="22"/>
      <c r="S2396" s="22"/>
      <c r="T2396" s="22"/>
      <c r="U2396" s="22"/>
      <c r="V2396" s="22"/>
      <c r="W2396" s="22"/>
      <c r="X2396" s="22"/>
    </row>
    <row r="2397" spans="17:24" x14ac:dyDescent="0.25">
      <c r="Q2397" s="22"/>
      <c r="R2397" s="22"/>
      <c r="S2397" s="22"/>
      <c r="T2397" s="22"/>
      <c r="U2397" s="22"/>
      <c r="V2397" s="22"/>
      <c r="W2397" s="22"/>
      <c r="X2397" s="22"/>
    </row>
    <row r="2398" spans="17:24" x14ac:dyDescent="0.25">
      <c r="Q2398" s="22"/>
      <c r="R2398" s="22"/>
      <c r="S2398" s="22"/>
      <c r="T2398" s="22"/>
      <c r="U2398" s="22"/>
      <c r="V2398" s="22"/>
      <c r="W2398" s="22"/>
      <c r="X2398" s="22"/>
    </row>
    <row r="2399" spans="17:24" x14ac:dyDescent="0.25">
      <c r="Q2399" s="22"/>
      <c r="R2399" s="22"/>
      <c r="S2399" s="22"/>
      <c r="T2399" s="22"/>
      <c r="U2399" s="22"/>
      <c r="V2399" s="22"/>
      <c r="W2399" s="22"/>
      <c r="X2399" s="22"/>
    </row>
    <row r="2400" spans="17:24" x14ac:dyDescent="0.25">
      <c r="Q2400" s="22"/>
      <c r="R2400" s="22"/>
      <c r="S2400" s="22"/>
      <c r="T2400" s="22"/>
      <c r="U2400" s="22"/>
      <c r="V2400" s="22"/>
      <c r="W2400" s="22"/>
      <c r="X2400" s="22"/>
    </row>
    <row r="2401" spans="17:24" x14ac:dyDescent="0.25">
      <c r="Q2401" s="22"/>
      <c r="R2401" s="22"/>
      <c r="S2401" s="22"/>
      <c r="T2401" s="22"/>
      <c r="U2401" s="22"/>
      <c r="V2401" s="22"/>
      <c r="W2401" s="22"/>
      <c r="X2401" s="22"/>
    </row>
    <row r="2402" spans="17:24" x14ac:dyDescent="0.25">
      <c r="Q2402" s="22"/>
      <c r="R2402" s="22"/>
      <c r="S2402" s="22"/>
      <c r="T2402" s="22"/>
      <c r="U2402" s="22"/>
      <c r="V2402" s="22"/>
      <c r="W2402" s="22"/>
      <c r="X2402" s="22"/>
    </row>
    <row r="2403" spans="17:24" x14ac:dyDescent="0.25">
      <c r="Q2403" s="22"/>
      <c r="R2403" s="22"/>
      <c r="S2403" s="22"/>
      <c r="T2403" s="22"/>
      <c r="U2403" s="22"/>
      <c r="V2403" s="22"/>
      <c r="W2403" s="22"/>
      <c r="X2403" s="22"/>
    </row>
    <row r="2404" spans="17:24" x14ac:dyDescent="0.25">
      <c r="Q2404" s="22"/>
      <c r="R2404" s="22"/>
      <c r="S2404" s="22"/>
      <c r="T2404" s="22"/>
      <c r="U2404" s="22"/>
      <c r="V2404" s="22"/>
      <c r="W2404" s="22"/>
      <c r="X2404" s="22"/>
    </row>
    <row r="2405" spans="17:24" x14ac:dyDescent="0.25">
      <c r="Q2405" s="22"/>
      <c r="R2405" s="22"/>
      <c r="S2405" s="22"/>
      <c r="T2405" s="22"/>
      <c r="U2405" s="22"/>
      <c r="V2405" s="22"/>
      <c r="W2405" s="22"/>
      <c r="X2405" s="22"/>
    </row>
    <row r="2406" spans="17:24" x14ac:dyDescent="0.25">
      <c r="Q2406" s="22"/>
      <c r="R2406" s="22"/>
      <c r="S2406" s="22"/>
      <c r="T2406" s="22"/>
      <c r="U2406" s="22"/>
      <c r="V2406" s="22"/>
      <c r="W2406" s="22"/>
      <c r="X2406" s="22"/>
    </row>
    <row r="2407" spans="17:24" x14ac:dyDescent="0.25">
      <c r="Q2407" s="22"/>
      <c r="R2407" s="22"/>
      <c r="S2407" s="22"/>
      <c r="T2407" s="22"/>
      <c r="U2407" s="22"/>
      <c r="V2407" s="22"/>
      <c r="W2407" s="22"/>
      <c r="X2407" s="22"/>
    </row>
    <row r="2408" spans="17:24" x14ac:dyDescent="0.25">
      <c r="Q2408" s="22"/>
      <c r="R2408" s="22"/>
      <c r="S2408" s="22"/>
      <c r="T2408" s="22"/>
      <c r="U2408" s="22"/>
      <c r="V2408" s="22"/>
      <c r="W2408" s="22"/>
      <c r="X2408" s="22"/>
    </row>
    <row r="2409" spans="17:24" x14ac:dyDescent="0.25">
      <c r="Q2409" s="22"/>
      <c r="R2409" s="22"/>
      <c r="S2409" s="22"/>
      <c r="T2409" s="22"/>
      <c r="U2409" s="22"/>
      <c r="V2409" s="22"/>
      <c r="W2409" s="22"/>
      <c r="X2409" s="22"/>
    </row>
    <row r="2410" spans="17:24" x14ac:dyDescent="0.25">
      <c r="Q2410" s="22"/>
      <c r="R2410" s="22"/>
      <c r="S2410" s="22"/>
      <c r="T2410" s="22"/>
      <c r="U2410" s="22"/>
      <c r="V2410" s="22"/>
      <c r="W2410" s="22"/>
      <c r="X2410" s="22"/>
    </row>
    <row r="2411" spans="17:24" x14ac:dyDescent="0.25">
      <c r="Q2411" s="22"/>
      <c r="R2411" s="22"/>
      <c r="S2411" s="22"/>
      <c r="T2411" s="22"/>
      <c r="U2411" s="22"/>
      <c r="V2411" s="22"/>
      <c r="W2411" s="22"/>
      <c r="X2411" s="22"/>
    </row>
    <row r="2412" spans="17:24" x14ac:dyDescent="0.25">
      <c r="Q2412" s="22"/>
      <c r="R2412" s="22"/>
      <c r="S2412" s="22"/>
      <c r="T2412" s="22"/>
      <c r="U2412" s="22"/>
      <c r="V2412" s="22"/>
      <c r="W2412" s="22"/>
      <c r="X2412" s="22"/>
    </row>
    <row r="2413" spans="17:24" x14ac:dyDescent="0.25">
      <c r="Q2413" s="22"/>
      <c r="R2413" s="22"/>
      <c r="S2413" s="22"/>
      <c r="T2413" s="22"/>
      <c r="U2413" s="22"/>
      <c r="V2413" s="22"/>
      <c r="W2413" s="22"/>
      <c r="X2413" s="22"/>
    </row>
    <row r="2414" spans="17:24" x14ac:dyDescent="0.25">
      <c r="Q2414" s="22"/>
      <c r="R2414" s="22"/>
      <c r="S2414" s="22"/>
      <c r="T2414" s="22"/>
      <c r="U2414" s="22"/>
      <c r="V2414" s="22"/>
      <c r="W2414" s="22"/>
      <c r="X2414" s="22"/>
    </row>
    <row r="2415" spans="17:24" x14ac:dyDescent="0.25">
      <c r="Q2415" s="22"/>
      <c r="R2415" s="22"/>
      <c r="S2415" s="22"/>
      <c r="T2415" s="22"/>
      <c r="U2415" s="22"/>
      <c r="V2415" s="22"/>
      <c r="W2415" s="22"/>
      <c r="X2415" s="22"/>
    </row>
    <row r="2416" spans="17:24" x14ac:dyDescent="0.25">
      <c r="Q2416" s="22"/>
      <c r="R2416" s="22"/>
      <c r="S2416" s="22"/>
      <c r="T2416" s="22"/>
      <c r="U2416" s="22"/>
      <c r="V2416" s="22"/>
      <c r="W2416" s="22"/>
      <c r="X2416" s="22"/>
    </row>
    <row r="2417" spans="17:24" x14ac:dyDescent="0.25">
      <c r="Q2417" s="22"/>
      <c r="R2417" s="22"/>
      <c r="S2417" s="22"/>
      <c r="T2417" s="22"/>
      <c r="U2417" s="22"/>
      <c r="V2417" s="22"/>
      <c r="W2417" s="22"/>
      <c r="X2417" s="22"/>
    </row>
    <row r="2418" spans="17:24" x14ac:dyDescent="0.25">
      <c r="Q2418" s="22"/>
      <c r="R2418" s="22"/>
      <c r="S2418" s="22"/>
      <c r="T2418" s="22"/>
      <c r="U2418" s="22"/>
      <c r="V2418" s="22"/>
      <c r="W2418" s="22"/>
      <c r="X2418" s="22"/>
    </row>
    <row r="2419" spans="17:24" x14ac:dyDescent="0.25">
      <c r="Q2419" s="22"/>
      <c r="R2419" s="22"/>
      <c r="S2419" s="22"/>
      <c r="T2419" s="22"/>
      <c r="U2419" s="22"/>
      <c r="V2419" s="22"/>
      <c r="W2419" s="22"/>
      <c r="X2419" s="22"/>
    </row>
    <row r="2420" spans="17:24" x14ac:dyDescent="0.25">
      <c r="Q2420" s="22"/>
      <c r="R2420" s="22"/>
      <c r="S2420" s="22"/>
      <c r="T2420" s="22"/>
      <c r="U2420" s="22"/>
      <c r="V2420" s="22"/>
      <c r="W2420" s="22"/>
      <c r="X2420" s="22"/>
    </row>
    <row r="2421" spans="17:24" x14ac:dyDescent="0.25">
      <c r="Q2421" s="22"/>
      <c r="R2421" s="22"/>
      <c r="S2421" s="22"/>
      <c r="T2421" s="22"/>
      <c r="U2421" s="22"/>
      <c r="V2421" s="22"/>
      <c r="W2421" s="22"/>
      <c r="X2421" s="22"/>
    </row>
    <row r="2422" spans="17:24" x14ac:dyDescent="0.25">
      <c r="Q2422" s="22"/>
      <c r="R2422" s="22"/>
      <c r="S2422" s="22"/>
      <c r="T2422" s="22"/>
      <c r="U2422" s="22"/>
      <c r="V2422" s="22"/>
      <c r="W2422" s="22"/>
      <c r="X2422" s="22"/>
    </row>
    <row r="2423" spans="17:24" x14ac:dyDescent="0.25">
      <c r="Q2423" s="22"/>
      <c r="R2423" s="22"/>
      <c r="S2423" s="22"/>
      <c r="T2423" s="22"/>
      <c r="U2423" s="22"/>
      <c r="V2423" s="22"/>
      <c r="W2423" s="22"/>
      <c r="X2423" s="22"/>
    </row>
    <row r="2424" spans="17:24" x14ac:dyDescent="0.25">
      <c r="Q2424" s="22"/>
      <c r="R2424" s="22"/>
      <c r="S2424" s="22"/>
      <c r="T2424" s="22"/>
      <c r="U2424" s="22"/>
      <c r="V2424" s="22"/>
      <c r="W2424" s="22"/>
      <c r="X2424" s="22"/>
    </row>
    <row r="2425" spans="17:24" x14ac:dyDescent="0.25">
      <c r="Q2425" s="22"/>
      <c r="R2425" s="22"/>
      <c r="S2425" s="22"/>
      <c r="T2425" s="22"/>
      <c r="U2425" s="22"/>
      <c r="V2425" s="22"/>
      <c r="W2425" s="22"/>
      <c r="X2425" s="22"/>
    </row>
    <row r="2426" spans="17:24" x14ac:dyDescent="0.25">
      <c r="Q2426" s="22"/>
      <c r="R2426" s="22"/>
      <c r="S2426" s="22"/>
      <c r="T2426" s="22"/>
      <c r="U2426" s="22"/>
      <c r="V2426" s="22"/>
      <c r="W2426" s="22"/>
      <c r="X2426" s="22"/>
    </row>
    <row r="2427" spans="17:24" x14ac:dyDescent="0.25">
      <c r="Q2427" s="22"/>
      <c r="R2427" s="22"/>
      <c r="S2427" s="22"/>
      <c r="T2427" s="22"/>
      <c r="U2427" s="22"/>
      <c r="V2427" s="22"/>
      <c r="W2427" s="22"/>
      <c r="X2427" s="22"/>
    </row>
    <row r="2428" spans="17:24" x14ac:dyDescent="0.25">
      <c r="Q2428" s="22"/>
      <c r="R2428" s="22"/>
      <c r="S2428" s="22"/>
      <c r="T2428" s="22"/>
      <c r="U2428" s="22"/>
      <c r="V2428" s="22"/>
      <c r="W2428" s="22"/>
      <c r="X2428" s="22"/>
    </row>
    <row r="2429" spans="17:24" x14ac:dyDescent="0.25">
      <c r="Q2429" s="22"/>
      <c r="R2429" s="22"/>
      <c r="S2429" s="22"/>
      <c r="T2429" s="22"/>
      <c r="U2429" s="22"/>
      <c r="V2429" s="22"/>
      <c r="W2429" s="22"/>
      <c r="X2429" s="22"/>
    </row>
    <row r="2430" spans="17:24" x14ac:dyDescent="0.25">
      <c r="Q2430" s="22"/>
      <c r="R2430" s="22"/>
      <c r="S2430" s="22"/>
      <c r="T2430" s="22"/>
      <c r="U2430" s="22"/>
      <c r="V2430" s="22"/>
      <c r="W2430" s="22"/>
      <c r="X2430" s="22"/>
    </row>
    <row r="2431" spans="17:24" x14ac:dyDescent="0.25">
      <c r="Q2431" s="22"/>
      <c r="R2431" s="22"/>
      <c r="S2431" s="22"/>
      <c r="T2431" s="22"/>
      <c r="U2431" s="22"/>
      <c r="V2431" s="22"/>
      <c r="W2431" s="22"/>
      <c r="X2431" s="22"/>
    </row>
    <row r="2432" spans="17:24" x14ac:dyDescent="0.25">
      <c r="Q2432" s="22"/>
      <c r="R2432" s="22"/>
      <c r="S2432" s="22"/>
      <c r="T2432" s="22"/>
      <c r="U2432" s="22"/>
      <c r="V2432" s="22"/>
      <c r="W2432" s="22"/>
      <c r="X2432" s="22"/>
    </row>
    <row r="2433" spans="17:24" x14ac:dyDescent="0.25">
      <c r="Q2433" s="22"/>
      <c r="R2433" s="22"/>
      <c r="S2433" s="22"/>
      <c r="T2433" s="22"/>
      <c r="U2433" s="22"/>
      <c r="V2433" s="22"/>
      <c r="W2433" s="22"/>
      <c r="X2433" s="22"/>
    </row>
    <row r="2434" spans="17:24" x14ac:dyDescent="0.25">
      <c r="Q2434" s="22"/>
      <c r="R2434" s="22"/>
      <c r="S2434" s="22"/>
      <c r="T2434" s="22"/>
      <c r="U2434" s="22"/>
      <c r="V2434" s="22"/>
      <c r="W2434" s="22"/>
      <c r="X2434" s="22"/>
    </row>
    <row r="2435" spans="17:24" x14ac:dyDescent="0.25">
      <c r="Q2435" s="22"/>
      <c r="R2435" s="22"/>
      <c r="S2435" s="22"/>
      <c r="T2435" s="22"/>
      <c r="U2435" s="22"/>
      <c r="V2435" s="22"/>
      <c r="W2435" s="22"/>
      <c r="X2435" s="22"/>
    </row>
    <row r="2436" spans="17:24" x14ac:dyDescent="0.25">
      <c r="Q2436" s="22"/>
      <c r="R2436" s="22"/>
      <c r="S2436" s="22"/>
      <c r="T2436" s="22"/>
      <c r="U2436" s="22"/>
      <c r="V2436" s="22"/>
      <c r="W2436" s="22"/>
      <c r="X2436" s="22"/>
    </row>
    <row r="2437" spans="17:24" x14ac:dyDescent="0.25">
      <c r="Q2437" s="22"/>
      <c r="R2437" s="22"/>
      <c r="S2437" s="22"/>
      <c r="T2437" s="22"/>
      <c r="U2437" s="22"/>
      <c r="V2437" s="22"/>
      <c r="W2437" s="22"/>
      <c r="X2437" s="22"/>
    </row>
    <row r="2438" spans="17:24" x14ac:dyDescent="0.25">
      <c r="Q2438" s="22"/>
      <c r="R2438" s="22"/>
      <c r="S2438" s="22"/>
      <c r="T2438" s="22"/>
      <c r="U2438" s="22"/>
      <c r="V2438" s="22"/>
      <c r="W2438" s="22"/>
      <c r="X2438" s="22"/>
    </row>
    <row r="2439" spans="17:24" x14ac:dyDescent="0.25">
      <c r="Q2439" s="22"/>
      <c r="R2439" s="22"/>
      <c r="S2439" s="22"/>
      <c r="T2439" s="22"/>
      <c r="U2439" s="22"/>
      <c r="V2439" s="22"/>
      <c r="W2439" s="22"/>
      <c r="X2439" s="22"/>
    </row>
    <row r="2440" spans="17:24" x14ac:dyDescent="0.25">
      <c r="Q2440" s="22"/>
      <c r="R2440" s="22"/>
      <c r="S2440" s="22"/>
      <c r="T2440" s="22"/>
      <c r="U2440" s="22"/>
      <c r="V2440" s="22"/>
      <c r="W2440" s="22"/>
      <c r="X2440" s="22"/>
    </row>
    <row r="2441" spans="17:24" x14ac:dyDescent="0.25">
      <c r="Q2441" s="22"/>
      <c r="R2441" s="22"/>
      <c r="S2441" s="22"/>
      <c r="T2441" s="22"/>
      <c r="U2441" s="22"/>
      <c r="V2441" s="22"/>
      <c r="W2441" s="22"/>
      <c r="X2441" s="22"/>
    </row>
    <row r="2442" spans="17:24" x14ac:dyDescent="0.25">
      <c r="Q2442" s="22"/>
      <c r="R2442" s="22"/>
      <c r="S2442" s="22"/>
      <c r="T2442" s="22"/>
      <c r="U2442" s="22"/>
      <c r="V2442" s="22"/>
      <c r="W2442" s="22"/>
      <c r="X2442" s="22"/>
    </row>
    <row r="2443" spans="17:24" x14ac:dyDescent="0.25">
      <c r="Q2443" s="22"/>
      <c r="R2443" s="22"/>
      <c r="S2443" s="22"/>
      <c r="T2443" s="22"/>
      <c r="U2443" s="22"/>
      <c r="V2443" s="22"/>
      <c r="W2443" s="22"/>
      <c r="X2443" s="22"/>
    </row>
    <row r="2444" spans="17:24" x14ac:dyDescent="0.25">
      <c r="Q2444" s="22"/>
      <c r="R2444" s="22"/>
      <c r="S2444" s="22"/>
      <c r="T2444" s="22"/>
      <c r="U2444" s="22"/>
      <c r="V2444" s="22"/>
      <c r="W2444" s="22"/>
      <c r="X2444" s="22"/>
    </row>
    <row r="2445" spans="17:24" x14ac:dyDescent="0.25">
      <c r="Q2445" s="22"/>
      <c r="R2445" s="22"/>
      <c r="S2445" s="22"/>
      <c r="T2445" s="22"/>
      <c r="U2445" s="22"/>
      <c r="V2445" s="22"/>
      <c r="W2445" s="22"/>
      <c r="X2445" s="22"/>
    </row>
    <row r="2446" spans="17:24" x14ac:dyDescent="0.25">
      <c r="Q2446" s="22"/>
      <c r="R2446" s="22"/>
      <c r="S2446" s="22"/>
      <c r="T2446" s="22"/>
      <c r="U2446" s="22"/>
      <c r="V2446" s="22"/>
      <c r="W2446" s="22"/>
      <c r="X2446" s="22"/>
    </row>
    <row r="2447" spans="17:24" x14ac:dyDescent="0.25">
      <c r="Q2447" s="22"/>
      <c r="R2447" s="22"/>
      <c r="S2447" s="22"/>
      <c r="T2447" s="22"/>
      <c r="U2447" s="22"/>
      <c r="V2447" s="22"/>
      <c r="W2447" s="22"/>
      <c r="X2447" s="22"/>
    </row>
    <row r="2448" spans="17:24" x14ac:dyDescent="0.25">
      <c r="Q2448" s="22"/>
      <c r="R2448" s="22"/>
      <c r="S2448" s="22"/>
      <c r="T2448" s="22"/>
      <c r="U2448" s="22"/>
      <c r="V2448" s="22"/>
      <c r="W2448" s="22"/>
      <c r="X2448" s="22"/>
    </row>
    <row r="2449" spans="17:24" x14ac:dyDescent="0.25">
      <c r="Q2449" s="22"/>
      <c r="R2449" s="22"/>
      <c r="S2449" s="22"/>
      <c r="T2449" s="22"/>
      <c r="U2449" s="22"/>
      <c r="V2449" s="22"/>
      <c r="W2449" s="22"/>
      <c r="X2449" s="22"/>
    </row>
    <row r="2450" spans="17:24" x14ac:dyDescent="0.25">
      <c r="Q2450" s="22"/>
      <c r="R2450" s="22"/>
      <c r="S2450" s="22"/>
      <c r="T2450" s="22"/>
      <c r="U2450" s="22"/>
      <c r="V2450" s="22"/>
      <c r="W2450" s="22"/>
      <c r="X2450" s="22"/>
    </row>
    <row r="2451" spans="17:24" x14ac:dyDescent="0.25">
      <c r="Q2451" s="22"/>
      <c r="R2451" s="22"/>
      <c r="S2451" s="22"/>
      <c r="T2451" s="22"/>
      <c r="U2451" s="22"/>
      <c r="V2451" s="22"/>
      <c r="W2451" s="22"/>
      <c r="X2451" s="22"/>
    </row>
    <row r="2452" spans="17:24" x14ac:dyDescent="0.25">
      <c r="Q2452" s="22"/>
      <c r="R2452" s="22"/>
      <c r="S2452" s="22"/>
      <c r="T2452" s="22"/>
      <c r="U2452" s="22"/>
      <c r="V2452" s="22"/>
      <c r="W2452" s="22"/>
      <c r="X2452" s="22"/>
    </row>
    <row r="2453" spans="17:24" x14ac:dyDescent="0.25">
      <c r="Q2453" s="22"/>
      <c r="R2453" s="22"/>
      <c r="S2453" s="22"/>
      <c r="T2453" s="22"/>
      <c r="U2453" s="22"/>
      <c r="V2453" s="22"/>
      <c r="W2453" s="22"/>
      <c r="X2453" s="22"/>
    </row>
    <row r="2454" spans="17:24" x14ac:dyDescent="0.25">
      <c r="Q2454" s="22"/>
      <c r="R2454" s="22"/>
      <c r="S2454" s="22"/>
      <c r="T2454" s="22"/>
      <c r="U2454" s="22"/>
      <c r="V2454" s="22"/>
      <c r="W2454" s="22"/>
      <c r="X2454" s="22"/>
    </row>
    <row r="2455" spans="17:24" x14ac:dyDescent="0.25">
      <c r="Q2455" s="22"/>
      <c r="R2455" s="22"/>
      <c r="S2455" s="22"/>
      <c r="T2455" s="22"/>
      <c r="U2455" s="22"/>
      <c r="V2455" s="22"/>
      <c r="W2455" s="22"/>
      <c r="X2455" s="22"/>
    </row>
    <row r="2456" spans="17:24" x14ac:dyDescent="0.25">
      <c r="Q2456" s="22"/>
      <c r="R2456" s="22"/>
      <c r="S2456" s="22"/>
      <c r="T2456" s="22"/>
      <c r="U2456" s="22"/>
      <c r="V2456" s="22"/>
      <c r="W2456" s="22"/>
      <c r="X2456" s="22"/>
    </row>
    <row r="2457" spans="17:24" x14ac:dyDescent="0.25">
      <c r="Q2457" s="22"/>
      <c r="R2457" s="22"/>
      <c r="S2457" s="22"/>
      <c r="T2457" s="22"/>
      <c r="U2457" s="22"/>
      <c r="V2457" s="22"/>
      <c r="W2457" s="22"/>
      <c r="X2457" s="22"/>
    </row>
    <row r="2458" spans="17:24" x14ac:dyDescent="0.25">
      <c r="Q2458" s="22"/>
      <c r="R2458" s="22"/>
      <c r="S2458" s="22"/>
      <c r="T2458" s="22"/>
      <c r="U2458" s="22"/>
      <c r="V2458" s="22"/>
      <c r="W2458" s="22"/>
      <c r="X2458" s="22"/>
    </row>
    <row r="2459" spans="17:24" x14ac:dyDescent="0.25">
      <c r="Q2459" s="22"/>
      <c r="R2459" s="22"/>
      <c r="S2459" s="22"/>
      <c r="T2459" s="22"/>
      <c r="U2459" s="22"/>
      <c r="V2459" s="22"/>
      <c r="W2459" s="22"/>
      <c r="X2459" s="22"/>
    </row>
    <row r="2460" spans="17:24" x14ac:dyDescent="0.25">
      <c r="Q2460" s="22"/>
      <c r="R2460" s="22"/>
      <c r="S2460" s="22"/>
      <c r="T2460" s="22"/>
      <c r="U2460" s="22"/>
      <c r="V2460" s="22"/>
      <c r="W2460" s="22"/>
      <c r="X2460" s="22"/>
    </row>
    <row r="2461" spans="17:24" x14ac:dyDescent="0.25">
      <c r="Q2461" s="22"/>
      <c r="R2461" s="22"/>
      <c r="S2461" s="22"/>
      <c r="T2461" s="22"/>
      <c r="U2461" s="22"/>
      <c r="V2461" s="22"/>
      <c r="W2461" s="22"/>
      <c r="X2461" s="22"/>
    </row>
    <row r="2462" spans="17:24" x14ac:dyDescent="0.25">
      <c r="Q2462" s="22"/>
      <c r="R2462" s="22"/>
      <c r="S2462" s="22"/>
      <c r="T2462" s="22"/>
      <c r="U2462" s="22"/>
      <c r="V2462" s="22"/>
      <c r="W2462" s="22"/>
      <c r="X2462" s="22"/>
    </row>
    <row r="2463" spans="17:24" x14ac:dyDescent="0.25">
      <c r="Q2463" s="22"/>
      <c r="R2463" s="22"/>
      <c r="S2463" s="22"/>
      <c r="T2463" s="22"/>
      <c r="U2463" s="22"/>
      <c r="V2463" s="22"/>
      <c r="W2463" s="22"/>
      <c r="X2463" s="22"/>
    </row>
    <row r="2464" spans="17:24" x14ac:dyDescent="0.25">
      <c r="Q2464" s="22"/>
      <c r="R2464" s="22"/>
      <c r="S2464" s="22"/>
      <c r="T2464" s="22"/>
      <c r="U2464" s="22"/>
      <c r="V2464" s="22"/>
      <c r="W2464" s="22"/>
      <c r="X2464" s="22"/>
    </row>
    <row r="2465" spans="17:24" x14ac:dyDescent="0.25">
      <c r="Q2465" s="22"/>
      <c r="R2465" s="22"/>
      <c r="S2465" s="22"/>
      <c r="T2465" s="22"/>
      <c r="U2465" s="22"/>
      <c r="V2465" s="22"/>
      <c r="W2465" s="22"/>
      <c r="X2465" s="22"/>
    </row>
    <row r="2466" spans="17:24" x14ac:dyDescent="0.25">
      <c r="Q2466" s="22"/>
      <c r="R2466" s="22"/>
      <c r="S2466" s="22"/>
      <c r="T2466" s="22"/>
      <c r="U2466" s="22"/>
      <c r="V2466" s="22"/>
      <c r="W2466" s="22"/>
      <c r="X2466" s="22"/>
    </row>
    <row r="2467" spans="17:24" x14ac:dyDescent="0.25">
      <c r="Q2467" s="22"/>
      <c r="R2467" s="22"/>
      <c r="S2467" s="22"/>
      <c r="T2467" s="22"/>
      <c r="U2467" s="22"/>
      <c r="V2467" s="22"/>
      <c r="W2467" s="22"/>
      <c r="X2467" s="22"/>
    </row>
    <row r="2468" spans="17:24" x14ac:dyDescent="0.25">
      <c r="Q2468" s="22"/>
      <c r="R2468" s="22"/>
      <c r="S2468" s="22"/>
      <c r="T2468" s="22"/>
      <c r="U2468" s="22"/>
      <c r="V2468" s="22"/>
      <c r="W2468" s="22"/>
      <c r="X2468" s="22"/>
    </row>
    <row r="2469" spans="17:24" x14ac:dyDescent="0.25">
      <c r="Q2469" s="22"/>
      <c r="R2469" s="22"/>
      <c r="S2469" s="22"/>
      <c r="T2469" s="22"/>
      <c r="U2469" s="22"/>
      <c r="V2469" s="22"/>
      <c r="W2469" s="22"/>
      <c r="X2469" s="22"/>
    </row>
    <row r="2470" spans="17:24" x14ac:dyDescent="0.25">
      <c r="Q2470" s="22"/>
      <c r="R2470" s="22"/>
      <c r="S2470" s="22"/>
      <c r="T2470" s="22"/>
      <c r="U2470" s="22"/>
      <c r="V2470" s="22"/>
      <c r="W2470" s="22"/>
      <c r="X2470" s="22"/>
    </row>
    <row r="2471" spans="17:24" x14ac:dyDescent="0.25">
      <c r="Q2471" s="22"/>
      <c r="R2471" s="22"/>
      <c r="S2471" s="22"/>
      <c r="T2471" s="22"/>
      <c r="U2471" s="22"/>
      <c r="V2471" s="22"/>
      <c r="W2471" s="22"/>
      <c r="X2471" s="22"/>
    </row>
    <row r="2472" spans="17:24" x14ac:dyDescent="0.25">
      <c r="Q2472" s="22"/>
      <c r="R2472" s="22"/>
      <c r="S2472" s="22"/>
      <c r="T2472" s="22"/>
      <c r="U2472" s="22"/>
      <c r="V2472" s="22"/>
      <c r="W2472" s="22"/>
      <c r="X2472" s="22"/>
    </row>
    <row r="2473" spans="17:24" x14ac:dyDescent="0.25">
      <c r="Q2473" s="22"/>
      <c r="R2473" s="22"/>
      <c r="S2473" s="22"/>
      <c r="T2473" s="22"/>
      <c r="U2473" s="22"/>
      <c r="V2473" s="22"/>
      <c r="W2473" s="22"/>
      <c r="X2473" s="22"/>
    </row>
    <row r="2474" spans="17:24" x14ac:dyDescent="0.25">
      <c r="Q2474" s="22"/>
      <c r="R2474" s="22"/>
      <c r="S2474" s="22"/>
      <c r="T2474" s="22"/>
      <c r="U2474" s="22"/>
      <c r="V2474" s="22"/>
      <c r="W2474" s="22"/>
      <c r="X2474" s="22"/>
    </row>
    <row r="2475" spans="17:24" x14ac:dyDescent="0.25">
      <c r="Q2475" s="22"/>
      <c r="R2475" s="22"/>
      <c r="S2475" s="22"/>
      <c r="T2475" s="22"/>
      <c r="U2475" s="22"/>
      <c r="V2475" s="22"/>
      <c r="W2475" s="22"/>
      <c r="X2475" s="22"/>
    </row>
    <row r="2476" spans="17:24" x14ac:dyDescent="0.25">
      <c r="Q2476" s="22"/>
      <c r="R2476" s="22"/>
      <c r="S2476" s="22"/>
      <c r="T2476" s="22"/>
      <c r="U2476" s="22"/>
      <c r="V2476" s="22"/>
      <c r="W2476" s="22"/>
      <c r="X2476" s="22"/>
    </row>
    <row r="2477" spans="17:24" x14ac:dyDescent="0.25">
      <c r="Q2477" s="22"/>
      <c r="R2477" s="22"/>
      <c r="S2477" s="22"/>
      <c r="T2477" s="22"/>
      <c r="U2477" s="22"/>
      <c r="V2477" s="22"/>
      <c r="W2477" s="22"/>
      <c r="X2477" s="22"/>
    </row>
    <row r="2478" spans="17:24" x14ac:dyDescent="0.25">
      <c r="Q2478" s="22"/>
      <c r="R2478" s="22"/>
      <c r="S2478" s="22"/>
      <c r="T2478" s="22"/>
      <c r="U2478" s="22"/>
      <c r="V2478" s="22"/>
      <c r="W2478" s="22"/>
      <c r="X2478" s="22"/>
    </row>
    <row r="2479" spans="17:24" x14ac:dyDescent="0.25">
      <c r="Q2479" s="22"/>
      <c r="R2479" s="22"/>
      <c r="S2479" s="22"/>
      <c r="T2479" s="22"/>
      <c r="U2479" s="22"/>
      <c r="V2479" s="22"/>
      <c r="W2479" s="22"/>
      <c r="X2479" s="22"/>
    </row>
    <row r="2480" spans="17:24" x14ac:dyDescent="0.25">
      <c r="Q2480" s="22"/>
      <c r="R2480" s="22"/>
      <c r="S2480" s="22"/>
      <c r="T2480" s="22"/>
      <c r="U2480" s="22"/>
      <c r="V2480" s="22"/>
      <c r="W2480" s="22"/>
      <c r="X2480" s="22"/>
    </row>
    <row r="2481" spans="17:24" x14ac:dyDescent="0.25">
      <c r="Q2481" s="22"/>
      <c r="R2481" s="22"/>
      <c r="S2481" s="22"/>
      <c r="T2481" s="22"/>
      <c r="U2481" s="22"/>
      <c r="V2481" s="22"/>
      <c r="W2481" s="22"/>
      <c r="X2481" s="22"/>
    </row>
    <row r="2482" spans="17:24" x14ac:dyDescent="0.25">
      <c r="Q2482" s="22"/>
      <c r="R2482" s="22"/>
      <c r="S2482" s="22"/>
      <c r="T2482" s="22"/>
      <c r="U2482" s="22"/>
      <c r="V2482" s="22"/>
      <c r="W2482" s="22"/>
      <c r="X2482" s="22"/>
    </row>
    <row r="2483" spans="17:24" x14ac:dyDescent="0.25">
      <c r="Q2483" s="22"/>
      <c r="R2483" s="22"/>
      <c r="S2483" s="22"/>
      <c r="T2483" s="22"/>
      <c r="U2483" s="22"/>
      <c r="V2483" s="22"/>
      <c r="W2483" s="22"/>
      <c r="X2483" s="22"/>
    </row>
    <row r="2484" spans="17:24" x14ac:dyDescent="0.25">
      <c r="Q2484" s="22"/>
      <c r="R2484" s="22"/>
      <c r="S2484" s="22"/>
      <c r="T2484" s="22"/>
      <c r="U2484" s="22"/>
      <c r="V2484" s="22"/>
      <c r="W2484" s="22"/>
      <c r="X2484" s="22"/>
    </row>
    <row r="2485" spans="17:24" x14ac:dyDescent="0.25">
      <c r="Q2485" s="22"/>
      <c r="R2485" s="22"/>
      <c r="S2485" s="22"/>
      <c r="T2485" s="22"/>
      <c r="U2485" s="22"/>
      <c r="V2485" s="22"/>
      <c r="W2485" s="22"/>
      <c r="X2485" s="22"/>
    </row>
    <row r="2486" spans="17:24" x14ac:dyDescent="0.25">
      <c r="Q2486" s="22"/>
      <c r="R2486" s="22"/>
      <c r="S2486" s="22"/>
      <c r="T2486" s="22"/>
      <c r="U2486" s="22"/>
      <c r="V2486" s="22"/>
      <c r="W2486" s="22"/>
      <c r="X2486" s="22"/>
    </row>
    <row r="2487" spans="17:24" x14ac:dyDescent="0.25">
      <c r="Q2487" s="22"/>
      <c r="R2487" s="22"/>
      <c r="S2487" s="22"/>
      <c r="T2487" s="22"/>
      <c r="U2487" s="22"/>
      <c r="V2487" s="22"/>
      <c r="W2487" s="22"/>
      <c r="X2487" s="22"/>
    </row>
    <row r="2488" spans="17:24" x14ac:dyDescent="0.25">
      <c r="Q2488" s="22"/>
      <c r="R2488" s="22"/>
      <c r="S2488" s="22"/>
      <c r="T2488" s="22"/>
      <c r="U2488" s="22"/>
      <c r="V2488" s="22"/>
      <c r="W2488" s="22"/>
      <c r="X2488" s="22"/>
    </row>
    <row r="2489" spans="17:24" x14ac:dyDescent="0.25">
      <c r="Q2489" s="22"/>
      <c r="R2489" s="22"/>
      <c r="S2489" s="22"/>
      <c r="T2489" s="22"/>
      <c r="U2489" s="22"/>
      <c r="V2489" s="22"/>
      <c r="W2489" s="22"/>
      <c r="X2489" s="22"/>
    </row>
    <row r="2490" spans="17:24" x14ac:dyDescent="0.25">
      <c r="Q2490" s="22"/>
      <c r="R2490" s="22"/>
      <c r="S2490" s="22"/>
      <c r="T2490" s="22"/>
      <c r="U2490" s="22"/>
      <c r="V2490" s="22"/>
      <c r="W2490" s="22"/>
      <c r="X2490" s="22"/>
    </row>
    <row r="2491" spans="17:24" x14ac:dyDescent="0.25">
      <c r="Q2491" s="22"/>
      <c r="R2491" s="22"/>
      <c r="S2491" s="22"/>
      <c r="T2491" s="22"/>
      <c r="U2491" s="22"/>
      <c r="V2491" s="22"/>
      <c r="W2491" s="22"/>
      <c r="X2491" s="22"/>
    </row>
    <row r="2492" spans="17:24" x14ac:dyDescent="0.25">
      <c r="Q2492" s="22"/>
      <c r="R2492" s="22"/>
      <c r="S2492" s="22"/>
      <c r="T2492" s="22"/>
      <c r="U2492" s="22"/>
      <c r="V2492" s="22"/>
      <c r="W2492" s="22"/>
      <c r="X2492" s="22"/>
    </row>
    <row r="2493" spans="17:24" x14ac:dyDescent="0.25">
      <c r="Q2493" s="22"/>
      <c r="R2493" s="22"/>
      <c r="S2493" s="22"/>
      <c r="T2493" s="22"/>
      <c r="U2493" s="22"/>
      <c r="V2493" s="22"/>
      <c r="W2493" s="22"/>
      <c r="X2493" s="22"/>
    </row>
    <row r="2494" spans="17:24" x14ac:dyDescent="0.25">
      <c r="Q2494" s="22"/>
      <c r="R2494" s="22"/>
      <c r="S2494" s="22"/>
      <c r="T2494" s="22"/>
      <c r="U2494" s="22"/>
      <c r="V2494" s="22"/>
      <c r="W2494" s="22"/>
      <c r="X2494" s="22"/>
    </row>
    <row r="2495" spans="17:24" x14ac:dyDescent="0.25">
      <c r="Q2495" s="22"/>
      <c r="R2495" s="22"/>
      <c r="S2495" s="22"/>
      <c r="T2495" s="22"/>
      <c r="U2495" s="22"/>
      <c r="V2495" s="22"/>
      <c r="W2495" s="22"/>
      <c r="X2495" s="22"/>
    </row>
    <row r="2496" spans="17:24" x14ac:dyDescent="0.25">
      <c r="Q2496" s="22"/>
      <c r="R2496" s="22"/>
      <c r="S2496" s="22"/>
      <c r="T2496" s="22"/>
      <c r="U2496" s="22"/>
      <c r="V2496" s="22"/>
      <c r="W2496" s="22"/>
      <c r="X2496" s="22"/>
    </row>
    <row r="2497" spans="17:24" x14ac:dyDescent="0.25">
      <c r="Q2497" s="22"/>
      <c r="R2497" s="22"/>
      <c r="S2497" s="22"/>
      <c r="T2497" s="22"/>
      <c r="U2497" s="22"/>
      <c r="V2497" s="22"/>
      <c r="W2497" s="22"/>
      <c r="X2497" s="22"/>
    </row>
    <row r="2498" spans="17:24" x14ac:dyDescent="0.25">
      <c r="Q2498" s="22"/>
      <c r="R2498" s="22"/>
      <c r="S2498" s="22"/>
      <c r="T2498" s="22"/>
      <c r="U2498" s="22"/>
      <c r="V2498" s="22"/>
      <c r="W2498" s="22"/>
      <c r="X2498" s="22"/>
    </row>
    <row r="2499" spans="17:24" x14ac:dyDescent="0.25">
      <c r="Q2499" s="22"/>
      <c r="R2499" s="22"/>
      <c r="S2499" s="22"/>
      <c r="T2499" s="22"/>
      <c r="U2499" s="22"/>
      <c r="V2499" s="22"/>
      <c r="W2499" s="22"/>
      <c r="X2499" s="22"/>
    </row>
    <row r="2500" spans="17:24" x14ac:dyDescent="0.25">
      <c r="Q2500" s="22"/>
      <c r="R2500" s="22"/>
      <c r="S2500" s="22"/>
      <c r="T2500" s="22"/>
      <c r="U2500" s="22"/>
      <c r="V2500" s="22"/>
      <c r="W2500" s="22"/>
      <c r="X2500" s="22"/>
    </row>
    <row r="2501" spans="17:24" x14ac:dyDescent="0.25">
      <c r="Q2501" s="22"/>
      <c r="R2501" s="22"/>
      <c r="S2501" s="22"/>
      <c r="T2501" s="22"/>
      <c r="U2501" s="22"/>
      <c r="V2501" s="22"/>
      <c r="W2501" s="22"/>
      <c r="X2501" s="22"/>
    </row>
    <row r="2502" spans="17:24" x14ac:dyDescent="0.25">
      <c r="Q2502" s="22"/>
      <c r="R2502" s="22"/>
      <c r="S2502" s="22"/>
      <c r="T2502" s="22"/>
      <c r="U2502" s="22"/>
      <c r="V2502" s="22"/>
      <c r="W2502" s="22"/>
      <c r="X2502" s="22"/>
    </row>
    <row r="2503" spans="17:24" x14ac:dyDescent="0.25">
      <c r="Q2503" s="22"/>
      <c r="R2503" s="22"/>
      <c r="S2503" s="22"/>
      <c r="T2503" s="22"/>
      <c r="U2503" s="22"/>
      <c r="V2503" s="22"/>
      <c r="W2503" s="22"/>
      <c r="X2503" s="22"/>
    </row>
    <row r="2504" spans="17:24" x14ac:dyDescent="0.25">
      <c r="Q2504" s="22"/>
      <c r="R2504" s="22"/>
      <c r="S2504" s="22"/>
      <c r="T2504" s="22"/>
      <c r="U2504" s="22"/>
      <c r="V2504" s="22"/>
      <c r="W2504" s="22"/>
      <c r="X2504" s="22"/>
    </row>
    <row r="2505" spans="17:24" x14ac:dyDescent="0.25">
      <c r="Q2505" s="22"/>
      <c r="R2505" s="22"/>
      <c r="S2505" s="22"/>
      <c r="T2505" s="22"/>
      <c r="U2505" s="22"/>
      <c r="V2505" s="22"/>
      <c r="W2505" s="22"/>
      <c r="X2505" s="22"/>
    </row>
    <row r="2506" spans="17:24" x14ac:dyDescent="0.25">
      <c r="Q2506" s="22"/>
      <c r="R2506" s="22"/>
      <c r="S2506" s="22"/>
      <c r="T2506" s="22"/>
      <c r="U2506" s="22"/>
      <c r="V2506" s="22"/>
      <c r="W2506" s="22"/>
      <c r="X2506" s="22"/>
    </row>
    <row r="2507" spans="17:24" x14ac:dyDescent="0.25">
      <c r="Q2507" s="22"/>
      <c r="R2507" s="22"/>
      <c r="S2507" s="22"/>
      <c r="T2507" s="22"/>
      <c r="U2507" s="22"/>
      <c r="V2507" s="22"/>
      <c r="W2507" s="22"/>
      <c r="X2507" s="22"/>
    </row>
    <row r="2508" spans="17:24" x14ac:dyDescent="0.25">
      <c r="Q2508" s="22"/>
      <c r="R2508" s="22"/>
      <c r="S2508" s="22"/>
      <c r="T2508" s="22"/>
      <c r="U2508" s="22"/>
      <c r="V2508" s="22"/>
      <c r="W2508" s="22"/>
      <c r="X2508" s="22"/>
    </row>
    <row r="2509" spans="17:24" x14ac:dyDescent="0.25">
      <c r="Q2509" s="22"/>
      <c r="R2509" s="22"/>
      <c r="S2509" s="22"/>
      <c r="T2509" s="22"/>
      <c r="U2509" s="22"/>
      <c r="V2509" s="22"/>
      <c r="W2509" s="22"/>
      <c r="X2509" s="22"/>
    </row>
    <row r="2510" spans="17:24" x14ac:dyDescent="0.25">
      <c r="Q2510" s="22"/>
      <c r="R2510" s="22"/>
      <c r="S2510" s="22"/>
      <c r="T2510" s="22"/>
      <c r="U2510" s="22"/>
      <c r="V2510" s="22"/>
      <c r="W2510" s="22"/>
      <c r="X2510" s="22"/>
    </row>
    <row r="2511" spans="17:24" x14ac:dyDescent="0.25">
      <c r="Q2511" s="22"/>
      <c r="R2511" s="22"/>
      <c r="S2511" s="22"/>
      <c r="T2511" s="22"/>
      <c r="U2511" s="22"/>
      <c r="V2511" s="22"/>
      <c r="W2511" s="22"/>
      <c r="X2511" s="22"/>
    </row>
    <row r="2512" spans="17:24" x14ac:dyDescent="0.25">
      <c r="Q2512" s="22"/>
      <c r="R2512" s="22"/>
      <c r="S2512" s="22"/>
      <c r="T2512" s="22"/>
      <c r="U2512" s="22"/>
      <c r="V2512" s="22"/>
      <c r="W2512" s="22"/>
      <c r="X2512" s="22"/>
    </row>
    <row r="2513" spans="17:24" x14ac:dyDescent="0.25">
      <c r="Q2513" s="22"/>
      <c r="R2513" s="22"/>
      <c r="S2513" s="22"/>
      <c r="T2513" s="22"/>
      <c r="U2513" s="22"/>
      <c r="V2513" s="22"/>
      <c r="W2513" s="22"/>
      <c r="X2513" s="22"/>
    </row>
    <row r="2514" spans="17:24" x14ac:dyDescent="0.25">
      <c r="Q2514" s="22"/>
      <c r="R2514" s="22"/>
      <c r="S2514" s="22"/>
      <c r="T2514" s="22"/>
      <c r="U2514" s="22"/>
      <c r="V2514" s="22"/>
      <c r="W2514" s="22"/>
      <c r="X2514" s="22"/>
    </row>
    <row r="2515" spans="17:24" x14ac:dyDescent="0.25">
      <c r="Q2515" s="22"/>
      <c r="R2515" s="22"/>
      <c r="S2515" s="22"/>
      <c r="T2515" s="22"/>
      <c r="U2515" s="22"/>
      <c r="V2515" s="22"/>
      <c r="W2515" s="22"/>
      <c r="X2515" s="22"/>
    </row>
    <row r="2516" spans="17:24" x14ac:dyDescent="0.25">
      <c r="Q2516" s="22"/>
      <c r="R2516" s="22"/>
      <c r="S2516" s="22"/>
      <c r="T2516" s="22"/>
      <c r="U2516" s="22"/>
      <c r="V2516" s="22"/>
      <c r="W2516" s="22"/>
      <c r="X2516" s="22"/>
    </row>
    <row r="2517" spans="17:24" x14ac:dyDescent="0.25">
      <c r="Q2517" s="22"/>
      <c r="R2517" s="22"/>
      <c r="S2517" s="22"/>
      <c r="T2517" s="22"/>
      <c r="U2517" s="22"/>
      <c r="V2517" s="22"/>
      <c r="W2517" s="22"/>
      <c r="X2517" s="22"/>
    </row>
    <row r="2518" spans="17:24" x14ac:dyDescent="0.25">
      <c r="Q2518" s="22"/>
      <c r="R2518" s="22"/>
      <c r="S2518" s="22"/>
      <c r="T2518" s="22"/>
      <c r="U2518" s="22"/>
      <c r="V2518" s="22"/>
      <c r="W2518" s="22"/>
      <c r="X2518" s="22"/>
    </row>
    <row r="2519" spans="17:24" x14ac:dyDescent="0.25">
      <c r="Q2519" s="22"/>
      <c r="R2519" s="22"/>
      <c r="S2519" s="22"/>
      <c r="T2519" s="22"/>
      <c r="U2519" s="22"/>
      <c r="V2519" s="22"/>
      <c r="W2519" s="22"/>
      <c r="X2519" s="22"/>
    </row>
    <row r="2520" spans="17:24" x14ac:dyDescent="0.25">
      <c r="Q2520" s="22"/>
      <c r="R2520" s="22"/>
      <c r="S2520" s="22"/>
      <c r="T2520" s="22"/>
      <c r="U2520" s="22"/>
      <c r="V2520" s="22"/>
      <c r="W2520" s="22"/>
      <c r="X2520" s="22"/>
    </row>
    <row r="2521" spans="17:24" x14ac:dyDescent="0.25">
      <c r="Q2521" s="22"/>
      <c r="R2521" s="22"/>
      <c r="S2521" s="22"/>
      <c r="T2521" s="22"/>
      <c r="U2521" s="22"/>
      <c r="V2521" s="22"/>
      <c r="W2521" s="22"/>
      <c r="X2521" s="22"/>
    </row>
    <row r="2522" spans="17:24" x14ac:dyDescent="0.25">
      <c r="Q2522" s="22"/>
      <c r="R2522" s="22"/>
      <c r="S2522" s="22"/>
      <c r="T2522" s="22"/>
      <c r="U2522" s="22"/>
      <c r="V2522" s="22"/>
      <c r="W2522" s="22"/>
      <c r="X2522" s="22"/>
    </row>
    <row r="2523" spans="17:24" x14ac:dyDescent="0.25">
      <c r="Q2523" s="22"/>
      <c r="R2523" s="22"/>
      <c r="S2523" s="22"/>
      <c r="T2523" s="22"/>
      <c r="U2523" s="22"/>
      <c r="V2523" s="22"/>
      <c r="W2523" s="22"/>
      <c r="X2523" s="22"/>
    </row>
    <row r="2524" spans="17:24" x14ac:dyDescent="0.25">
      <c r="Q2524" s="22"/>
      <c r="R2524" s="22"/>
      <c r="S2524" s="22"/>
      <c r="T2524" s="22"/>
      <c r="U2524" s="22"/>
      <c r="V2524" s="22"/>
      <c r="W2524" s="22"/>
      <c r="X2524" s="22"/>
    </row>
    <row r="2525" spans="17:24" x14ac:dyDescent="0.25">
      <c r="Q2525" s="22"/>
      <c r="R2525" s="22"/>
      <c r="S2525" s="22"/>
      <c r="T2525" s="22"/>
      <c r="U2525" s="22"/>
      <c r="V2525" s="22"/>
      <c r="W2525" s="22"/>
      <c r="X2525" s="22"/>
    </row>
    <row r="2526" spans="17:24" x14ac:dyDescent="0.25">
      <c r="Q2526" s="22"/>
      <c r="R2526" s="22"/>
      <c r="S2526" s="22"/>
      <c r="T2526" s="22"/>
      <c r="U2526" s="22"/>
      <c r="V2526" s="22"/>
      <c r="W2526" s="22"/>
      <c r="X2526" s="22"/>
    </row>
    <row r="2527" spans="17:24" x14ac:dyDescent="0.25">
      <c r="Q2527" s="22"/>
      <c r="R2527" s="22"/>
      <c r="S2527" s="22"/>
      <c r="T2527" s="22"/>
      <c r="U2527" s="22"/>
      <c r="V2527" s="22"/>
      <c r="W2527" s="22"/>
      <c r="X2527" s="22"/>
    </row>
    <row r="2528" spans="17:24" x14ac:dyDescent="0.25">
      <c r="Q2528" s="22"/>
      <c r="R2528" s="22"/>
      <c r="S2528" s="22"/>
      <c r="T2528" s="22"/>
      <c r="U2528" s="22"/>
      <c r="V2528" s="22"/>
      <c r="W2528" s="22"/>
      <c r="X2528" s="22"/>
    </row>
    <row r="2529" spans="17:24" x14ac:dyDescent="0.25">
      <c r="Q2529" s="22"/>
      <c r="R2529" s="22"/>
      <c r="S2529" s="22"/>
      <c r="T2529" s="22"/>
      <c r="U2529" s="22"/>
      <c r="V2529" s="22"/>
      <c r="W2529" s="22"/>
      <c r="X2529" s="22"/>
    </row>
    <row r="2530" spans="17:24" x14ac:dyDescent="0.25">
      <c r="Q2530" s="22"/>
      <c r="R2530" s="22"/>
      <c r="S2530" s="22"/>
      <c r="T2530" s="22"/>
      <c r="U2530" s="22"/>
      <c r="V2530" s="22"/>
      <c r="W2530" s="22"/>
      <c r="X2530" s="22"/>
    </row>
    <row r="2531" spans="17:24" x14ac:dyDescent="0.25">
      <c r="Q2531" s="22"/>
      <c r="R2531" s="22"/>
      <c r="S2531" s="22"/>
      <c r="T2531" s="22"/>
      <c r="U2531" s="22"/>
      <c r="V2531" s="22"/>
      <c r="W2531" s="22"/>
      <c r="X2531" s="22"/>
    </row>
    <row r="2532" spans="17:24" x14ac:dyDescent="0.25">
      <c r="Q2532" s="22"/>
      <c r="R2532" s="22"/>
      <c r="S2532" s="22"/>
      <c r="T2532" s="22"/>
      <c r="U2532" s="22"/>
      <c r="V2532" s="22"/>
      <c r="W2532" s="22"/>
      <c r="X2532" s="22"/>
    </row>
    <row r="2533" spans="17:24" x14ac:dyDescent="0.25">
      <c r="Q2533" s="22"/>
      <c r="R2533" s="22"/>
      <c r="S2533" s="22"/>
      <c r="T2533" s="22"/>
      <c r="U2533" s="22"/>
      <c r="V2533" s="22"/>
      <c r="W2533" s="22"/>
      <c r="X2533" s="22"/>
    </row>
    <row r="2534" spans="17:24" x14ac:dyDescent="0.25">
      <c r="Q2534" s="22"/>
      <c r="R2534" s="22"/>
      <c r="S2534" s="22"/>
      <c r="T2534" s="22"/>
      <c r="U2534" s="22"/>
      <c r="V2534" s="22"/>
      <c r="W2534" s="22"/>
      <c r="X2534" s="22"/>
    </row>
    <row r="2535" spans="17:24" x14ac:dyDescent="0.25">
      <c r="Q2535" s="22"/>
      <c r="R2535" s="22"/>
      <c r="S2535" s="22"/>
      <c r="T2535" s="22"/>
      <c r="U2535" s="22"/>
      <c r="V2535" s="22"/>
      <c r="W2535" s="22"/>
      <c r="X2535" s="22"/>
    </row>
    <row r="2536" spans="17:24" x14ac:dyDescent="0.25">
      <c r="Q2536" s="22"/>
      <c r="R2536" s="22"/>
      <c r="S2536" s="22"/>
      <c r="T2536" s="22"/>
      <c r="U2536" s="22"/>
      <c r="V2536" s="22"/>
      <c r="W2536" s="22"/>
      <c r="X2536" s="22"/>
    </row>
    <row r="2537" spans="17:24" x14ac:dyDescent="0.25">
      <c r="Q2537" s="22"/>
      <c r="R2537" s="22"/>
      <c r="S2537" s="22"/>
      <c r="T2537" s="22"/>
      <c r="U2537" s="22"/>
      <c r="V2537" s="22"/>
      <c r="W2537" s="22"/>
      <c r="X2537" s="22"/>
    </row>
    <row r="2538" spans="17:24" x14ac:dyDescent="0.25">
      <c r="Q2538" s="22"/>
      <c r="R2538" s="22"/>
      <c r="S2538" s="22"/>
      <c r="T2538" s="22"/>
      <c r="U2538" s="22"/>
      <c r="V2538" s="22"/>
      <c r="W2538" s="22"/>
      <c r="X2538" s="22"/>
    </row>
    <row r="2539" spans="17:24" x14ac:dyDescent="0.25">
      <c r="Q2539" s="22"/>
      <c r="R2539" s="22"/>
      <c r="S2539" s="22"/>
      <c r="T2539" s="22"/>
      <c r="U2539" s="22"/>
      <c r="V2539" s="22"/>
      <c r="W2539" s="22"/>
      <c r="X2539" s="22"/>
    </row>
    <row r="2540" spans="17:24" x14ac:dyDescent="0.25">
      <c r="Q2540" s="22"/>
      <c r="R2540" s="22"/>
      <c r="S2540" s="22"/>
      <c r="T2540" s="22"/>
      <c r="U2540" s="22"/>
      <c r="V2540" s="22"/>
      <c r="W2540" s="22"/>
      <c r="X2540" s="22"/>
    </row>
    <row r="2541" spans="17:24" x14ac:dyDescent="0.25">
      <c r="Q2541" s="22"/>
      <c r="R2541" s="22"/>
      <c r="S2541" s="22"/>
      <c r="T2541" s="22"/>
      <c r="U2541" s="22"/>
      <c r="V2541" s="22"/>
      <c r="W2541" s="22"/>
      <c r="X2541" s="22"/>
    </row>
    <row r="2542" spans="17:24" x14ac:dyDescent="0.25">
      <c r="Q2542" s="22"/>
      <c r="R2542" s="22"/>
      <c r="S2542" s="22"/>
      <c r="T2542" s="22"/>
      <c r="U2542" s="22"/>
      <c r="V2542" s="22"/>
      <c r="W2542" s="22"/>
      <c r="X2542" s="22"/>
    </row>
    <row r="2543" spans="17:24" x14ac:dyDescent="0.25">
      <c r="Q2543" s="22"/>
      <c r="R2543" s="22"/>
      <c r="S2543" s="22"/>
      <c r="T2543" s="22"/>
      <c r="U2543" s="22"/>
      <c r="V2543" s="22"/>
      <c r="W2543" s="22"/>
      <c r="X2543" s="22"/>
    </row>
    <row r="2544" spans="17:24" x14ac:dyDescent="0.25">
      <c r="Q2544" s="22"/>
      <c r="R2544" s="22"/>
      <c r="S2544" s="22"/>
      <c r="T2544" s="22"/>
      <c r="U2544" s="22"/>
      <c r="V2544" s="22"/>
      <c r="W2544" s="22"/>
      <c r="X2544" s="22"/>
    </row>
    <row r="2545" spans="17:24" x14ac:dyDescent="0.25">
      <c r="Q2545" s="22"/>
      <c r="R2545" s="22"/>
      <c r="S2545" s="22"/>
      <c r="T2545" s="22"/>
      <c r="U2545" s="22"/>
      <c r="V2545" s="22"/>
      <c r="W2545" s="22"/>
      <c r="X2545" s="22"/>
    </row>
    <row r="2546" spans="17:24" x14ac:dyDescent="0.25">
      <c r="Q2546" s="22"/>
      <c r="R2546" s="22"/>
      <c r="S2546" s="22"/>
      <c r="T2546" s="22"/>
      <c r="U2546" s="22"/>
      <c r="V2546" s="22"/>
      <c r="W2546" s="22"/>
      <c r="X2546" s="22"/>
    </row>
    <row r="2547" spans="17:24" x14ac:dyDescent="0.25">
      <c r="Q2547" s="22"/>
      <c r="R2547" s="22"/>
      <c r="S2547" s="22"/>
      <c r="T2547" s="22"/>
      <c r="U2547" s="22"/>
      <c r="V2547" s="22"/>
      <c r="W2547" s="22"/>
      <c r="X2547" s="22"/>
    </row>
    <row r="2548" spans="17:24" x14ac:dyDescent="0.25">
      <c r="Q2548" s="22"/>
      <c r="R2548" s="22"/>
      <c r="S2548" s="22"/>
      <c r="T2548" s="22"/>
      <c r="U2548" s="22"/>
      <c r="V2548" s="22"/>
      <c r="W2548" s="22"/>
      <c r="X2548" s="22"/>
    </row>
    <row r="2549" spans="17:24" x14ac:dyDescent="0.25">
      <c r="Q2549" s="22"/>
      <c r="R2549" s="22"/>
      <c r="S2549" s="22"/>
      <c r="T2549" s="22"/>
      <c r="U2549" s="22"/>
      <c r="V2549" s="22"/>
      <c r="W2549" s="22"/>
      <c r="X2549" s="22"/>
    </row>
    <row r="2550" spans="17:24" x14ac:dyDescent="0.25">
      <c r="Q2550" s="22"/>
      <c r="R2550" s="22"/>
      <c r="S2550" s="22"/>
      <c r="T2550" s="22"/>
      <c r="U2550" s="22"/>
      <c r="V2550" s="22"/>
      <c r="W2550" s="22"/>
      <c r="X2550" s="22"/>
    </row>
    <row r="2551" spans="17:24" x14ac:dyDescent="0.25">
      <c r="Q2551" s="22"/>
      <c r="R2551" s="22"/>
      <c r="S2551" s="22"/>
      <c r="T2551" s="22"/>
      <c r="U2551" s="22"/>
      <c r="V2551" s="22"/>
      <c r="W2551" s="22"/>
      <c r="X2551" s="22"/>
    </row>
    <row r="2552" spans="17:24" x14ac:dyDescent="0.25">
      <c r="Q2552" s="22"/>
      <c r="R2552" s="22"/>
      <c r="S2552" s="22"/>
      <c r="T2552" s="22"/>
      <c r="U2552" s="22"/>
      <c r="V2552" s="22"/>
      <c r="W2552" s="22"/>
      <c r="X2552" s="22"/>
    </row>
    <row r="2553" spans="17:24" x14ac:dyDescent="0.25">
      <c r="Q2553" s="22"/>
      <c r="R2553" s="22"/>
      <c r="S2553" s="22"/>
      <c r="T2553" s="22"/>
      <c r="U2553" s="22"/>
      <c r="V2553" s="22"/>
      <c r="W2553" s="22"/>
      <c r="X2553" s="22"/>
    </row>
    <row r="2554" spans="17:24" x14ac:dyDescent="0.25">
      <c r="Q2554" s="22"/>
      <c r="R2554" s="22"/>
      <c r="S2554" s="22"/>
      <c r="T2554" s="22"/>
      <c r="U2554" s="22"/>
      <c r="V2554" s="22"/>
      <c r="W2554" s="22"/>
      <c r="X2554" s="22"/>
    </row>
    <row r="2555" spans="17:24" x14ac:dyDescent="0.25">
      <c r="Q2555" s="22"/>
      <c r="R2555" s="22"/>
      <c r="S2555" s="22"/>
      <c r="T2555" s="22"/>
      <c r="U2555" s="22"/>
      <c r="V2555" s="22"/>
      <c r="W2555" s="22"/>
      <c r="X2555" s="22"/>
    </row>
    <row r="2556" spans="17:24" x14ac:dyDescent="0.25">
      <c r="Q2556" s="22"/>
      <c r="R2556" s="22"/>
      <c r="S2556" s="22"/>
      <c r="T2556" s="22"/>
      <c r="U2556" s="22"/>
      <c r="V2556" s="22"/>
      <c r="W2556" s="22"/>
      <c r="X2556" s="22"/>
    </row>
    <row r="2557" spans="17:24" x14ac:dyDescent="0.25">
      <c r="Q2557" s="22"/>
      <c r="R2557" s="22"/>
      <c r="S2557" s="22"/>
      <c r="T2557" s="22"/>
      <c r="U2557" s="22"/>
      <c r="V2557" s="22"/>
      <c r="W2557" s="22"/>
      <c r="X2557" s="22"/>
    </row>
    <row r="2558" spans="17:24" x14ac:dyDescent="0.25">
      <c r="Q2558" s="22"/>
      <c r="R2558" s="22"/>
      <c r="S2558" s="22"/>
      <c r="T2558" s="22"/>
      <c r="U2558" s="22"/>
      <c r="V2558" s="22"/>
      <c r="W2558" s="22"/>
      <c r="X2558" s="22"/>
    </row>
    <row r="2559" spans="17:24" x14ac:dyDescent="0.25">
      <c r="Q2559" s="22"/>
      <c r="R2559" s="22"/>
      <c r="S2559" s="22"/>
      <c r="T2559" s="22"/>
      <c r="U2559" s="22"/>
      <c r="V2559" s="22"/>
      <c r="W2559" s="22"/>
      <c r="X2559" s="22"/>
    </row>
    <row r="2560" spans="17:24" x14ac:dyDescent="0.25">
      <c r="Q2560" s="22"/>
      <c r="R2560" s="22"/>
      <c r="S2560" s="22"/>
      <c r="T2560" s="22"/>
      <c r="U2560" s="22"/>
      <c r="V2560" s="22"/>
      <c r="W2560" s="22"/>
      <c r="X2560" s="22"/>
    </row>
    <row r="2561" spans="17:24" x14ac:dyDescent="0.25">
      <c r="Q2561" s="22"/>
      <c r="R2561" s="22"/>
      <c r="S2561" s="22"/>
      <c r="T2561" s="22"/>
      <c r="U2561" s="22"/>
      <c r="V2561" s="22"/>
      <c r="W2561" s="22"/>
      <c r="X2561" s="22"/>
    </row>
    <row r="2562" spans="17:24" x14ac:dyDescent="0.25">
      <c r="Q2562" s="22"/>
      <c r="R2562" s="22"/>
      <c r="S2562" s="22"/>
      <c r="T2562" s="22"/>
      <c r="U2562" s="22"/>
      <c r="V2562" s="22"/>
      <c r="W2562" s="22"/>
      <c r="X2562" s="22"/>
    </row>
    <row r="2563" spans="17:24" x14ac:dyDescent="0.25">
      <c r="Q2563" s="22"/>
      <c r="R2563" s="22"/>
      <c r="S2563" s="22"/>
      <c r="T2563" s="22"/>
      <c r="U2563" s="22"/>
      <c r="V2563" s="22"/>
      <c r="W2563" s="22"/>
      <c r="X2563" s="22"/>
    </row>
    <row r="2564" spans="17:24" x14ac:dyDescent="0.25">
      <c r="Q2564" s="22"/>
      <c r="R2564" s="22"/>
      <c r="S2564" s="22"/>
      <c r="T2564" s="22"/>
      <c r="U2564" s="22"/>
      <c r="V2564" s="22"/>
      <c r="W2564" s="22"/>
      <c r="X2564" s="22"/>
    </row>
    <row r="2565" spans="17:24" x14ac:dyDescent="0.25">
      <c r="Q2565" s="22"/>
      <c r="R2565" s="22"/>
      <c r="S2565" s="22"/>
      <c r="T2565" s="22"/>
      <c r="U2565" s="22"/>
      <c r="V2565" s="22"/>
      <c r="W2565" s="22"/>
      <c r="X2565" s="22"/>
    </row>
    <row r="2566" spans="17:24" x14ac:dyDescent="0.25">
      <c r="Q2566" s="22"/>
      <c r="R2566" s="22"/>
      <c r="S2566" s="22"/>
      <c r="T2566" s="22"/>
      <c r="U2566" s="22"/>
      <c r="V2566" s="22"/>
      <c r="W2566" s="22"/>
      <c r="X2566" s="22"/>
    </row>
    <row r="2567" spans="17:24" x14ac:dyDescent="0.25">
      <c r="Q2567" s="22"/>
      <c r="R2567" s="22"/>
      <c r="S2567" s="22"/>
      <c r="T2567" s="22"/>
      <c r="U2567" s="22"/>
      <c r="V2567" s="22"/>
      <c r="W2567" s="22"/>
      <c r="X2567" s="22"/>
    </row>
    <row r="2568" spans="17:24" x14ac:dyDescent="0.25">
      <c r="Q2568" s="22"/>
      <c r="R2568" s="22"/>
      <c r="S2568" s="22"/>
      <c r="T2568" s="22"/>
      <c r="U2568" s="22"/>
      <c r="V2568" s="22"/>
      <c r="W2568" s="22"/>
      <c r="X2568" s="22"/>
    </row>
    <row r="2569" spans="17:24" x14ac:dyDescent="0.25">
      <c r="Q2569" s="22"/>
      <c r="R2569" s="22"/>
      <c r="S2569" s="22"/>
      <c r="T2569" s="22"/>
      <c r="U2569" s="22"/>
      <c r="V2569" s="22"/>
      <c r="W2569" s="22"/>
      <c r="X2569" s="22"/>
    </row>
    <row r="2570" spans="17:24" x14ac:dyDescent="0.25">
      <c r="Q2570" s="22"/>
      <c r="R2570" s="22"/>
      <c r="S2570" s="22"/>
      <c r="T2570" s="22"/>
      <c r="U2570" s="22"/>
      <c r="V2570" s="22"/>
      <c r="W2570" s="22"/>
      <c r="X2570" s="22"/>
    </row>
    <row r="2571" spans="17:24" x14ac:dyDescent="0.25">
      <c r="Q2571" s="22"/>
      <c r="R2571" s="22"/>
      <c r="S2571" s="22"/>
      <c r="T2571" s="22"/>
      <c r="U2571" s="22"/>
      <c r="V2571" s="22"/>
      <c r="W2571" s="22"/>
      <c r="X2571" s="22"/>
    </row>
    <row r="2572" spans="17:24" x14ac:dyDescent="0.25">
      <c r="Q2572" s="22"/>
      <c r="R2572" s="22"/>
      <c r="S2572" s="22"/>
      <c r="T2572" s="22"/>
      <c r="U2572" s="22"/>
      <c r="V2572" s="22"/>
      <c r="W2572" s="22"/>
      <c r="X2572" s="22"/>
    </row>
    <row r="2573" spans="17:24" x14ac:dyDescent="0.25">
      <c r="Q2573" s="22"/>
      <c r="R2573" s="22"/>
      <c r="S2573" s="22"/>
      <c r="T2573" s="22"/>
      <c r="U2573" s="22"/>
      <c r="V2573" s="22"/>
      <c r="W2573" s="22"/>
      <c r="X2573" s="22"/>
    </row>
    <row r="2574" spans="17:24" x14ac:dyDescent="0.25">
      <c r="Q2574" s="22"/>
      <c r="R2574" s="22"/>
      <c r="S2574" s="22"/>
      <c r="T2574" s="22"/>
      <c r="U2574" s="22"/>
      <c r="V2574" s="22"/>
      <c r="W2574" s="22"/>
      <c r="X2574" s="22"/>
    </row>
    <row r="2575" spans="17:24" x14ac:dyDescent="0.25">
      <c r="Q2575" s="22"/>
      <c r="R2575" s="22"/>
      <c r="S2575" s="22"/>
      <c r="T2575" s="22"/>
      <c r="U2575" s="22"/>
      <c r="V2575" s="22"/>
      <c r="W2575" s="22"/>
      <c r="X2575" s="22"/>
    </row>
    <row r="2576" spans="17:24" x14ac:dyDescent="0.25">
      <c r="Q2576" s="22"/>
      <c r="R2576" s="22"/>
      <c r="S2576" s="22"/>
      <c r="T2576" s="22"/>
      <c r="U2576" s="22"/>
      <c r="V2576" s="22"/>
      <c r="W2576" s="22"/>
      <c r="X2576" s="22"/>
    </row>
    <row r="2577" spans="17:24" x14ac:dyDescent="0.25">
      <c r="Q2577" s="22"/>
      <c r="R2577" s="22"/>
      <c r="S2577" s="22"/>
      <c r="T2577" s="22"/>
      <c r="U2577" s="22"/>
      <c r="V2577" s="22"/>
      <c r="W2577" s="22"/>
      <c r="X2577" s="22"/>
    </row>
    <row r="2578" spans="17:24" x14ac:dyDescent="0.25">
      <c r="Q2578" s="22"/>
      <c r="R2578" s="22"/>
      <c r="S2578" s="22"/>
      <c r="T2578" s="22"/>
      <c r="U2578" s="22"/>
      <c r="V2578" s="22"/>
      <c r="W2578" s="22"/>
      <c r="X2578" s="22"/>
    </row>
    <row r="2579" spans="17:24" x14ac:dyDescent="0.25">
      <c r="Q2579" s="22"/>
      <c r="R2579" s="22"/>
      <c r="S2579" s="22"/>
      <c r="T2579" s="22"/>
      <c r="U2579" s="22"/>
      <c r="V2579" s="22"/>
      <c r="W2579" s="22"/>
      <c r="X2579" s="22"/>
    </row>
    <row r="2580" spans="17:24" x14ac:dyDescent="0.25">
      <c r="Q2580" s="22"/>
      <c r="R2580" s="22"/>
      <c r="S2580" s="22"/>
      <c r="T2580" s="22"/>
      <c r="U2580" s="22"/>
      <c r="V2580" s="22"/>
      <c r="W2580" s="22"/>
      <c r="X2580" s="22"/>
    </row>
    <row r="2581" spans="17:24" x14ac:dyDescent="0.25">
      <c r="Q2581" s="22"/>
      <c r="R2581" s="22"/>
      <c r="S2581" s="22"/>
      <c r="T2581" s="22"/>
      <c r="U2581" s="22"/>
      <c r="V2581" s="22"/>
      <c r="W2581" s="22"/>
      <c r="X2581" s="22"/>
    </row>
    <row r="2582" spans="17:24" x14ac:dyDescent="0.25">
      <c r="Q2582" s="22"/>
      <c r="R2582" s="22"/>
      <c r="S2582" s="22"/>
      <c r="T2582" s="22"/>
      <c r="U2582" s="22"/>
      <c r="V2582" s="22"/>
      <c r="W2582" s="22"/>
      <c r="X2582" s="22"/>
    </row>
    <row r="2583" spans="17:24" x14ac:dyDescent="0.25">
      <c r="Q2583" s="22"/>
      <c r="R2583" s="22"/>
      <c r="S2583" s="22"/>
      <c r="T2583" s="22"/>
      <c r="U2583" s="22"/>
      <c r="V2583" s="22"/>
      <c r="W2583" s="22"/>
      <c r="X2583" s="22"/>
    </row>
    <row r="2584" spans="17:24" x14ac:dyDescent="0.25">
      <c r="Q2584" s="22"/>
      <c r="R2584" s="22"/>
      <c r="S2584" s="22"/>
      <c r="T2584" s="22"/>
      <c r="U2584" s="22"/>
      <c r="V2584" s="22"/>
      <c r="W2584" s="22"/>
      <c r="X2584" s="22"/>
    </row>
    <row r="2585" spans="17:24" x14ac:dyDescent="0.25">
      <c r="Q2585" s="22"/>
      <c r="R2585" s="22"/>
      <c r="S2585" s="22"/>
      <c r="T2585" s="22"/>
      <c r="U2585" s="22"/>
      <c r="V2585" s="22"/>
      <c r="W2585" s="22"/>
      <c r="X2585" s="22"/>
    </row>
    <row r="2586" spans="17:24" x14ac:dyDescent="0.25">
      <c r="Q2586" s="22"/>
      <c r="R2586" s="22"/>
      <c r="S2586" s="22"/>
      <c r="T2586" s="22"/>
      <c r="U2586" s="22"/>
      <c r="V2586" s="22"/>
      <c r="W2586" s="22"/>
      <c r="X2586" s="22"/>
    </row>
    <row r="2587" spans="17:24" x14ac:dyDescent="0.25">
      <c r="Q2587" s="22"/>
      <c r="R2587" s="22"/>
      <c r="S2587" s="22"/>
      <c r="T2587" s="22"/>
      <c r="U2587" s="22"/>
      <c r="V2587" s="22"/>
      <c r="W2587" s="22"/>
      <c r="X2587" s="22"/>
    </row>
    <row r="2588" spans="17:24" x14ac:dyDescent="0.25">
      <c r="Q2588" s="22"/>
      <c r="R2588" s="22"/>
      <c r="S2588" s="22"/>
      <c r="T2588" s="22"/>
      <c r="U2588" s="22"/>
      <c r="V2588" s="22"/>
      <c r="W2588" s="22"/>
      <c r="X2588" s="22"/>
    </row>
    <row r="2589" spans="17:24" x14ac:dyDescent="0.25">
      <c r="Q2589" s="22"/>
      <c r="R2589" s="22"/>
      <c r="S2589" s="22"/>
      <c r="T2589" s="22"/>
      <c r="U2589" s="22"/>
      <c r="V2589" s="22"/>
      <c r="W2589" s="22"/>
      <c r="X2589" s="22"/>
    </row>
    <row r="2590" spans="17:24" x14ac:dyDescent="0.25">
      <c r="Q2590" s="22"/>
      <c r="R2590" s="22"/>
      <c r="S2590" s="22"/>
      <c r="T2590" s="22"/>
      <c r="U2590" s="22"/>
      <c r="V2590" s="22"/>
      <c r="W2590" s="22"/>
      <c r="X2590" s="22"/>
    </row>
    <row r="2591" spans="17:24" x14ac:dyDescent="0.25">
      <c r="Q2591" s="22"/>
      <c r="R2591" s="22"/>
      <c r="S2591" s="22"/>
      <c r="T2591" s="22"/>
      <c r="U2591" s="22"/>
      <c r="V2591" s="22"/>
      <c r="W2591" s="22"/>
      <c r="X2591" s="22"/>
    </row>
    <row r="2592" spans="17:24" x14ac:dyDescent="0.25">
      <c r="Q2592" s="22"/>
      <c r="R2592" s="22"/>
      <c r="S2592" s="22"/>
      <c r="T2592" s="22"/>
      <c r="U2592" s="22"/>
      <c r="V2592" s="22"/>
      <c r="W2592" s="22"/>
      <c r="X2592" s="22"/>
    </row>
    <row r="2593" spans="17:24" x14ac:dyDescent="0.25">
      <c r="Q2593" s="22"/>
      <c r="R2593" s="22"/>
      <c r="S2593" s="22"/>
      <c r="T2593" s="22"/>
      <c r="U2593" s="22"/>
      <c r="V2593" s="22"/>
      <c r="W2593" s="22"/>
      <c r="X2593" s="22"/>
    </row>
    <row r="2594" spans="17:24" x14ac:dyDescent="0.25">
      <c r="Q2594" s="22"/>
      <c r="R2594" s="22"/>
      <c r="S2594" s="22"/>
      <c r="T2594" s="22"/>
      <c r="U2594" s="22"/>
      <c r="V2594" s="22"/>
      <c r="W2594" s="22"/>
      <c r="X2594" s="22"/>
    </row>
    <row r="2595" spans="17:24" x14ac:dyDescent="0.25">
      <c r="Q2595" s="22"/>
      <c r="R2595" s="22"/>
      <c r="S2595" s="22"/>
      <c r="T2595" s="22"/>
      <c r="U2595" s="22"/>
      <c r="V2595" s="22"/>
      <c r="W2595" s="22"/>
      <c r="X2595" s="22"/>
    </row>
    <row r="2596" spans="17:24" x14ac:dyDescent="0.25">
      <c r="Q2596" s="22"/>
      <c r="R2596" s="22"/>
      <c r="S2596" s="22"/>
      <c r="T2596" s="22"/>
      <c r="U2596" s="22"/>
      <c r="V2596" s="22"/>
      <c r="W2596" s="22"/>
      <c r="X2596" s="22"/>
    </row>
    <row r="2597" spans="17:24" x14ac:dyDescent="0.25">
      <c r="Q2597" s="22"/>
      <c r="R2597" s="22"/>
      <c r="S2597" s="22"/>
      <c r="T2597" s="22"/>
      <c r="U2597" s="22"/>
      <c r="V2597" s="22"/>
      <c r="W2597" s="22"/>
      <c r="X2597" s="22"/>
    </row>
    <row r="2598" spans="17:24" x14ac:dyDescent="0.25">
      <c r="Q2598" s="22"/>
      <c r="R2598" s="22"/>
      <c r="S2598" s="22"/>
      <c r="T2598" s="22"/>
      <c r="U2598" s="22"/>
      <c r="V2598" s="22"/>
      <c r="W2598" s="22"/>
      <c r="X2598" s="22"/>
    </row>
    <row r="2599" spans="17:24" x14ac:dyDescent="0.25">
      <c r="Q2599" s="22"/>
      <c r="R2599" s="22"/>
      <c r="S2599" s="22"/>
      <c r="T2599" s="22"/>
      <c r="U2599" s="22"/>
      <c r="V2599" s="22"/>
      <c r="W2599" s="22"/>
      <c r="X2599" s="22"/>
    </row>
    <row r="2600" spans="17:24" x14ac:dyDescent="0.25">
      <c r="Q2600" s="22"/>
      <c r="R2600" s="22"/>
      <c r="S2600" s="22"/>
      <c r="T2600" s="22"/>
      <c r="U2600" s="22"/>
      <c r="V2600" s="22"/>
      <c r="W2600" s="22"/>
      <c r="X2600" s="22"/>
    </row>
    <row r="2601" spans="17:24" x14ac:dyDescent="0.25">
      <c r="Q2601" s="22"/>
      <c r="R2601" s="22"/>
      <c r="S2601" s="22"/>
      <c r="T2601" s="22"/>
      <c r="U2601" s="22"/>
      <c r="V2601" s="22"/>
      <c r="W2601" s="22"/>
      <c r="X2601" s="22"/>
    </row>
    <row r="2602" spans="17:24" x14ac:dyDescent="0.25">
      <c r="Q2602" s="22"/>
      <c r="R2602" s="22"/>
      <c r="S2602" s="22"/>
      <c r="T2602" s="22"/>
      <c r="U2602" s="22"/>
      <c r="V2602" s="22"/>
      <c r="W2602" s="22"/>
      <c r="X2602" s="22"/>
    </row>
    <row r="2603" spans="17:24" x14ac:dyDescent="0.25">
      <c r="Q2603" s="22"/>
      <c r="R2603" s="22"/>
      <c r="S2603" s="22"/>
      <c r="T2603" s="22"/>
      <c r="U2603" s="22"/>
      <c r="V2603" s="22"/>
      <c r="W2603" s="22"/>
      <c r="X2603" s="22"/>
    </row>
    <row r="2604" spans="17:24" x14ac:dyDescent="0.25">
      <c r="Q2604" s="22"/>
      <c r="R2604" s="22"/>
      <c r="S2604" s="22"/>
      <c r="T2604" s="22"/>
      <c r="U2604" s="22"/>
      <c r="V2604" s="22"/>
      <c r="W2604" s="22"/>
      <c r="X2604" s="22"/>
    </row>
    <row r="2605" spans="17:24" x14ac:dyDescent="0.25">
      <c r="Q2605" s="22"/>
      <c r="R2605" s="22"/>
      <c r="S2605" s="22"/>
      <c r="T2605" s="22"/>
      <c r="U2605" s="22"/>
      <c r="V2605" s="22"/>
      <c r="W2605" s="22"/>
      <c r="X2605" s="22"/>
    </row>
    <row r="2606" spans="17:24" x14ac:dyDescent="0.25">
      <c r="Q2606" s="22"/>
      <c r="R2606" s="22"/>
      <c r="S2606" s="22"/>
      <c r="T2606" s="22"/>
      <c r="U2606" s="22"/>
      <c r="V2606" s="22"/>
      <c r="W2606" s="22"/>
      <c r="X2606" s="22"/>
    </row>
    <row r="2607" spans="17:24" x14ac:dyDescent="0.25">
      <c r="Q2607" s="22"/>
      <c r="R2607" s="22"/>
      <c r="S2607" s="22"/>
      <c r="T2607" s="22"/>
      <c r="U2607" s="22"/>
      <c r="V2607" s="22"/>
      <c r="W2607" s="22"/>
      <c r="X2607" s="22"/>
    </row>
    <row r="2608" spans="17:24" x14ac:dyDescent="0.25">
      <c r="Q2608" s="22"/>
      <c r="R2608" s="22"/>
      <c r="S2608" s="22"/>
      <c r="T2608" s="22"/>
      <c r="U2608" s="22"/>
      <c r="V2608" s="22"/>
      <c r="W2608" s="22"/>
      <c r="X2608" s="22"/>
    </row>
    <row r="2609" spans="17:24" x14ac:dyDescent="0.25">
      <c r="Q2609" s="22"/>
      <c r="R2609" s="22"/>
      <c r="S2609" s="22"/>
      <c r="T2609" s="22"/>
      <c r="U2609" s="22"/>
      <c r="V2609" s="22"/>
      <c r="W2609" s="22"/>
      <c r="X2609" s="22"/>
    </row>
    <row r="2610" spans="17:24" x14ac:dyDescent="0.25">
      <c r="Q2610" s="22"/>
      <c r="R2610" s="22"/>
      <c r="S2610" s="22"/>
      <c r="T2610" s="22"/>
      <c r="U2610" s="22"/>
      <c r="V2610" s="22"/>
      <c r="W2610" s="22"/>
      <c r="X2610" s="22"/>
    </row>
    <row r="2611" spans="17:24" x14ac:dyDescent="0.25">
      <c r="Q2611" s="22"/>
      <c r="R2611" s="22"/>
      <c r="S2611" s="22"/>
      <c r="T2611" s="22"/>
      <c r="U2611" s="22"/>
      <c r="V2611" s="22"/>
      <c r="W2611" s="22"/>
      <c r="X2611" s="22"/>
    </row>
    <row r="2612" spans="17:24" x14ac:dyDescent="0.25">
      <c r="Q2612" s="22"/>
      <c r="R2612" s="22"/>
      <c r="S2612" s="22"/>
      <c r="T2612" s="22"/>
      <c r="U2612" s="22"/>
      <c r="V2612" s="22"/>
      <c r="W2612" s="22"/>
      <c r="X2612" s="22"/>
    </row>
    <row r="2613" spans="17:24" x14ac:dyDescent="0.25">
      <c r="Q2613" s="22"/>
      <c r="R2613" s="22"/>
      <c r="S2613" s="22"/>
      <c r="T2613" s="22"/>
      <c r="U2613" s="22"/>
      <c r="V2613" s="22"/>
      <c r="W2613" s="22"/>
      <c r="X2613" s="22"/>
    </row>
    <row r="2614" spans="17:24" x14ac:dyDescent="0.25">
      <c r="Q2614" s="22"/>
      <c r="R2614" s="22"/>
      <c r="S2614" s="22"/>
      <c r="T2614" s="22"/>
      <c r="U2614" s="22"/>
      <c r="V2614" s="22"/>
      <c r="W2614" s="22"/>
      <c r="X2614" s="22"/>
    </row>
    <row r="2615" spans="17:24" x14ac:dyDescent="0.25">
      <c r="Q2615" s="22"/>
      <c r="R2615" s="22"/>
      <c r="S2615" s="22"/>
      <c r="T2615" s="22"/>
      <c r="U2615" s="22"/>
      <c r="V2615" s="22"/>
      <c r="W2615" s="22"/>
      <c r="X2615" s="22"/>
    </row>
    <row r="2616" spans="17:24" x14ac:dyDescent="0.25">
      <c r="Q2616" s="22"/>
      <c r="R2616" s="22"/>
      <c r="S2616" s="22"/>
      <c r="T2616" s="22"/>
      <c r="U2616" s="22"/>
      <c r="V2616" s="22"/>
      <c r="W2616" s="22"/>
      <c r="X2616" s="22"/>
    </row>
    <row r="2617" spans="17:24" x14ac:dyDescent="0.25">
      <c r="Q2617" s="22"/>
      <c r="R2617" s="22"/>
      <c r="S2617" s="22"/>
      <c r="T2617" s="22"/>
      <c r="U2617" s="22"/>
      <c r="V2617" s="22"/>
      <c r="W2617" s="22"/>
      <c r="X2617" s="22"/>
    </row>
    <row r="2618" spans="17:24" x14ac:dyDescent="0.25">
      <c r="Q2618" s="22"/>
      <c r="R2618" s="22"/>
      <c r="S2618" s="22"/>
      <c r="T2618" s="22"/>
      <c r="U2618" s="22"/>
      <c r="V2618" s="22"/>
      <c r="W2618" s="22"/>
      <c r="X2618" s="22"/>
    </row>
    <row r="2619" spans="17:24" x14ac:dyDescent="0.25">
      <c r="Q2619" s="22"/>
      <c r="R2619" s="22"/>
      <c r="S2619" s="22"/>
      <c r="T2619" s="22"/>
      <c r="U2619" s="22"/>
      <c r="V2619" s="22"/>
      <c r="W2619" s="22"/>
      <c r="X2619" s="22"/>
    </row>
    <row r="2620" spans="17:24" x14ac:dyDescent="0.25">
      <c r="Q2620" s="22"/>
      <c r="R2620" s="22"/>
      <c r="S2620" s="22"/>
      <c r="T2620" s="22"/>
      <c r="U2620" s="22"/>
      <c r="V2620" s="22"/>
      <c r="W2620" s="22"/>
      <c r="X2620" s="22"/>
    </row>
    <row r="2621" spans="17:24" x14ac:dyDescent="0.25">
      <c r="Q2621" s="22"/>
      <c r="R2621" s="22"/>
      <c r="S2621" s="22"/>
      <c r="T2621" s="22"/>
      <c r="U2621" s="22"/>
      <c r="V2621" s="22"/>
      <c r="W2621" s="22"/>
      <c r="X2621" s="22"/>
    </row>
    <row r="2622" spans="17:24" x14ac:dyDescent="0.25">
      <c r="Q2622" s="22"/>
      <c r="R2622" s="22"/>
      <c r="S2622" s="22"/>
      <c r="T2622" s="22"/>
      <c r="U2622" s="22"/>
      <c r="V2622" s="22"/>
      <c r="W2622" s="22"/>
      <c r="X2622" s="22"/>
    </row>
    <row r="2623" spans="17:24" x14ac:dyDescent="0.25">
      <c r="Q2623" s="22"/>
      <c r="R2623" s="22"/>
      <c r="S2623" s="22"/>
      <c r="T2623" s="22"/>
      <c r="U2623" s="22"/>
      <c r="V2623" s="22"/>
      <c r="W2623" s="22"/>
      <c r="X2623" s="22"/>
    </row>
    <row r="2624" spans="17:24" x14ac:dyDescent="0.25">
      <c r="Q2624" s="22"/>
      <c r="R2624" s="22"/>
      <c r="S2624" s="22"/>
      <c r="T2624" s="22"/>
      <c r="U2624" s="22"/>
      <c r="V2624" s="22"/>
      <c r="W2624" s="22"/>
      <c r="X2624" s="22"/>
    </row>
    <row r="2625" spans="17:24" x14ac:dyDescent="0.25">
      <c r="Q2625" s="22"/>
      <c r="R2625" s="22"/>
      <c r="S2625" s="22"/>
      <c r="T2625" s="22"/>
      <c r="U2625" s="22"/>
      <c r="V2625" s="22"/>
      <c r="W2625" s="22"/>
      <c r="X2625" s="22"/>
    </row>
    <row r="2626" spans="17:24" x14ac:dyDescent="0.25">
      <c r="Q2626" s="22"/>
      <c r="R2626" s="22"/>
      <c r="S2626" s="22"/>
      <c r="T2626" s="22"/>
      <c r="U2626" s="22"/>
      <c r="V2626" s="22"/>
      <c r="W2626" s="22"/>
      <c r="X2626" s="22"/>
    </row>
    <row r="2627" spans="17:24" x14ac:dyDescent="0.25">
      <c r="Q2627" s="22"/>
      <c r="R2627" s="22"/>
      <c r="S2627" s="22"/>
      <c r="T2627" s="22"/>
      <c r="U2627" s="22"/>
      <c r="V2627" s="22"/>
      <c r="W2627" s="22"/>
      <c r="X2627" s="22"/>
    </row>
    <row r="2628" spans="17:24" x14ac:dyDescent="0.25">
      <c r="Q2628" s="22"/>
      <c r="R2628" s="22"/>
      <c r="S2628" s="22"/>
      <c r="T2628" s="22"/>
      <c r="U2628" s="22"/>
      <c r="V2628" s="22"/>
      <c r="W2628" s="22"/>
      <c r="X2628" s="22"/>
    </row>
    <row r="2629" spans="17:24" x14ac:dyDescent="0.25">
      <c r="Q2629" s="22"/>
      <c r="R2629" s="22"/>
      <c r="S2629" s="22"/>
      <c r="T2629" s="22"/>
      <c r="U2629" s="22"/>
      <c r="V2629" s="22"/>
      <c r="W2629" s="22"/>
      <c r="X2629" s="22"/>
    </row>
    <row r="2630" spans="17:24" x14ac:dyDescent="0.25">
      <c r="Q2630" s="22"/>
      <c r="R2630" s="22"/>
      <c r="S2630" s="22"/>
      <c r="T2630" s="22"/>
      <c r="U2630" s="22"/>
      <c r="V2630" s="22"/>
      <c r="W2630" s="22"/>
      <c r="X2630" s="22"/>
    </row>
    <row r="2631" spans="17:24" x14ac:dyDescent="0.25">
      <c r="Q2631" s="22"/>
      <c r="R2631" s="22"/>
      <c r="S2631" s="22"/>
      <c r="T2631" s="22"/>
      <c r="U2631" s="22"/>
      <c r="V2631" s="22"/>
      <c r="W2631" s="22"/>
      <c r="X2631" s="22"/>
    </row>
    <row r="2632" spans="17:24" x14ac:dyDescent="0.25">
      <c r="Q2632" s="22"/>
      <c r="R2632" s="22"/>
      <c r="S2632" s="22"/>
      <c r="T2632" s="22"/>
      <c r="U2632" s="22"/>
      <c r="V2632" s="22"/>
      <c r="W2632" s="22"/>
      <c r="X2632" s="22"/>
    </row>
    <row r="2633" spans="17:24" x14ac:dyDescent="0.25">
      <c r="Q2633" s="22"/>
      <c r="R2633" s="22"/>
      <c r="S2633" s="22"/>
      <c r="T2633" s="22"/>
      <c r="U2633" s="22"/>
      <c r="V2633" s="22"/>
      <c r="W2633" s="22"/>
      <c r="X2633" s="22"/>
    </row>
    <row r="2634" spans="17:24" x14ac:dyDescent="0.25">
      <c r="Q2634" s="22"/>
      <c r="R2634" s="22"/>
      <c r="S2634" s="22"/>
      <c r="T2634" s="22"/>
      <c r="U2634" s="22"/>
      <c r="V2634" s="22"/>
      <c r="W2634" s="22"/>
      <c r="X2634" s="22"/>
    </row>
    <row r="2635" spans="17:24" x14ac:dyDescent="0.25">
      <c r="Q2635" s="22"/>
      <c r="R2635" s="22"/>
      <c r="S2635" s="22"/>
      <c r="T2635" s="22"/>
      <c r="U2635" s="22"/>
      <c r="V2635" s="22"/>
      <c r="W2635" s="22"/>
      <c r="X2635" s="22"/>
    </row>
    <row r="2636" spans="17:24" x14ac:dyDescent="0.25">
      <c r="Q2636" s="22"/>
      <c r="R2636" s="22"/>
      <c r="S2636" s="22"/>
      <c r="T2636" s="22"/>
      <c r="U2636" s="22"/>
      <c r="V2636" s="22"/>
      <c r="W2636" s="22"/>
      <c r="X2636" s="22"/>
    </row>
    <row r="2637" spans="17:24" x14ac:dyDescent="0.25">
      <c r="Q2637" s="22"/>
      <c r="R2637" s="22"/>
      <c r="S2637" s="22"/>
      <c r="T2637" s="22"/>
      <c r="U2637" s="22"/>
      <c r="V2637" s="22"/>
      <c r="W2637" s="22"/>
      <c r="X2637" s="22"/>
    </row>
    <row r="2638" spans="17:24" x14ac:dyDescent="0.25">
      <c r="Q2638" s="22"/>
      <c r="R2638" s="22"/>
      <c r="S2638" s="22"/>
      <c r="T2638" s="22"/>
      <c r="U2638" s="22"/>
      <c r="V2638" s="22"/>
      <c r="W2638" s="22"/>
      <c r="X2638" s="22"/>
    </row>
    <row r="2639" spans="17:24" x14ac:dyDescent="0.25">
      <c r="Q2639" s="22"/>
      <c r="R2639" s="22"/>
      <c r="S2639" s="22"/>
      <c r="T2639" s="22"/>
      <c r="U2639" s="22"/>
      <c r="V2639" s="22"/>
      <c r="W2639" s="22"/>
      <c r="X2639" s="22"/>
    </row>
    <row r="2640" spans="17:24" x14ac:dyDescent="0.25">
      <c r="Q2640" s="22"/>
      <c r="R2640" s="22"/>
      <c r="S2640" s="22"/>
      <c r="T2640" s="22"/>
      <c r="U2640" s="22"/>
      <c r="V2640" s="22"/>
      <c r="W2640" s="22"/>
      <c r="X2640" s="22"/>
    </row>
    <row r="2641" spans="17:24" x14ac:dyDescent="0.25">
      <c r="Q2641" s="22"/>
      <c r="R2641" s="22"/>
      <c r="S2641" s="22"/>
      <c r="T2641" s="22"/>
      <c r="U2641" s="22"/>
      <c r="V2641" s="22"/>
      <c r="W2641" s="22"/>
      <c r="X2641" s="22"/>
    </row>
    <row r="2642" spans="17:24" x14ac:dyDescent="0.25">
      <c r="Q2642" s="22"/>
      <c r="R2642" s="22"/>
      <c r="S2642" s="22"/>
      <c r="T2642" s="22"/>
      <c r="U2642" s="22"/>
      <c r="V2642" s="22"/>
      <c r="W2642" s="22"/>
      <c r="X2642" s="22"/>
    </row>
    <row r="2643" spans="17:24" x14ac:dyDescent="0.25">
      <c r="Q2643" s="22"/>
      <c r="R2643" s="22"/>
      <c r="S2643" s="22"/>
      <c r="T2643" s="22"/>
      <c r="U2643" s="22"/>
      <c r="V2643" s="22"/>
      <c r="W2643" s="22"/>
      <c r="X2643" s="22"/>
    </row>
    <row r="2644" spans="17:24" x14ac:dyDescent="0.25">
      <c r="Q2644" s="22"/>
      <c r="R2644" s="22"/>
      <c r="S2644" s="22"/>
      <c r="T2644" s="22"/>
      <c r="U2644" s="22"/>
      <c r="V2644" s="22"/>
      <c r="W2644" s="22"/>
      <c r="X2644" s="22"/>
    </row>
    <row r="2645" spans="17:24" x14ac:dyDescent="0.25">
      <c r="Q2645" s="22"/>
      <c r="R2645" s="22"/>
      <c r="S2645" s="22"/>
      <c r="T2645" s="22"/>
      <c r="U2645" s="22"/>
      <c r="V2645" s="22"/>
      <c r="W2645" s="22"/>
      <c r="X2645" s="22"/>
    </row>
    <row r="2646" spans="17:24" x14ac:dyDescent="0.25">
      <c r="Q2646" s="22"/>
      <c r="R2646" s="22"/>
      <c r="S2646" s="22"/>
      <c r="T2646" s="22"/>
      <c r="U2646" s="22"/>
      <c r="V2646" s="22"/>
      <c r="W2646" s="22"/>
      <c r="X2646" s="22"/>
    </row>
    <row r="2647" spans="17:24" x14ac:dyDescent="0.25">
      <c r="Q2647" s="22"/>
      <c r="R2647" s="22"/>
      <c r="S2647" s="22"/>
      <c r="T2647" s="22"/>
      <c r="U2647" s="22"/>
      <c r="V2647" s="22"/>
      <c r="W2647" s="22"/>
      <c r="X2647" s="22"/>
    </row>
    <row r="2648" spans="17:24" x14ac:dyDescent="0.25">
      <c r="Q2648" s="22"/>
      <c r="R2648" s="22"/>
      <c r="S2648" s="22"/>
      <c r="T2648" s="22"/>
      <c r="U2648" s="22"/>
      <c r="V2648" s="22"/>
      <c r="W2648" s="22"/>
      <c r="X2648" s="22"/>
    </row>
    <row r="2649" spans="17:24" x14ac:dyDescent="0.25">
      <c r="Q2649" s="22"/>
      <c r="R2649" s="22"/>
      <c r="S2649" s="22"/>
      <c r="T2649" s="22"/>
      <c r="U2649" s="22"/>
      <c r="V2649" s="22"/>
      <c r="W2649" s="22"/>
      <c r="X2649" s="22"/>
    </row>
    <row r="2650" spans="17:24" x14ac:dyDescent="0.25">
      <c r="Q2650" s="22"/>
      <c r="R2650" s="22"/>
      <c r="S2650" s="22"/>
      <c r="T2650" s="22"/>
      <c r="U2650" s="22"/>
      <c r="V2650" s="22"/>
      <c r="W2650" s="22"/>
      <c r="X2650" s="22"/>
    </row>
    <row r="2651" spans="17:24" x14ac:dyDescent="0.25">
      <c r="Q2651" s="22"/>
      <c r="R2651" s="22"/>
      <c r="S2651" s="22"/>
      <c r="T2651" s="22"/>
      <c r="U2651" s="22"/>
      <c r="V2651" s="22"/>
      <c r="W2651" s="22"/>
      <c r="X2651" s="22"/>
    </row>
    <row r="2652" spans="17:24" x14ac:dyDescent="0.25">
      <c r="Q2652" s="22"/>
      <c r="R2652" s="22"/>
      <c r="S2652" s="22"/>
      <c r="T2652" s="22"/>
      <c r="U2652" s="22"/>
      <c r="V2652" s="22"/>
      <c r="W2652" s="22"/>
      <c r="X2652" s="22"/>
    </row>
    <row r="2653" spans="17:24" x14ac:dyDescent="0.25">
      <c r="Q2653" s="22"/>
      <c r="R2653" s="22"/>
      <c r="S2653" s="22"/>
      <c r="T2653" s="22"/>
      <c r="U2653" s="22"/>
      <c r="V2653" s="22"/>
      <c r="W2653" s="22"/>
      <c r="X2653" s="22"/>
    </row>
    <row r="2654" spans="17:24" x14ac:dyDescent="0.25">
      <c r="Q2654" s="22"/>
      <c r="R2654" s="22"/>
      <c r="S2654" s="22"/>
      <c r="T2654" s="22"/>
      <c r="U2654" s="22"/>
      <c r="V2654" s="22"/>
      <c r="W2654" s="22"/>
      <c r="X2654" s="22"/>
    </row>
    <row r="2655" spans="17:24" x14ac:dyDescent="0.25">
      <c r="Q2655" s="22"/>
      <c r="R2655" s="22"/>
      <c r="S2655" s="22"/>
      <c r="T2655" s="22"/>
      <c r="U2655" s="22"/>
      <c r="V2655" s="22"/>
      <c r="W2655" s="22"/>
      <c r="X2655" s="22"/>
    </row>
    <row r="2656" spans="17:24" x14ac:dyDescent="0.25">
      <c r="Q2656" s="22"/>
      <c r="R2656" s="22"/>
      <c r="S2656" s="22"/>
      <c r="T2656" s="22"/>
      <c r="U2656" s="22"/>
      <c r="V2656" s="22"/>
      <c r="W2656" s="22"/>
      <c r="X2656" s="22"/>
    </row>
    <row r="2657" spans="17:24" x14ac:dyDescent="0.25">
      <c r="Q2657" s="22"/>
      <c r="R2657" s="22"/>
      <c r="S2657" s="22"/>
      <c r="T2657" s="22"/>
      <c r="U2657" s="22"/>
      <c r="V2657" s="22"/>
      <c r="W2657" s="22"/>
      <c r="X2657" s="22"/>
    </row>
    <row r="2658" spans="17:24" x14ac:dyDescent="0.25">
      <c r="Q2658" s="22"/>
      <c r="R2658" s="22"/>
      <c r="S2658" s="22"/>
      <c r="T2658" s="22"/>
      <c r="U2658" s="22"/>
      <c r="V2658" s="22"/>
      <c r="W2658" s="22"/>
      <c r="X2658" s="22"/>
    </row>
    <row r="2659" spans="17:24" x14ac:dyDescent="0.25">
      <c r="Q2659" s="22"/>
      <c r="R2659" s="22"/>
      <c r="S2659" s="22"/>
      <c r="T2659" s="22"/>
      <c r="U2659" s="22"/>
      <c r="V2659" s="22"/>
      <c r="W2659" s="22"/>
      <c r="X2659" s="22"/>
    </row>
    <row r="2660" spans="17:24" x14ac:dyDescent="0.25">
      <c r="Q2660" s="22"/>
      <c r="R2660" s="22"/>
      <c r="S2660" s="22"/>
      <c r="T2660" s="22"/>
      <c r="U2660" s="22"/>
      <c r="V2660" s="22"/>
      <c r="W2660" s="22"/>
      <c r="X2660" s="22"/>
    </row>
    <row r="2661" spans="17:24" x14ac:dyDescent="0.25">
      <c r="Q2661" s="22"/>
      <c r="R2661" s="22"/>
      <c r="S2661" s="22"/>
      <c r="T2661" s="22"/>
      <c r="U2661" s="22"/>
      <c r="V2661" s="22"/>
      <c r="W2661" s="22"/>
      <c r="X2661" s="22"/>
    </row>
    <row r="2662" spans="17:24" x14ac:dyDescent="0.25">
      <c r="Q2662" s="22"/>
      <c r="R2662" s="22"/>
      <c r="S2662" s="22"/>
      <c r="T2662" s="22"/>
      <c r="U2662" s="22"/>
      <c r="V2662" s="22"/>
      <c r="W2662" s="22"/>
      <c r="X2662" s="22"/>
    </row>
    <row r="2663" spans="17:24" x14ac:dyDescent="0.25">
      <c r="Q2663" s="22"/>
      <c r="R2663" s="22"/>
      <c r="S2663" s="22"/>
      <c r="T2663" s="22"/>
      <c r="U2663" s="22"/>
      <c r="V2663" s="22"/>
      <c r="W2663" s="22"/>
      <c r="X2663" s="22"/>
    </row>
    <row r="2664" spans="17:24" x14ac:dyDescent="0.25">
      <c r="Q2664" s="22"/>
      <c r="R2664" s="22"/>
      <c r="S2664" s="22"/>
      <c r="T2664" s="22"/>
      <c r="U2664" s="22"/>
      <c r="V2664" s="22"/>
      <c r="W2664" s="22"/>
      <c r="X2664" s="22"/>
    </row>
    <row r="2665" spans="17:24" x14ac:dyDescent="0.25">
      <c r="Q2665" s="22"/>
      <c r="R2665" s="22"/>
      <c r="S2665" s="22"/>
      <c r="T2665" s="22"/>
      <c r="U2665" s="22"/>
      <c r="V2665" s="22"/>
      <c r="W2665" s="22"/>
      <c r="X2665" s="22"/>
    </row>
    <row r="2666" spans="17:24" x14ac:dyDescent="0.25">
      <c r="Q2666" s="22"/>
      <c r="R2666" s="22"/>
      <c r="S2666" s="22"/>
      <c r="T2666" s="22"/>
      <c r="U2666" s="22"/>
      <c r="V2666" s="22"/>
      <c r="W2666" s="22"/>
      <c r="X2666" s="22"/>
    </row>
    <row r="2667" spans="17:24" x14ac:dyDescent="0.25">
      <c r="Q2667" s="22"/>
      <c r="R2667" s="22"/>
      <c r="S2667" s="22"/>
      <c r="T2667" s="22"/>
      <c r="U2667" s="22"/>
      <c r="V2667" s="22"/>
      <c r="W2667" s="22"/>
      <c r="X2667" s="22"/>
    </row>
    <row r="2668" spans="17:24" x14ac:dyDescent="0.25">
      <c r="Q2668" s="22"/>
      <c r="R2668" s="22"/>
      <c r="S2668" s="22"/>
      <c r="T2668" s="22"/>
      <c r="U2668" s="22"/>
      <c r="V2668" s="22"/>
      <c r="W2668" s="22"/>
      <c r="X2668" s="22"/>
    </row>
    <row r="2669" spans="17:24" x14ac:dyDescent="0.25">
      <c r="Q2669" s="22"/>
      <c r="R2669" s="22"/>
      <c r="S2669" s="22"/>
      <c r="T2669" s="22"/>
      <c r="U2669" s="22"/>
      <c r="V2669" s="22"/>
      <c r="W2669" s="22"/>
      <c r="X2669" s="22"/>
    </row>
    <row r="2670" spans="17:24" x14ac:dyDescent="0.25">
      <c r="Q2670" s="22"/>
      <c r="R2670" s="22"/>
      <c r="S2670" s="22"/>
      <c r="T2670" s="22"/>
      <c r="U2670" s="22"/>
      <c r="V2670" s="22"/>
      <c r="W2670" s="22"/>
      <c r="X2670" s="22"/>
    </row>
    <row r="2671" spans="17:24" x14ac:dyDescent="0.25">
      <c r="Q2671" s="22"/>
      <c r="R2671" s="22"/>
      <c r="S2671" s="22"/>
      <c r="T2671" s="22"/>
      <c r="U2671" s="22"/>
      <c r="V2671" s="22"/>
      <c r="W2671" s="22"/>
      <c r="X2671" s="22"/>
    </row>
    <row r="2672" spans="17:24" x14ac:dyDescent="0.25">
      <c r="Q2672" s="22"/>
      <c r="R2672" s="22"/>
      <c r="S2672" s="22"/>
      <c r="T2672" s="22"/>
      <c r="U2672" s="22"/>
      <c r="V2672" s="22"/>
      <c r="W2672" s="22"/>
      <c r="X2672" s="22"/>
    </row>
    <row r="2673" spans="17:24" x14ac:dyDescent="0.25">
      <c r="Q2673" s="22"/>
      <c r="R2673" s="22"/>
      <c r="S2673" s="22"/>
      <c r="T2673" s="22"/>
      <c r="U2673" s="22"/>
      <c r="V2673" s="22"/>
      <c r="W2673" s="22"/>
      <c r="X2673" s="22"/>
    </row>
    <row r="2674" spans="17:24" x14ac:dyDescent="0.25">
      <c r="Q2674" s="22"/>
      <c r="R2674" s="22"/>
      <c r="S2674" s="22"/>
      <c r="T2674" s="22"/>
      <c r="U2674" s="22"/>
      <c r="V2674" s="22"/>
      <c r="W2674" s="22"/>
      <c r="X2674" s="22"/>
    </row>
    <row r="2675" spans="17:24" x14ac:dyDescent="0.25">
      <c r="Q2675" s="22"/>
      <c r="R2675" s="22"/>
      <c r="S2675" s="22"/>
      <c r="T2675" s="22"/>
      <c r="U2675" s="22"/>
      <c r="V2675" s="22"/>
      <c r="W2675" s="22"/>
      <c r="X2675" s="22"/>
    </row>
    <row r="2676" spans="17:24" x14ac:dyDescent="0.25">
      <c r="Q2676" s="22"/>
      <c r="R2676" s="22"/>
      <c r="S2676" s="22"/>
      <c r="T2676" s="22"/>
      <c r="U2676" s="22"/>
      <c r="V2676" s="22"/>
      <c r="W2676" s="22"/>
      <c r="X2676" s="22"/>
    </row>
    <row r="2677" spans="17:24" x14ac:dyDescent="0.25">
      <c r="Q2677" s="22"/>
      <c r="R2677" s="22"/>
      <c r="S2677" s="22"/>
      <c r="T2677" s="22"/>
      <c r="U2677" s="22"/>
      <c r="V2677" s="22"/>
      <c r="W2677" s="22"/>
      <c r="X2677" s="22"/>
    </row>
    <row r="2678" spans="17:24" x14ac:dyDescent="0.25">
      <c r="Q2678" s="22"/>
      <c r="R2678" s="22"/>
      <c r="S2678" s="22"/>
      <c r="T2678" s="22"/>
      <c r="U2678" s="22"/>
      <c r="V2678" s="22"/>
      <c r="W2678" s="22"/>
      <c r="X2678" s="22"/>
    </row>
    <row r="2679" spans="17:24" x14ac:dyDescent="0.25">
      <c r="Q2679" s="22"/>
      <c r="R2679" s="22"/>
      <c r="S2679" s="22"/>
      <c r="T2679" s="22"/>
      <c r="U2679" s="22"/>
      <c r="V2679" s="22"/>
      <c r="W2679" s="22"/>
      <c r="X2679" s="22"/>
    </row>
    <row r="2680" spans="17:24" x14ac:dyDescent="0.25">
      <c r="Q2680" s="22"/>
      <c r="R2680" s="22"/>
      <c r="S2680" s="22"/>
      <c r="T2680" s="22"/>
      <c r="U2680" s="22"/>
      <c r="V2680" s="22"/>
      <c r="W2680" s="22"/>
      <c r="X2680" s="22"/>
    </row>
    <row r="2681" spans="17:24" x14ac:dyDescent="0.25">
      <c r="Q2681" s="22"/>
      <c r="R2681" s="22"/>
      <c r="S2681" s="22"/>
      <c r="T2681" s="22"/>
      <c r="U2681" s="22"/>
      <c r="V2681" s="22"/>
      <c r="W2681" s="22"/>
      <c r="X2681" s="22"/>
    </row>
    <row r="2682" spans="17:24" x14ac:dyDescent="0.25">
      <c r="Q2682" s="22"/>
      <c r="R2682" s="22"/>
      <c r="S2682" s="22"/>
      <c r="T2682" s="22"/>
      <c r="U2682" s="22"/>
      <c r="V2682" s="22"/>
      <c r="W2682" s="22"/>
      <c r="X2682" s="22"/>
    </row>
    <row r="2683" spans="17:24" x14ac:dyDescent="0.25">
      <c r="Q2683" s="22"/>
      <c r="R2683" s="22"/>
      <c r="S2683" s="22"/>
      <c r="T2683" s="22"/>
      <c r="U2683" s="22"/>
      <c r="V2683" s="22"/>
      <c r="W2683" s="22"/>
      <c r="X2683" s="22"/>
    </row>
    <row r="2684" spans="17:24" x14ac:dyDescent="0.25">
      <c r="Q2684" s="22"/>
      <c r="R2684" s="22"/>
      <c r="S2684" s="22"/>
      <c r="T2684" s="22"/>
      <c r="U2684" s="22"/>
      <c r="V2684" s="22"/>
      <c r="W2684" s="22"/>
      <c r="X2684" s="22"/>
    </row>
    <row r="2685" spans="17:24" x14ac:dyDescent="0.25">
      <c r="Q2685" s="22"/>
      <c r="R2685" s="22"/>
      <c r="S2685" s="22"/>
      <c r="T2685" s="22"/>
      <c r="U2685" s="22"/>
      <c r="V2685" s="22"/>
      <c r="W2685" s="22"/>
      <c r="X2685" s="22"/>
    </row>
    <row r="2686" spans="17:24" x14ac:dyDescent="0.25">
      <c r="Q2686" s="22"/>
      <c r="R2686" s="22"/>
      <c r="S2686" s="22"/>
      <c r="T2686" s="22"/>
      <c r="U2686" s="22"/>
      <c r="V2686" s="22"/>
      <c r="W2686" s="22"/>
      <c r="X2686" s="22"/>
    </row>
    <row r="2687" spans="17:24" x14ac:dyDescent="0.25">
      <c r="Q2687" s="22"/>
      <c r="R2687" s="22"/>
      <c r="S2687" s="22"/>
      <c r="T2687" s="22"/>
      <c r="U2687" s="22"/>
      <c r="V2687" s="22"/>
      <c r="W2687" s="22"/>
      <c r="X2687" s="22"/>
    </row>
    <row r="2688" spans="17:24" x14ac:dyDescent="0.25">
      <c r="Q2688" s="22"/>
      <c r="R2688" s="22"/>
      <c r="S2688" s="22"/>
      <c r="T2688" s="22"/>
      <c r="U2688" s="22"/>
      <c r="V2688" s="22"/>
      <c r="W2688" s="22"/>
      <c r="X2688" s="22"/>
    </row>
    <row r="2689" spans="17:24" x14ac:dyDescent="0.25">
      <c r="Q2689" s="22"/>
      <c r="R2689" s="22"/>
      <c r="S2689" s="22"/>
      <c r="T2689" s="22"/>
      <c r="U2689" s="22"/>
      <c r="V2689" s="22"/>
      <c r="W2689" s="22"/>
      <c r="X2689" s="22"/>
    </row>
    <row r="2690" spans="17:24" x14ac:dyDescent="0.25">
      <c r="Q2690" s="22"/>
      <c r="R2690" s="22"/>
      <c r="S2690" s="22"/>
      <c r="T2690" s="22"/>
      <c r="U2690" s="22"/>
      <c r="V2690" s="22"/>
      <c r="W2690" s="22"/>
      <c r="X2690" s="22"/>
    </row>
    <row r="2691" spans="17:24" x14ac:dyDescent="0.25">
      <c r="Q2691" s="22"/>
      <c r="R2691" s="22"/>
      <c r="S2691" s="22"/>
      <c r="T2691" s="22"/>
      <c r="U2691" s="22"/>
      <c r="V2691" s="22"/>
      <c r="W2691" s="22"/>
      <c r="X2691" s="22"/>
    </row>
    <row r="2692" spans="17:24" x14ac:dyDescent="0.25">
      <c r="Q2692" s="22"/>
      <c r="R2692" s="22"/>
      <c r="S2692" s="22"/>
      <c r="T2692" s="22"/>
      <c r="U2692" s="22"/>
      <c r="V2692" s="22"/>
      <c r="W2692" s="22"/>
      <c r="X2692" s="22"/>
    </row>
    <row r="2693" spans="17:24" x14ac:dyDescent="0.25">
      <c r="Q2693" s="22"/>
      <c r="R2693" s="22"/>
      <c r="S2693" s="22"/>
      <c r="T2693" s="22"/>
      <c r="U2693" s="22"/>
      <c r="V2693" s="22"/>
      <c r="W2693" s="22"/>
      <c r="X2693" s="22"/>
    </row>
    <row r="2694" spans="17:24" x14ac:dyDescent="0.25">
      <c r="Q2694" s="22"/>
      <c r="R2694" s="22"/>
      <c r="S2694" s="22"/>
      <c r="T2694" s="22"/>
      <c r="U2694" s="22"/>
      <c r="V2694" s="22"/>
      <c r="W2694" s="22"/>
      <c r="X2694" s="22"/>
    </row>
    <row r="2695" spans="17:24" x14ac:dyDescent="0.25">
      <c r="Q2695" s="22"/>
      <c r="R2695" s="22"/>
      <c r="S2695" s="22"/>
      <c r="T2695" s="22"/>
      <c r="U2695" s="22"/>
      <c r="V2695" s="22"/>
      <c r="W2695" s="22"/>
      <c r="X2695" s="22"/>
    </row>
    <row r="2696" spans="17:24" x14ac:dyDescent="0.25">
      <c r="Q2696" s="22"/>
      <c r="R2696" s="22"/>
      <c r="S2696" s="22"/>
      <c r="T2696" s="22"/>
      <c r="U2696" s="22"/>
      <c r="V2696" s="22"/>
      <c r="W2696" s="22"/>
      <c r="X2696" s="22"/>
    </row>
    <row r="2697" spans="17:24" x14ac:dyDescent="0.25">
      <c r="Q2697" s="22"/>
      <c r="R2697" s="22"/>
      <c r="S2697" s="22"/>
      <c r="T2697" s="22"/>
      <c r="U2697" s="22"/>
      <c r="V2697" s="22"/>
      <c r="W2697" s="22"/>
      <c r="X2697" s="22"/>
    </row>
    <row r="2698" spans="17:24" x14ac:dyDescent="0.25">
      <c r="Q2698" s="22"/>
      <c r="R2698" s="22"/>
      <c r="S2698" s="22"/>
      <c r="T2698" s="22"/>
      <c r="U2698" s="22"/>
      <c r="V2698" s="22"/>
      <c r="W2698" s="22"/>
      <c r="X2698" s="22"/>
    </row>
    <row r="2699" spans="17:24" x14ac:dyDescent="0.25">
      <c r="Q2699" s="22"/>
      <c r="R2699" s="22"/>
      <c r="S2699" s="22"/>
      <c r="T2699" s="22"/>
      <c r="U2699" s="22"/>
      <c r="V2699" s="22"/>
      <c r="W2699" s="22"/>
      <c r="X2699" s="22"/>
    </row>
    <row r="2700" spans="17:24" x14ac:dyDescent="0.25">
      <c r="Q2700" s="22"/>
      <c r="R2700" s="22"/>
      <c r="S2700" s="22"/>
      <c r="T2700" s="22"/>
      <c r="U2700" s="22"/>
      <c r="V2700" s="22"/>
      <c r="W2700" s="22"/>
      <c r="X2700" s="22"/>
    </row>
    <row r="2701" spans="17:24" x14ac:dyDescent="0.25">
      <c r="Q2701" s="22"/>
      <c r="R2701" s="22"/>
      <c r="S2701" s="22"/>
      <c r="T2701" s="22"/>
      <c r="U2701" s="22"/>
      <c r="V2701" s="22"/>
      <c r="W2701" s="22"/>
      <c r="X2701" s="22"/>
    </row>
    <row r="2702" spans="17:24" x14ac:dyDescent="0.25">
      <c r="Q2702" s="22"/>
      <c r="R2702" s="22"/>
      <c r="S2702" s="22"/>
      <c r="T2702" s="22"/>
      <c r="U2702" s="22"/>
      <c r="V2702" s="22"/>
      <c r="W2702" s="22"/>
      <c r="X2702" s="22"/>
    </row>
    <row r="2703" spans="17:24" x14ac:dyDescent="0.25">
      <c r="Q2703" s="22"/>
      <c r="R2703" s="22"/>
      <c r="S2703" s="22"/>
      <c r="T2703" s="22"/>
      <c r="U2703" s="22"/>
      <c r="V2703" s="22"/>
      <c r="W2703" s="22"/>
      <c r="X2703" s="22"/>
    </row>
    <row r="2704" spans="17:24" x14ac:dyDescent="0.25">
      <c r="Q2704" s="22"/>
      <c r="R2704" s="22"/>
      <c r="S2704" s="22"/>
      <c r="T2704" s="22"/>
      <c r="U2704" s="22"/>
      <c r="V2704" s="22"/>
      <c r="W2704" s="22"/>
      <c r="X2704" s="22"/>
    </row>
    <row r="2705" spans="17:24" x14ac:dyDescent="0.25">
      <c r="Q2705" s="22"/>
      <c r="R2705" s="22"/>
      <c r="S2705" s="22"/>
      <c r="T2705" s="22"/>
      <c r="U2705" s="22"/>
      <c r="V2705" s="22"/>
      <c r="W2705" s="22"/>
      <c r="X2705" s="22"/>
    </row>
    <row r="2706" spans="17:24" x14ac:dyDescent="0.25">
      <c r="Q2706" s="22"/>
      <c r="R2706" s="22"/>
      <c r="S2706" s="22"/>
      <c r="T2706" s="22"/>
      <c r="U2706" s="22"/>
      <c r="V2706" s="22"/>
      <c r="W2706" s="22"/>
      <c r="X2706" s="22"/>
    </row>
    <row r="2707" spans="17:24" x14ac:dyDescent="0.25">
      <c r="Q2707" s="22"/>
      <c r="R2707" s="22"/>
      <c r="S2707" s="22"/>
      <c r="T2707" s="22"/>
      <c r="U2707" s="22"/>
      <c r="V2707" s="22"/>
      <c r="W2707" s="22"/>
      <c r="X2707" s="22"/>
    </row>
    <row r="2708" spans="17:24" x14ac:dyDescent="0.25">
      <c r="Q2708" s="22"/>
      <c r="R2708" s="22"/>
      <c r="S2708" s="22"/>
      <c r="T2708" s="22"/>
      <c r="U2708" s="22"/>
      <c r="V2708" s="22"/>
      <c r="W2708" s="22"/>
      <c r="X2708" s="22"/>
    </row>
    <row r="2709" spans="17:24" x14ac:dyDescent="0.25">
      <c r="Q2709" s="22"/>
      <c r="R2709" s="22"/>
      <c r="S2709" s="22"/>
      <c r="T2709" s="22"/>
      <c r="U2709" s="22"/>
      <c r="V2709" s="22"/>
      <c r="W2709" s="22"/>
      <c r="X2709" s="22"/>
    </row>
    <row r="2710" spans="17:24" x14ac:dyDescent="0.25">
      <c r="Q2710" s="22"/>
      <c r="R2710" s="22"/>
      <c r="S2710" s="22"/>
      <c r="T2710" s="22"/>
      <c r="U2710" s="22"/>
      <c r="V2710" s="22"/>
      <c r="W2710" s="22"/>
      <c r="X2710" s="22"/>
    </row>
    <row r="2711" spans="17:24" x14ac:dyDescent="0.25">
      <c r="Q2711" s="22"/>
      <c r="R2711" s="22"/>
      <c r="S2711" s="22"/>
      <c r="T2711" s="22"/>
      <c r="U2711" s="22"/>
      <c r="V2711" s="22"/>
      <c r="W2711" s="22"/>
      <c r="X2711" s="22"/>
    </row>
    <row r="2712" spans="17:24" x14ac:dyDescent="0.25">
      <c r="Q2712" s="22"/>
      <c r="R2712" s="22"/>
      <c r="S2712" s="22"/>
      <c r="T2712" s="22"/>
      <c r="U2712" s="22"/>
      <c r="V2712" s="22"/>
      <c r="W2712" s="22"/>
      <c r="X2712" s="22"/>
    </row>
  </sheetData>
  <sortState ref="A2:J54">
    <sortCondition ref="A2:A54"/>
  </sortState>
  <dataValidations count="2">
    <dataValidation type="list" allowBlank="1" showInputMessage="1" showErrorMessage="1" sqref="I61 K23:K25 I92:I101 I103:I107">
      <formula1>Clasificación</formula1>
    </dataValidation>
    <dataValidation type="list" allowBlank="1" showInputMessage="1" showErrorMessage="1" sqref="I74:I91 I102 I2:I60">
      <formula1>$K$19:$K$27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EERR</vt:lpstr>
      <vt:lpstr>Agosto</vt:lpstr>
      <vt:lpstr>Booking</vt:lpstr>
      <vt:lpstr>Buuteeq</vt:lpstr>
      <vt:lpstr>Expedia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2018-04-09T11:41:51Z</cp:lastPrinted>
  <dcterms:created xsi:type="dcterms:W3CDTF">2014-01-13T12:33:01Z</dcterms:created>
  <dcterms:modified xsi:type="dcterms:W3CDTF">2018-04-09T11:44:55Z</dcterms:modified>
</cp:coreProperties>
</file>