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204" yWindow="-12" windowWidth="4608" windowHeight="9360"/>
  </bookViews>
  <sheets>
    <sheet name="EERR" sheetId="11" r:id="rId1"/>
    <sheet name="Oct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  <sheet name="IVA Sergio" sheetId="37" state="hidden" r:id="rId11"/>
  </sheets>
  <externalReferences>
    <externalReference r:id="rId12"/>
  </externalReferences>
  <definedNames>
    <definedName name="_xlnm._FilterDatabase" localSheetId="6" hidden="1">'BCI '!$B$2:$K$157</definedName>
    <definedName name="_xlnm._FilterDatabase" localSheetId="8" hidden="1">'BCI FondRendir'!$A$1:$J$128</definedName>
    <definedName name="_xlnm._FilterDatabase" localSheetId="2" hidden="1">Booking!$B$1:$V$1</definedName>
    <definedName name="_xlnm._FilterDatabase" localSheetId="3" hidden="1">Buuteeq!$A$1:$B$1</definedName>
    <definedName name="_xlnm._FilterDatabase" localSheetId="1" hidden="1">Oct!$A$2:$S$105</definedName>
    <definedName name="_xlnm._FilterDatabase" localSheetId="7" hidden="1">Security!$A$1:$G$61</definedName>
    <definedName name="_xlnm._FilterDatabase" localSheetId="5" hidden="1">Transbank!$A$1:$N$428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 calcOnSave="0"/>
</workbook>
</file>

<file path=xl/calcChain.xml><?xml version="1.0" encoding="utf-8"?>
<calcChain xmlns="http://schemas.openxmlformats.org/spreadsheetml/2006/main">
  <c r="J4" i="15" l="1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5" i="15"/>
  <c r="K25" i="15"/>
  <c r="J26" i="15"/>
  <c r="K26" i="15"/>
  <c r="J27" i="15"/>
  <c r="K27" i="15"/>
  <c r="J28" i="15"/>
  <c r="K28" i="15"/>
  <c r="J29" i="15"/>
  <c r="K29" i="15"/>
  <c r="J30" i="15"/>
  <c r="J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K3" i="15"/>
  <c r="J3" i="15"/>
  <c r="F147" i="15" l="1"/>
  <c r="F148" i="15"/>
  <c r="F149" i="15"/>
  <c r="F150" i="15"/>
  <c r="F146" i="15"/>
  <c r="F151" i="15"/>
  <c r="F152" i="15"/>
  <c r="F153" i="15"/>
  <c r="F156" i="15"/>
  <c r="L380" i="23" l="1"/>
  <c r="M380" i="23" s="1"/>
  <c r="N380" i="23"/>
  <c r="Q101" i="4"/>
  <c r="Z76" i="16"/>
  <c r="L378" i="23"/>
  <c r="M378" i="23" s="1"/>
  <c r="L379" i="23"/>
  <c r="M379" i="23" s="1"/>
  <c r="L376" i="23"/>
  <c r="M376" i="23" s="1"/>
  <c r="L377" i="23"/>
  <c r="M377" i="23" s="1"/>
  <c r="Q70" i="16" l="1"/>
  <c r="R70" i="16"/>
  <c r="T70" i="16" s="1"/>
  <c r="U70" i="16"/>
  <c r="Q71" i="16"/>
  <c r="R71" i="16"/>
  <c r="U71" i="16"/>
  <c r="Q72" i="16"/>
  <c r="R72" i="16"/>
  <c r="U72" i="16"/>
  <c r="V72" i="16"/>
  <c r="W72" i="16" s="1"/>
  <c r="Q73" i="16"/>
  <c r="S73" i="16" s="1"/>
  <c r="R73" i="16"/>
  <c r="U73" i="16"/>
  <c r="V73" i="16"/>
  <c r="W73" i="16" s="1"/>
  <c r="Q74" i="16"/>
  <c r="R74" i="16"/>
  <c r="S74" i="16"/>
  <c r="U74" i="16"/>
  <c r="Q75" i="16"/>
  <c r="R75" i="16"/>
  <c r="U75" i="16"/>
  <c r="Q76" i="16"/>
  <c r="R76" i="16"/>
  <c r="U76" i="16"/>
  <c r="V76" i="16"/>
  <c r="W76" i="16" s="1"/>
  <c r="Q77" i="16"/>
  <c r="R77" i="16"/>
  <c r="U77" i="16"/>
  <c r="V77" i="16"/>
  <c r="W77" i="16" s="1"/>
  <c r="Q78" i="16"/>
  <c r="R78" i="16"/>
  <c r="U78" i="16"/>
  <c r="Q79" i="16"/>
  <c r="R79" i="16"/>
  <c r="U79" i="16"/>
  <c r="Q80" i="16"/>
  <c r="R80" i="16"/>
  <c r="U80" i="16"/>
  <c r="V80" i="16"/>
  <c r="W80" i="16" s="1"/>
  <c r="Q81" i="16"/>
  <c r="R81" i="16"/>
  <c r="T81" i="16" s="1"/>
  <c r="U81" i="16"/>
  <c r="V81" i="16"/>
  <c r="W81" i="16" s="1"/>
  <c r="Q82" i="16"/>
  <c r="R82" i="16"/>
  <c r="U82" i="16"/>
  <c r="V82" i="16"/>
  <c r="W82" i="16" s="1"/>
  <c r="Q83" i="16"/>
  <c r="R83" i="16"/>
  <c r="U83" i="16"/>
  <c r="V83" i="16"/>
  <c r="W83" i="16" s="1"/>
  <c r="Q54" i="16"/>
  <c r="R54" i="16"/>
  <c r="Q55" i="16"/>
  <c r="R55" i="16"/>
  <c r="U55" i="16"/>
  <c r="Q56" i="16"/>
  <c r="R56" i="16"/>
  <c r="U56" i="16"/>
  <c r="Q57" i="16"/>
  <c r="R57" i="16"/>
  <c r="U57" i="16"/>
  <c r="Q58" i="16"/>
  <c r="S58" i="16" s="1"/>
  <c r="R58" i="16"/>
  <c r="U58" i="16"/>
  <c r="Q59" i="16"/>
  <c r="R59" i="16"/>
  <c r="U59" i="16"/>
  <c r="Q60" i="16"/>
  <c r="S60" i="16" s="1"/>
  <c r="R60" i="16"/>
  <c r="U60" i="16"/>
  <c r="V60" i="16"/>
  <c r="W60" i="16" s="1"/>
  <c r="Q61" i="16"/>
  <c r="S61" i="16" s="1"/>
  <c r="R61" i="16"/>
  <c r="U61" i="16"/>
  <c r="V61" i="16"/>
  <c r="W61" i="16" s="1"/>
  <c r="Q62" i="16"/>
  <c r="S62" i="16" s="1"/>
  <c r="R62" i="16"/>
  <c r="U62" i="16"/>
  <c r="Q63" i="16"/>
  <c r="R63" i="16"/>
  <c r="U63" i="16"/>
  <c r="V63" i="16"/>
  <c r="W63" i="16" s="1"/>
  <c r="N379" i="23"/>
  <c r="Q64" i="16"/>
  <c r="R64" i="16"/>
  <c r="U64" i="16"/>
  <c r="Q65" i="16"/>
  <c r="R65" i="16"/>
  <c r="U65" i="16"/>
  <c r="V65" i="16"/>
  <c r="W65" i="16" s="1"/>
  <c r="Q66" i="16"/>
  <c r="R66" i="16"/>
  <c r="U66" i="16"/>
  <c r="V66" i="16"/>
  <c r="W66" i="16" s="1"/>
  <c r="Q67" i="16"/>
  <c r="S67" i="16" s="1"/>
  <c r="R67" i="16"/>
  <c r="T67" i="16" s="1"/>
  <c r="U67" i="16"/>
  <c r="V67" i="16"/>
  <c r="W67" i="16" s="1"/>
  <c r="Q4" i="16"/>
  <c r="R4" i="16"/>
  <c r="U4" i="16"/>
  <c r="Q5" i="16"/>
  <c r="R5" i="16"/>
  <c r="U5" i="16"/>
  <c r="Q6" i="16"/>
  <c r="S6" i="16" s="1"/>
  <c r="R6" i="16"/>
  <c r="Q7" i="16"/>
  <c r="R7" i="16"/>
  <c r="U7" i="16"/>
  <c r="Q8" i="16"/>
  <c r="R8" i="16"/>
  <c r="U8" i="16"/>
  <c r="V8" i="16"/>
  <c r="W8" i="16" s="1"/>
  <c r="Q9" i="16"/>
  <c r="R9" i="16"/>
  <c r="U9" i="16"/>
  <c r="V9" i="16"/>
  <c r="W9" i="16" s="1"/>
  <c r="Q10" i="16"/>
  <c r="R10" i="16"/>
  <c r="U10" i="16"/>
  <c r="V10" i="16"/>
  <c r="W10" i="16" s="1"/>
  <c r="Q11" i="16"/>
  <c r="S11" i="16" s="1"/>
  <c r="R11" i="16"/>
  <c r="U11" i="16"/>
  <c r="Q12" i="16"/>
  <c r="R12" i="16"/>
  <c r="S12" i="16"/>
  <c r="U12" i="16"/>
  <c r="Q13" i="16"/>
  <c r="R13" i="16"/>
  <c r="U13" i="16"/>
  <c r="Q14" i="16"/>
  <c r="R14" i="16"/>
  <c r="U14" i="16"/>
  <c r="Q15" i="16"/>
  <c r="R15" i="16"/>
  <c r="U15" i="16"/>
  <c r="Q16" i="16"/>
  <c r="R16" i="16"/>
  <c r="U16" i="16"/>
  <c r="V16" i="16"/>
  <c r="W16" i="16" s="1"/>
  <c r="Q17" i="16"/>
  <c r="R17" i="16"/>
  <c r="T17" i="16" s="1"/>
  <c r="U17" i="16"/>
  <c r="V17" i="16"/>
  <c r="W17" i="16" s="1"/>
  <c r="Q18" i="16"/>
  <c r="R18" i="16"/>
  <c r="U18" i="16"/>
  <c r="V18" i="16"/>
  <c r="W18" i="16" s="1"/>
  <c r="Q19" i="16"/>
  <c r="S19" i="16" s="1"/>
  <c r="R19" i="16"/>
  <c r="U19" i="16"/>
  <c r="Q20" i="16"/>
  <c r="S20" i="16" s="1"/>
  <c r="R20" i="16"/>
  <c r="U20" i="16"/>
  <c r="Q21" i="16"/>
  <c r="R21" i="16"/>
  <c r="U21" i="16"/>
  <c r="V21" i="16"/>
  <c r="W21" i="16" s="1"/>
  <c r="Q22" i="16"/>
  <c r="R22" i="16"/>
  <c r="U22" i="16"/>
  <c r="Q23" i="16"/>
  <c r="S23" i="16" s="1"/>
  <c r="R23" i="16"/>
  <c r="U23" i="16"/>
  <c r="Q24" i="16"/>
  <c r="R24" i="16"/>
  <c r="U24" i="16"/>
  <c r="Q25" i="16"/>
  <c r="R25" i="16"/>
  <c r="U25" i="16"/>
  <c r="Q26" i="16"/>
  <c r="R26" i="16"/>
  <c r="U26" i="16"/>
  <c r="Q27" i="16"/>
  <c r="S27" i="16" s="1"/>
  <c r="R27" i="16"/>
  <c r="U27" i="16"/>
  <c r="Q28" i="16"/>
  <c r="R28" i="16"/>
  <c r="U28" i="16"/>
  <c r="Q29" i="16"/>
  <c r="R29" i="16"/>
  <c r="W29" i="16"/>
  <c r="Q30" i="16"/>
  <c r="R30" i="16"/>
  <c r="U30" i="16"/>
  <c r="V30" i="16"/>
  <c r="W30" i="16" s="1"/>
  <c r="Q31" i="16"/>
  <c r="R31" i="16"/>
  <c r="U31" i="16"/>
  <c r="V31" i="16"/>
  <c r="W31" i="16" s="1"/>
  <c r="Q32" i="16"/>
  <c r="R32" i="16"/>
  <c r="U32" i="16"/>
  <c r="Q33" i="16"/>
  <c r="R33" i="16"/>
  <c r="U33" i="16"/>
  <c r="Q34" i="16"/>
  <c r="S34" i="16" s="1"/>
  <c r="R34" i="16"/>
  <c r="U34" i="16"/>
  <c r="V34" i="16"/>
  <c r="W34" i="16" s="1"/>
  <c r="Q35" i="16"/>
  <c r="R35" i="16"/>
  <c r="U35" i="16"/>
  <c r="Q36" i="16"/>
  <c r="R36" i="16"/>
  <c r="U36" i="16"/>
  <c r="V36" i="16"/>
  <c r="W36" i="16" s="1"/>
  <c r="Q37" i="16"/>
  <c r="S37" i="16" s="1"/>
  <c r="R37" i="16"/>
  <c r="U37" i="16"/>
  <c r="V37" i="16"/>
  <c r="W37" i="16" s="1"/>
  <c r="Q38" i="16"/>
  <c r="R38" i="16"/>
  <c r="U38" i="16"/>
  <c r="V38" i="16"/>
  <c r="W38" i="16" s="1"/>
  <c r="Q39" i="16"/>
  <c r="R39" i="16"/>
  <c r="U39" i="16"/>
  <c r="V39" i="16"/>
  <c r="W39" i="16" s="1"/>
  <c r="Q40" i="16"/>
  <c r="R40" i="16"/>
  <c r="U40" i="16"/>
  <c r="V40" i="16"/>
  <c r="W40" i="16" s="1"/>
  <c r="Q41" i="16"/>
  <c r="R41" i="16"/>
  <c r="U41" i="16"/>
  <c r="Q42" i="16"/>
  <c r="R42" i="16"/>
  <c r="U42" i="16"/>
  <c r="Q43" i="16"/>
  <c r="R43" i="16"/>
  <c r="T43" i="16" s="1"/>
  <c r="U43" i="16"/>
  <c r="Q44" i="16"/>
  <c r="R44" i="16"/>
  <c r="U44" i="16"/>
  <c r="Q45" i="16"/>
  <c r="S45" i="16" s="1"/>
  <c r="R45" i="16"/>
  <c r="U45" i="16"/>
  <c r="Q46" i="16"/>
  <c r="S46" i="16" s="1"/>
  <c r="R46" i="16"/>
  <c r="U46" i="16"/>
  <c r="Q47" i="16"/>
  <c r="R47" i="16"/>
  <c r="U47" i="16"/>
  <c r="Q48" i="16"/>
  <c r="R48" i="16"/>
  <c r="U48" i="16"/>
  <c r="Q49" i="16"/>
  <c r="R49" i="16"/>
  <c r="S49" i="16"/>
  <c r="U49" i="16"/>
  <c r="Q50" i="16"/>
  <c r="R50" i="16"/>
  <c r="S50" i="16"/>
  <c r="U50" i="16"/>
  <c r="V50" i="16"/>
  <c r="W50" i="16" s="1"/>
  <c r="Q51" i="16"/>
  <c r="R51" i="16"/>
  <c r="T51" i="16" s="1"/>
  <c r="N377" i="23" s="1"/>
  <c r="U51" i="16"/>
  <c r="V51" i="16"/>
  <c r="W51" i="16" s="1"/>
  <c r="Y47" i="16"/>
  <c r="Y48" i="16"/>
  <c r="Y49" i="16"/>
  <c r="Y50" i="16"/>
  <c r="Y51" i="16"/>
  <c r="Q69" i="16"/>
  <c r="S69" i="16" s="1"/>
  <c r="R69" i="16"/>
  <c r="Y56" i="16"/>
  <c r="AA56" i="16"/>
  <c r="Z56" i="16" s="1"/>
  <c r="Y57" i="16"/>
  <c r="AA57" i="16"/>
  <c r="Z57" i="16" s="1"/>
  <c r="Y58" i="16"/>
  <c r="AA58" i="16"/>
  <c r="Z58" i="16" s="1"/>
  <c r="Y59" i="16"/>
  <c r="AA59" i="16"/>
  <c r="Z59" i="16" s="1"/>
  <c r="Y60" i="16"/>
  <c r="AA60" i="16"/>
  <c r="Z60" i="16" s="1"/>
  <c r="Y61" i="16"/>
  <c r="AA61" i="16"/>
  <c r="Z61" i="16" s="1"/>
  <c r="Y62" i="16"/>
  <c r="AA62" i="16"/>
  <c r="Z62" i="16" s="1"/>
  <c r="T78" i="16" l="1"/>
  <c r="T30" i="16"/>
  <c r="T7" i="16"/>
  <c r="T45" i="16"/>
  <c r="T38" i="16"/>
  <c r="T22" i="16"/>
  <c r="T16" i="16"/>
  <c r="X16" i="16" s="1"/>
  <c r="T66" i="16"/>
  <c r="T42" i="16"/>
  <c r="S57" i="16"/>
  <c r="T31" i="16"/>
  <c r="X31" i="16" s="1"/>
  <c r="S24" i="16"/>
  <c r="T28" i="16"/>
  <c r="S26" i="16"/>
  <c r="S21" i="16"/>
  <c r="S8" i="16"/>
  <c r="S79" i="16"/>
  <c r="S75" i="16"/>
  <c r="S44" i="16"/>
  <c r="S40" i="16"/>
  <c r="S38" i="16"/>
  <c r="S4" i="16"/>
  <c r="S47" i="16"/>
  <c r="S32" i="16"/>
  <c r="S13" i="16"/>
  <c r="T56" i="16"/>
  <c r="S41" i="16"/>
  <c r="S39" i="16"/>
  <c r="S80" i="16"/>
  <c r="S35" i="16"/>
  <c r="T46" i="16"/>
  <c r="S33" i="16"/>
  <c r="S18" i="16"/>
  <c r="T59" i="16"/>
  <c r="T55" i="16"/>
  <c r="S81" i="16"/>
  <c r="S72" i="16"/>
  <c r="S51" i="16"/>
  <c r="S5" i="16"/>
  <c r="T73" i="16"/>
  <c r="X73" i="16" s="1"/>
  <c r="T47" i="16"/>
  <c r="T32" i="16"/>
  <c r="S25" i="16"/>
  <c r="T23" i="16"/>
  <c r="S14" i="16"/>
  <c r="S65" i="16"/>
  <c r="T63" i="16"/>
  <c r="X63" i="16" s="1"/>
  <c r="T61" i="16"/>
  <c r="X61" i="16" s="1"/>
  <c r="S59" i="16"/>
  <c r="S54" i="16"/>
  <c r="S82" i="16"/>
  <c r="S71" i="16"/>
  <c r="S28" i="16"/>
  <c r="S10" i="16"/>
  <c r="T8" i="16"/>
  <c r="X8" i="16" s="1"/>
  <c r="T6" i="16"/>
  <c r="T57" i="16"/>
  <c r="S76" i="16"/>
  <c r="S43" i="16"/>
  <c r="S36" i="16"/>
  <c r="T24" i="16"/>
  <c r="T15" i="16"/>
  <c r="T13" i="16"/>
  <c r="T39" i="16"/>
  <c r="X39" i="16" s="1"/>
  <c r="S31" i="16"/>
  <c r="S64" i="16"/>
  <c r="S83" i="16"/>
  <c r="S70" i="16"/>
  <c r="T9" i="16"/>
  <c r="X9" i="16" s="1"/>
  <c r="T79" i="16"/>
  <c r="T77" i="16"/>
  <c r="X77" i="16" s="1"/>
  <c r="S48" i="16"/>
  <c r="S42" i="16"/>
  <c r="T37" i="16"/>
  <c r="X37" i="16" s="1"/>
  <c r="T35" i="16"/>
  <c r="S29" i="16"/>
  <c r="S16" i="16"/>
  <c r="S56" i="16"/>
  <c r="T44" i="16"/>
  <c r="T36" i="16"/>
  <c r="T29" i="16"/>
  <c r="X29" i="16" s="1"/>
  <c r="T21" i="16"/>
  <c r="X21" i="16" s="1"/>
  <c r="S17" i="16"/>
  <c r="T14" i="16"/>
  <c r="S9" i="16"/>
  <c r="T65" i="16"/>
  <c r="X65" i="16" s="1"/>
  <c r="T62" i="16"/>
  <c r="T54" i="16"/>
  <c r="T76" i="16"/>
  <c r="X76" i="16" s="1"/>
  <c r="T4" i="16"/>
  <c r="T71" i="16"/>
  <c r="T50" i="16"/>
  <c r="N376" i="23" s="1"/>
  <c r="T34" i="16"/>
  <c r="X34" i="16" s="1"/>
  <c r="S30" i="16"/>
  <c r="T27" i="16"/>
  <c r="S22" i="16"/>
  <c r="T20" i="16"/>
  <c r="S15" i="16"/>
  <c r="T12" i="16"/>
  <c r="S7" i="16"/>
  <c r="S66" i="16"/>
  <c r="S63" i="16"/>
  <c r="T60" i="16"/>
  <c r="X60" i="16" s="1"/>
  <c r="S55" i="16"/>
  <c r="T82" i="16"/>
  <c r="X82" i="16" s="1"/>
  <c r="S77" i="16"/>
  <c r="T74" i="16"/>
  <c r="T48" i="16"/>
  <c r="T40" i="16"/>
  <c r="X40" i="16" s="1"/>
  <c r="T33" i="16"/>
  <c r="T25" i="16"/>
  <c r="T18" i="16"/>
  <c r="X18" i="16" s="1"/>
  <c r="T10" i="16"/>
  <c r="X10" i="16" s="1"/>
  <c r="T5" i="16"/>
  <c r="T58" i="16"/>
  <c r="T80" i="16"/>
  <c r="X80" i="16" s="1"/>
  <c r="T72" i="16"/>
  <c r="X72" i="16" s="1"/>
  <c r="T83" i="16"/>
  <c r="X83" i="16" s="1"/>
  <c r="S78" i="16"/>
  <c r="T75" i="16"/>
  <c r="T49" i="16"/>
  <c r="T41" i="16"/>
  <c r="T26" i="16"/>
  <c r="T19" i="16"/>
  <c r="T11" i="16"/>
  <c r="T64" i="16"/>
  <c r="X81" i="16"/>
  <c r="X67" i="16"/>
  <c r="X66" i="16"/>
  <c r="X51" i="16"/>
  <c r="X38" i="16"/>
  <c r="X36" i="16"/>
  <c r="X30" i="16"/>
  <c r="X17" i="16"/>
  <c r="U49" i="4"/>
  <c r="T49" i="4"/>
  <c r="S49" i="4"/>
  <c r="P49" i="4"/>
  <c r="N49" i="4"/>
  <c r="Q49" i="4" s="1"/>
  <c r="U48" i="4"/>
  <c r="T48" i="4"/>
  <c r="S48" i="4"/>
  <c r="P48" i="4"/>
  <c r="N48" i="4"/>
  <c r="Q48" i="4" s="1"/>
  <c r="N378" i="23" l="1"/>
  <c r="X50" i="16"/>
  <c r="O48" i="4"/>
  <c r="R48" i="4" s="1"/>
  <c r="O49" i="4"/>
  <c r="R49" i="4" s="1"/>
  <c r="J142" i="14" l="1"/>
  <c r="H178" i="15" l="1"/>
  <c r="L108" i="15"/>
  <c r="L109" i="15"/>
  <c r="L110" i="15"/>
  <c r="L111" i="15"/>
  <c r="L112" i="15"/>
  <c r="L113" i="15"/>
  <c r="L107" i="15"/>
  <c r="J80" i="15"/>
  <c r="K80" i="15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2" i="4"/>
  <c r="H84" i="16"/>
  <c r="I84" i="16"/>
  <c r="J84" i="16"/>
  <c r="K84" i="16"/>
  <c r="L84" i="16"/>
  <c r="M84" i="16"/>
  <c r="N84" i="16"/>
  <c r="N136" i="23" l="1"/>
  <c r="L136" i="23"/>
  <c r="M136" i="23" s="1"/>
  <c r="L3" i="23"/>
  <c r="V4" i="16" s="1"/>
  <c r="L4" i="23"/>
  <c r="N4" i="23"/>
  <c r="L5" i="23"/>
  <c r="L6" i="23"/>
  <c r="L8" i="23"/>
  <c r="V7" i="16" s="1"/>
  <c r="L9" i="23"/>
  <c r="L10" i="23"/>
  <c r="L11" i="23"/>
  <c r="V54" i="16" s="1"/>
  <c r="L12" i="23"/>
  <c r="L13" i="23"/>
  <c r="V75" i="16" s="1"/>
  <c r="L14" i="23"/>
  <c r="V56" i="16" s="1"/>
  <c r="L15" i="23"/>
  <c r="L16" i="23"/>
  <c r="L17" i="23"/>
  <c r="M17" i="23" s="1"/>
  <c r="L18" i="23"/>
  <c r="L19" i="23"/>
  <c r="L20" i="23"/>
  <c r="L21" i="23"/>
  <c r="N21" i="23"/>
  <c r="L22" i="23"/>
  <c r="N22" i="23"/>
  <c r="L23" i="23"/>
  <c r="V64" i="16" s="1"/>
  <c r="L24" i="23"/>
  <c r="V11" i="16" s="1"/>
  <c r="L25" i="23"/>
  <c r="V12" i="16" s="1"/>
  <c r="L26" i="23"/>
  <c r="V14" i="16" s="1"/>
  <c r="L27" i="23"/>
  <c r="L28" i="23"/>
  <c r="M28" i="23" s="1"/>
  <c r="L29" i="23"/>
  <c r="L30" i="23"/>
  <c r="L31" i="23"/>
  <c r="L32" i="23"/>
  <c r="M32" i="23" s="1"/>
  <c r="L33" i="23"/>
  <c r="L34" i="23"/>
  <c r="L35" i="23"/>
  <c r="L36" i="23"/>
  <c r="M36" i="23" s="1"/>
  <c r="L37" i="23"/>
  <c r="M37" i="23" s="1"/>
  <c r="L38" i="23"/>
  <c r="L39" i="23"/>
  <c r="M39" i="23" s="1"/>
  <c r="L40" i="23"/>
  <c r="L41" i="23"/>
  <c r="L42" i="23"/>
  <c r="M42" i="23" s="1"/>
  <c r="L43" i="23"/>
  <c r="V25" i="16" s="1"/>
  <c r="L44" i="23"/>
  <c r="L45" i="23"/>
  <c r="L46" i="23"/>
  <c r="M46" i="23" s="1"/>
  <c r="L47" i="23"/>
  <c r="M47" i="23" s="1"/>
  <c r="L48" i="23"/>
  <c r="L49" i="23"/>
  <c r="M49" i="23" s="1"/>
  <c r="L50" i="23"/>
  <c r="M50" i="23" s="1"/>
  <c r="L51" i="23"/>
  <c r="L52" i="23"/>
  <c r="L53" i="23"/>
  <c r="L54" i="23"/>
  <c r="L55" i="23"/>
  <c r="L56" i="23"/>
  <c r="L57" i="23"/>
  <c r="M57" i="23" s="1"/>
  <c r="L58" i="23"/>
  <c r="M58" i="23" s="1"/>
  <c r="L59" i="23"/>
  <c r="V26" i="16" s="1"/>
  <c r="L60" i="23"/>
  <c r="V57" i="16" s="1"/>
  <c r="L61" i="23"/>
  <c r="V59" i="16" s="1"/>
  <c r="L62" i="23"/>
  <c r="V33" i="16" s="1"/>
  <c r="L63" i="23"/>
  <c r="L64" i="23"/>
  <c r="L65" i="23"/>
  <c r="L66" i="23"/>
  <c r="N66" i="23"/>
  <c r="L67" i="23"/>
  <c r="V74" i="16" s="1"/>
  <c r="N67" i="23"/>
  <c r="L68" i="23"/>
  <c r="V35" i="16" s="1"/>
  <c r="L69" i="23"/>
  <c r="N69" i="23"/>
  <c r="L70" i="23"/>
  <c r="L71" i="23"/>
  <c r="M71" i="23" s="1"/>
  <c r="L72" i="23"/>
  <c r="M72" i="23" s="1"/>
  <c r="L73" i="23"/>
  <c r="M73" i="23" s="1"/>
  <c r="L74" i="23"/>
  <c r="M74" i="23" s="1"/>
  <c r="L75" i="23"/>
  <c r="M75" i="23" s="1"/>
  <c r="L76" i="23"/>
  <c r="L77" i="23"/>
  <c r="M77" i="23" s="1"/>
  <c r="L78" i="23"/>
  <c r="L79" i="23"/>
  <c r="M79" i="23" s="1"/>
  <c r="L80" i="23"/>
  <c r="M80" i="23" s="1"/>
  <c r="L81" i="23"/>
  <c r="L82" i="23"/>
  <c r="M82" i="23" s="1"/>
  <c r="L83" i="23"/>
  <c r="M83" i="23" s="1"/>
  <c r="L84" i="23"/>
  <c r="L85" i="23"/>
  <c r="L86" i="23"/>
  <c r="L87" i="23"/>
  <c r="M87" i="23" s="1"/>
  <c r="L88" i="23"/>
  <c r="L89" i="23"/>
  <c r="M89" i="23" s="1"/>
  <c r="L90" i="23"/>
  <c r="M90" i="23" s="1"/>
  <c r="L91" i="23"/>
  <c r="M91" i="23" s="1"/>
  <c r="L92" i="23"/>
  <c r="L93" i="23"/>
  <c r="L94" i="23"/>
  <c r="M94" i="23" s="1"/>
  <c r="L95" i="23"/>
  <c r="L96" i="23"/>
  <c r="L97" i="23"/>
  <c r="M97" i="23" s="1"/>
  <c r="L98" i="23"/>
  <c r="M98" i="23" s="1"/>
  <c r="L99" i="23"/>
  <c r="L100" i="23"/>
  <c r="M100" i="23" s="1"/>
  <c r="L101" i="23"/>
  <c r="M101" i="23" s="1"/>
  <c r="L102" i="23"/>
  <c r="L103" i="23"/>
  <c r="M103" i="23" s="1"/>
  <c r="L104" i="23"/>
  <c r="M104" i="23" s="1"/>
  <c r="L105" i="23"/>
  <c r="L106" i="23"/>
  <c r="L107" i="23"/>
  <c r="M107" i="23" s="1"/>
  <c r="L108" i="23"/>
  <c r="L109" i="23"/>
  <c r="L110" i="23"/>
  <c r="M110" i="23" s="1"/>
  <c r="L111" i="23"/>
  <c r="M111" i="23" s="1"/>
  <c r="N111" i="23"/>
  <c r="L112" i="23"/>
  <c r="M112" i="23" s="1"/>
  <c r="N112" i="23"/>
  <c r="L113" i="23"/>
  <c r="M113" i="23" s="1"/>
  <c r="L114" i="23"/>
  <c r="M114" i="23" s="1"/>
  <c r="N114" i="23"/>
  <c r="L115" i="23"/>
  <c r="M115" i="23" s="1"/>
  <c r="L116" i="23"/>
  <c r="M116" i="23" s="1"/>
  <c r="L117" i="23"/>
  <c r="M117" i="23" s="1"/>
  <c r="N117" i="23"/>
  <c r="L118" i="23"/>
  <c r="M118" i="23" s="1"/>
  <c r="L119" i="23"/>
  <c r="M119" i="23" s="1"/>
  <c r="N119" i="23"/>
  <c r="L120" i="23"/>
  <c r="L121" i="23"/>
  <c r="N121" i="23"/>
  <c r="L122" i="23"/>
  <c r="M122" i="23" s="1"/>
  <c r="L123" i="23"/>
  <c r="V47" i="16" s="1"/>
  <c r="L124" i="23"/>
  <c r="N124" i="23"/>
  <c r="L125" i="23"/>
  <c r="M125" i="23" s="1"/>
  <c r="N125" i="23"/>
  <c r="L126" i="23"/>
  <c r="M126" i="23" s="1"/>
  <c r="L127" i="23"/>
  <c r="M127" i="23" s="1"/>
  <c r="L128" i="23"/>
  <c r="M128" i="23" s="1"/>
  <c r="L129" i="23"/>
  <c r="M129" i="23" s="1"/>
  <c r="L130" i="23"/>
  <c r="M130" i="23" s="1"/>
  <c r="L131" i="23"/>
  <c r="M131" i="23" s="1"/>
  <c r="L132" i="23"/>
  <c r="M132" i="23" s="1"/>
  <c r="L133" i="23"/>
  <c r="M133" i="23" s="1"/>
  <c r="N133" i="23"/>
  <c r="L134" i="23"/>
  <c r="M134" i="23" s="1"/>
  <c r="L135" i="23"/>
  <c r="M135" i="23" s="1"/>
  <c r="N135" i="23"/>
  <c r="L137" i="23"/>
  <c r="M137" i="23" s="1"/>
  <c r="N137" i="23"/>
  <c r="L138" i="23"/>
  <c r="M138" i="23" s="1"/>
  <c r="N138" i="23"/>
  <c r="L139" i="23"/>
  <c r="M139" i="23" s="1"/>
  <c r="L140" i="23"/>
  <c r="M140" i="23" s="1"/>
  <c r="N140" i="23"/>
  <c r="L141" i="23"/>
  <c r="M141" i="23" s="1"/>
  <c r="N141" i="23"/>
  <c r="L142" i="23"/>
  <c r="M142" i="23" s="1"/>
  <c r="L143" i="23"/>
  <c r="M143" i="23" s="1"/>
  <c r="N143" i="23"/>
  <c r="L144" i="23"/>
  <c r="M144" i="23" s="1"/>
  <c r="N144" i="23"/>
  <c r="L145" i="23"/>
  <c r="N145" i="23"/>
  <c r="L146" i="23"/>
  <c r="M146" i="23" s="1"/>
  <c r="N146" i="23"/>
  <c r="L147" i="23"/>
  <c r="M147" i="23" s="1"/>
  <c r="N147" i="23"/>
  <c r="L148" i="23"/>
  <c r="M148" i="23" s="1"/>
  <c r="N148" i="23"/>
  <c r="L149" i="23"/>
  <c r="M149" i="23" s="1"/>
  <c r="N149" i="23"/>
  <c r="L150" i="23"/>
  <c r="M150" i="23" s="1"/>
  <c r="N150" i="23"/>
  <c r="L151" i="23"/>
  <c r="M151" i="23" s="1"/>
  <c r="N151" i="23"/>
  <c r="L152" i="23"/>
  <c r="M152" i="23" s="1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 s="1"/>
  <c r="N184" i="23"/>
  <c r="L185" i="23"/>
  <c r="M185" i="23" s="1"/>
  <c r="N185" i="23"/>
  <c r="L186" i="23"/>
  <c r="M186" i="23" s="1"/>
  <c r="N186" i="23"/>
  <c r="L187" i="23"/>
  <c r="M187" i="23" s="1"/>
  <c r="N187" i="23"/>
  <c r="L188" i="23"/>
  <c r="M188" i="23" s="1"/>
  <c r="N188" i="23"/>
  <c r="L189" i="23"/>
  <c r="M189" i="23" s="1"/>
  <c r="N189" i="23"/>
  <c r="L190" i="23"/>
  <c r="M190" i="23" s="1"/>
  <c r="N190" i="23"/>
  <c r="L191" i="23"/>
  <c r="M191" i="23" s="1"/>
  <c r="N191" i="23"/>
  <c r="L192" i="23"/>
  <c r="M192" i="23" s="1"/>
  <c r="N192" i="23"/>
  <c r="L193" i="23"/>
  <c r="M193" i="23" s="1"/>
  <c r="N193" i="23"/>
  <c r="L194" i="23"/>
  <c r="M194" i="23" s="1"/>
  <c r="N194" i="23"/>
  <c r="L195" i="23"/>
  <c r="M195" i="23" s="1"/>
  <c r="N195" i="23"/>
  <c r="L196" i="23"/>
  <c r="M196" i="23" s="1"/>
  <c r="N196" i="23"/>
  <c r="L197" i="23"/>
  <c r="M197" i="23" s="1"/>
  <c r="N197" i="23"/>
  <c r="L198" i="23"/>
  <c r="M198" i="23" s="1"/>
  <c r="N198" i="23"/>
  <c r="L199" i="23"/>
  <c r="M199" i="23" s="1"/>
  <c r="N199" i="23"/>
  <c r="L200" i="23"/>
  <c r="M200" i="23" s="1"/>
  <c r="N200" i="23"/>
  <c r="L201" i="23"/>
  <c r="M201" i="23" s="1"/>
  <c r="N201" i="23"/>
  <c r="L202" i="23"/>
  <c r="M202" i="23" s="1"/>
  <c r="N202" i="23"/>
  <c r="L203" i="23"/>
  <c r="M203" i="23" s="1"/>
  <c r="N203" i="23"/>
  <c r="L204" i="23"/>
  <c r="M204" i="23" s="1"/>
  <c r="N204" i="23"/>
  <c r="L205" i="23"/>
  <c r="M205" i="23" s="1"/>
  <c r="N205" i="23"/>
  <c r="L206" i="23"/>
  <c r="M206" i="23" s="1"/>
  <c r="N206" i="23"/>
  <c r="L207" i="23"/>
  <c r="M207" i="23" s="1"/>
  <c r="N207" i="23"/>
  <c r="L208" i="23"/>
  <c r="M208" i="23" s="1"/>
  <c r="N208" i="23"/>
  <c r="L209" i="23"/>
  <c r="M209" i="23" s="1"/>
  <c r="N209" i="23"/>
  <c r="L210" i="23"/>
  <c r="M210" i="23" s="1"/>
  <c r="N210" i="23"/>
  <c r="L211" i="23"/>
  <c r="M211" i="23" s="1"/>
  <c r="N211" i="23"/>
  <c r="L212" i="23"/>
  <c r="M212" i="23" s="1"/>
  <c r="N212" i="23"/>
  <c r="L213" i="23"/>
  <c r="M213" i="23" s="1"/>
  <c r="N213" i="23"/>
  <c r="L214" i="23"/>
  <c r="M214" i="23" s="1"/>
  <c r="N214" i="23"/>
  <c r="L215" i="23"/>
  <c r="M215" i="23" s="1"/>
  <c r="N215" i="23"/>
  <c r="L216" i="23"/>
  <c r="M216" i="23" s="1"/>
  <c r="N216" i="23"/>
  <c r="L217" i="23"/>
  <c r="M217" i="23" s="1"/>
  <c r="N217" i="23"/>
  <c r="L218" i="23"/>
  <c r="M218" i="23" s="1"/>
  <c r="N218" i="23"/>
  <c r="L219" i="23"/>
  <c r="M219" i="23" s="1"/>
  <c r="N219" i="23"/>
  <c r="L220" i="23"/>
  <c r="M220" i="23" s="1"/>
  <c r="N220" i="23"/>
  <c r="M86" i="23" l="1"/>
  <c r="V62" i="16"/>
  <c r="W59" i="16"/>
  <c r="X59" i="16"/>
  <c r="V19" i="16"/>
  <c r="W19" i="16" s="1"/>
  <c r="V79" i="16"/>
  <c r="W79" i="16" s="1"/>
  <c r="W33" i="16"/>
  <c r="X33" i="16"/>
  <c r="M54" i="23"/>
  <c r="V22" i="16"/>
  <c r="W7" i="16"/>
  <c r="X7" i="16"/>
  <c r="W35" i="16"/>
  <c r="X35" i="16"/>
  <c r="M124" i="23"/>
  <c r="V49" i="16"/>
  <c r="M106" i="23"/>
  <c r="V42" i="16"/>
  <c r="M53" i="23"/>
  <c r="V24" i="16"/>
  <c r="M29" i="23"/>
  <c r="V13" i="16"/>
  <c r="W47" i="16"/>
  <c r="X47" i="16"/>
  <c r="M105" i="23"/>
  <c r="V43" i="16"/>
  <c r="W74" i="16"/>
  <c r="X74" i="16"/>
  <c r="W57" i="16"/>
  <c r="X57" i="16"/>
  <c r="M52" i="23"/>
  <c r="V58" i="16"/>
  <c r="W56" i="16"/>
  <c r="X56" i="16"/>
  <c r="M5" i="23"/>
  <c r="V55" i="16"/>
  <c r="W26" i="16"/>
  <c r="X26" i="16"/>
  <c r="M51" i="23"/>
  <c r="V23" i="16"/>
  <c r="W25" i="16"/>
  <c r="X25" i="16"/>
  <c r="V15" i="16"/>
  <c r="W75" i="16"/>
  <c r="X75" i="16"/>
  <c r="W14" i="16"/>
  <c r="X14" i="16"/>
  <c r="V6" i="16"/>
  <c r="M121" i="23"/>
  <c r="V46" i="16"/>
  <c r="M102" i="23"/>
  <c r="V41" i="16"/>
  <c r="M41" i="23"/>
  <c r="V45" i="16"/>
  <c r="M33" i="23"/>
  <c r="V20" i="16"/>
  <c r="W12" i="16"/>
  <c r="X12" i="16"/>
  <c r="W54" i="16"/>
  <c r="X54" i="16"/>
  <c r="W4" i="16"/>
  <c r="X4" i="16"/>
  <c r="M120" i="23"/>
  <c r="V78" i="16"/>
  <c r="V28" i="16"/>
  <c r="M56" i="23"/>
  <c r="V27" i="16"/>
  <c r="M40" i="23"/>
  <c r="V70" i="16"/>
  <c r="W11" i="16"/>
  <c r="X11" i="16"/>
  <c r="M108" i="23"/>
  <c r="V44" i="16"/>
  <c r="V48" i="16"/>
  <c r="M63" i="23"/>
  <c r="V32" i="16"/>
  <c r="M55" i="23"/>
  <c r="V71" i="16"/>
  <c r="W64" i="16"/>
  <c r="X64" i="16"/>
  <c r="V5" i="16"/>
  <c r="M9" i="23"/>
  <c r="M15" i="23"/>
  <c r="M43" i="23"/>
  <c r="M27" i="23"/>
  <c r="M13" i="23"/>
  <c r="M48" i="23"/>
  <c r="M109" i="23"/>
  <c r="M76" i="23"/>
  <c r="M38" i="23"/>
  <c r="M123" i="23"/>
  <c r="M95" i="23"/>
  <c r="M60" i="23"/>
  <c r="M81" i="23"/>
  <c r="M67" i="23"/>
  <c r="M44" i="23"/>
  <c r="M14" i="23"/>
  <c r="M6" i="23"/>
  <c r="M96" i="23"/>
  <c r="M59" i="23"/>
  <c r="M35" i="23"/>
  <c r="M66" i="23"/>
  <c r="M26" i="23"/>
  <c r="M20" i="23"/>
  <c r="M78" i="23"/>
  <c r="M65" i="23"/>
  <c r="M25" i="23"/>
  <c r="M4" i="23"/>
  <c r="M93" i="23"/>
  <c r="M85" i="23"/>
  <c r="M64" i="23"/>
  <c r="M10" i="23"/>
  <c r="M3" i="23"/>
  <c r="V3" i="16"/>
  <c r="W3" i="16" s="1"/>
  <c r="M92" i="23"/>
  <c r="M84" i="23"/>
  <c r="M69" i="23"/>
  <c r="M31" i="23"/>
  <c r="M145" i="23"/>
  <c r="M68" i="23"/>
  <c r="M62" i="23"/>
  <c r="M30" i="23"/>
  <c r="M16" i="23"/>
  <c r="M8" i="23"/>
  <c r="M61" i="23"/>
  <c r="M45" i="23"/>
  <c r="M22" i="23"/>
  <c r="M12" i="23"/>
  <c r="M19" i="23"/>
  <c r="M11" i="23"/>
  <c r="M24" i="23"/>
  <c r="M18" i="23"/>
  <c r="M23" i="23"/>
  <c r="M99" i="23"/>
  <c r="M70" i="23"/>
  <c r="M21" i="23"/>
  <c r="M88" i="23"/>
  <c r="M34" i="23"/>
  <c r="W62" i="16" l="1"/>
  <c r="X62" i="16"/>
  <c r="X19" i="16"/>
  <c r="X79" i="16"/>
  <c r="W41" i="16"/>
  <c r="X41" i="16"/>
  <c r="W55" i="16"/>
  <c r="X55" i="16"/>
  <c r="W24" i="16"/>
  <c r="X24" i="16"/>
  <c r="W5" i="16"/>
  <c r="X5" i="16"/>
  <c r="W27" i="16"/>
  <c r="X27" i="16"/>
  <c r="W15" i="16"/>
  <c r="X15" i="16"/>
  <c r="W46" i="16"/>
  <c r="X46" i="16"/>
  <c r="W43" i="16"/>
  <c r="X43" i="16"/>
  <c r="W42" i="16"/>
  <c r="X42" i="16"/>
  <c r="W48" i="16"/>
  <c r="X48" i="16"/>
  <c r="W44" i="16"/>
  <c r="X44" i="16"/>
  <c r="W28" i="16"/>
  <c r="X28" i="16"/>
  <c r="W6" i="16"/>
  <c r="X6" i="16"/>
  <c r="W58" i="16"/>
  <c r="X58" i="16"/>
  <c r="W22" i="16"/>
  <c r="X22" i="16"/>
  <c r="W32" i="16"/>
  <c r="X32" i="16"/>
  <c r="W23" i="16"/>
  <c r="X23" i="16"/>
  <c r="W49" i="16"/>
  <c r="X49" i="16"/>
  <c r="W20" i="16"/>
  <c r="X20" i="16"/>
  <c r="W45" i="16"/>
  <c r="X45" i="16"/>
  <c r="W13" i="16"/>
  <c r="X13" i="16"/>
  <c r="W78" i="16"/>
  <c r="X78" i="16"/>
  <c r="W71" i="16"/>
  <c r="X71" i="16"/>
  <c r="W70" i="16"/>
  <c r="X70" i="16"/>
  <c r="V69" i="16"/>
  <c r="N221" i="23" l="1"/>
  <c r="N222" i="23"/>
  <c r="N223" i="23"/>
  <c r="N224" i="23"/>
  <c r="N225" i="23"/>
  <c r="N226" i="23"/>
  <c r="N227" i="23"/>
  <c r="R3" i="16"/>
  <c r="Y55" i="16"/>
  <c r="AA55" i="16"/>
  <c r="Z55" i="16" s="1"/>
  <c r="Y63" i="16"/>
  <c r="AA63" i="16"/>
  <c r="Z63" i="16" s="1"/>
  <c r="Y64" i="16"/>
  <c r="AA64" i="16"/>
  <c r="Z64" i="16" s="1"/>
  <c r="Y12" i="16"/>
  <c r="AA12" i="16"/>
  <c r="Z12" i="16" s="1"/>
  <c r="Y13" i="16"/>
  <c r="AA13" i="16"/>
  <c r="Z13" i="16" s="1"/>
  <c r="Y14" i="16"/>
  <c r="AA14" i="16"/>
  <c r="Z14" i="16" s="1"/>
  <c r="Y15" i="16"/>
  <c r="AA15" i="16"/>
  <c r="Z15" i="16" s="1"/>
  <c r="Y16" i="16"/>
  <c r="AA16" i="16"/>
  <c r="Z16" i="16" s="1"/>
  <c r="Y17" i="16"/>
  <c r="AA17" i="16"/>
  <c r="Z17" i="16" s="1"/>
  <c r="Y18" i="16"/>
  <c r="AA18" i="16"/>
  <c r="Z18" i="16" s="1"/>
  <c r="Y19" i="16"/>
  <c r="AA19" i="16"/>
  <c r="Z19" i="16" s="1"/>
  <c r="Y20" i="16"/>
  <c r="AA20" i="16"/>
  <c r="Z20" i="16" s="1"/>
  <c r="Y21" i="16"/>
  <c r="AA21" i="16"/>
  <c r="Z21" i="16" s="1"/>
  <c r="Y22" i="16"/>
  <c r="AA22" i="16"/>
  <c r="Z22" i="16" s="1"/>
  <c r="Y23" i="16"/>
  <c r="AA23" i="16"/>
  <c r="Z23" i="16" s="1"/>
  <c r="Y24" i="16"/>
  <c r="AA24" i="16"/>
  <c r="Z24" i="16" s="1"/>
  <c r="Y25" i="16"/>
  <c r="AA25" i="16"/>
  <c r="Z25" i="16" s="1"/>
  <c r="Y26" i="16"/>
  <c r="AA26" i="16"/>
  <c r="Z26" i="16" s="1"/>
  <c r="Y27" i="16"/>
  <c r="AA27" i="16"/>
  <c r="Z27" i="16" s="1"/>
  <c r="Y28" i="16"/>
  <c r="AA28" i="16"/>
  <c r="Z28" i="16" s="1"/>
  <c r="Y29" i="16"/>
  <c r="AA29" i="16"/>
  <c r="Z29" i="16" s="1"/>
  <c r="Y30" i="16"/>
  <c r="AA30" i="16"/>
  <c r="Z30" i="16" s="1"/>
  <c r="Y31" i="16"/>
  <c r="AA31" i="16"/>
  <c r="Z31" i="16" s="1"/>
  <c r="Y32" i="16"/>
  <c r="AA32" i="16"/>
  <c r="Z32" i="16" s="1"/>
  <c r="Y33" i="16"/>
  <c r="AA33" i="16"/>
  <c r="Z33" i="16" s="1"/>
  <c r="Y34" i="16"/>
  <c r="AA34" i="16"/>
  <c r="Z34" i="16" s="1"/>
  <c r="Y35" i="16"/>
  <c r="AA35" i="16"/>
  <c r="Z35" i="16" s="1"/>
  <c r="Y36" i="16"/>
  <c r="AA36" i="16"/>
  <c r="Z36" i="16" s="1"/>
  <c r="Y37" i="16"/>
  <c r="AA37" i="16"/>
  <c r="Z37" i="16" s="1"/>
  <c r="Y38" i="16"/>
  <c r="AA38" i="16"/>
  <c r="Z38" i="16" s="1"/>
  <c r="Y39" i="16"/>
  <c r="AA39" i="16"/>
  <c r="Z39" i="16" s="1"/>
  <c r="Y40" i="16"/>
  <c r="AA40" i="16"/>
  <c r="Z40" i="16" s="1"/>
  <c r="Y41" i="16"/>
  <c r="AA41" i="16"/>
  <c r="Z41" i="16" s="1"/>
  <c r="Y42" i="16"/>
  <c r="AA42" i="16"/>
  <c r="Z42" i="16" s="1"/>
  <c r="Y43" i="16"/>
  <c r="AA43" i="16"/>
  <c r="Z43" i="16" s="1"/>
  <c r="Y44" i="16"/>
  <c r="AA44" i="16"/>
  <c r="Z44" i="16" s="1"/>
  <c r="Y45" i="16"/>
  <c r="AA45" i="16"/>
  <c r="Z45" i="16" s="1"/>
  <c r="Y46" i="16"/>
  <c r="AA46" i="16"/>
  <c r="Z46" i="16" s="1"/>
  <c r="AA47" i="16"/>
  <c r="Z47" i="16" s="1"/>
  <c r="N45" i="4"/>
  <c r="O45" i="4" s="1"/>
  <c r="S45" i="4"/>
  <c r="T45" i="4"/>
  <c r="U45" i="4"/>
  <c r="N46" i="4"/>
  <c r="O46" i="4" s="1"/>
  <c r="S46" i="4"/>
  <c r="T46" i="4"/>
  <c r="U46" i="4"/>
  <c r="N47" i="4"/>
  <c r="O47" i="4" s="1"/>
  <c r="S47" i="4"/>
  <c r="T47" i="4"/>
  <c r="U47" i="4"/>
  <c r="S50" i="4"/>
  <c r="T50" i="4"/>
  <c r="U50" i="4"/>
  <c r="Q45" i="4" l="1"/>
  <c r="Q46" i="4"/>
  <c r="Q47" i="4"/>
  <c r="AB42" i="16"/>
  <c r="AB39" i="16"/>
  <c r="N50" i="23"/>
  <c r="AB31" i="16"/>
  <c r="N62" i="23"/>
  <c r="AB34" i="16"/>
  <c r="AB43" i="16"/>
  <c r="AB28" i="16"/>
  <c r="AB35" i="16"/>
  <c r="AB23" i="16"/>
  <c r="AB15" i="16"/>
  <c r="AB32" i="16"/>
  <c r="AB37" i="16"/>
  <c r="AB19" i="16"/>
  <c r="AB47" i="16"/>
  <c r="AB38" i="16"/>
  <c r="AB16" i="16"/>
  <c r="AB20" i="16"/>
  <c r="AB55" i="16"/>
  <c r="AB46" i="16"/>
  <c r="AB27" i="16"/>
  <c r="AB24" i="16"/>
  <c r="AB33" i="16"/>
  <c r="AB29" i="16"/>
  <c r="AB25" i="16"/>
  <c r="AB21" i="16"/>
  <c r="AB17" i="16"/>
  <c r="AB13" i="16"/>
  <c r="AB64" i="16"/>
  <c r="AB63" i="16"/>
  <c r="AB44" i="16"/>
  <c r="AB40" i="16"/>
  <c r="AB36" i="16"/>
  <c r="AB12" i="16"/>
  <c r="N97" i="23"/>
  <c r="V48" i="4"/>
  <c r="AB45" i="16"/>
  <c r="AB41" i="16"/>
  <c r="AB30" i="16"/>
  <c r="AB26" i="16"/>
  <c r="AB22" i="16"/>
  <c r="AB18" i="16"/>
  <c r="AB14" i="16"/>
  <c r="N87" i="23"/>
  <c r="N23" i="23"/>
  <c r="N89" i="23"/>
  <c r="N15" i="23"/>
  <c r="N85" i="23"/>
  <c r="N130" i="23"/>
  <c r="N122" i="23"/>
  <c r="N53" i="23"/>
  <c r="N44" i="23"/>
  <c r="N99" i="23"/>
  <c r="N128" i="23"/>
  <c r="N8" i="23"/>
  <c r="N102" i="23"/>
  <c r="N104" i="23"/>
  <c r="N82" i="23"/>
  <c r="N81" i="23"/>
  <c r="N56" i="23"/>
  <c r="N51" i="23"/>
  <c r="N46" i="23"/>
  <c r="V50" i="4"/>
  <c r="V49" i="4"/>
  <c r="V45" i="4"/>
  <c r="J138" i="14"/>
  <c r="N113" i="23" l="1"/>
  <c r="N120" i="23"/>
  <c r="N30" i="23"/>
  <c r="N6" i="23"/>
  <c r="R45" i="4"/>
  <c r="R47" i="4"/>
  <c r="R46" i="4"/>
  <c r="V47" i="4"/>
  <c r="V46" i="4"/>
  <c r="N3" i="23"/>
  <c r="N61" i="23"/>
  <c r="N139" i="23"/>
  <c r="N54" i="23"/>
  <c r="N91" i="23"/>
  <c r="N33" i="23"/>
  <c r="N127" i="23"/>
  <c r="N84" i="23"/>
  <c r="N129" i="23"/>
  <c r="N83" i="23"/>
  <c r="N39" i="23"/>
  <c r="N34" i="23"/>
  <c r="N26" i="23"/>
  <c r="N86" i="23"/>
  <c r="N55" i="23"/>
  <c r="N64" i="23"/>
  <c r="N9" i="23"/>
  <c r="N47" i="23"/>
  <c r="N14" i="23"/>
  <c r="N90" i="23"/>
  <c r="N38" i="23"/>
  <c r="N118" i="23"/>
  <c r="N36" i="23"/>
  <c r="N123" i="23"/>
  <c r="N57" i="23"/>
  <c r="N95" i="23"/>
  <c r="N12" i="23"/>
  <c r="N100" i="23"/>
  <c r="N132" i="23"/>
  <c r="N25" i="23"/>
  <c r="N107" i="23"/>
  <c r="N58" i="23"/>
  <c r="N10" i="23"/>
  <c r="N98" i="23"/>
  <c r="N134" i="23"/>
  <c r="N24" i="23"/>
  <c r="N108" i="23"/>
  <c r="N59" i="23"/>
  <c r="N88" i="23"/>
  <c r="N37" i="23"/>
  <c r="N49" i="23"/>
  <c r="N96" i="23"/>
  <c r="N116" i="23"/>
  <c r="N48" i="23"/>
  <c r="N13" i="23"/>
  <c r="N101" i="23"/>
  <c r="N93" i="23"/>
  <c r="N35" i="23"/>
  <c r="N131" i="23"/>
  <c r="N60" i="23"/>
  <c r="N105" i="23"/>
  <c r="N73" i="23"/>
  <c r="N43" i="23"/>
  <c r="N71" i="23"/>
  <c r="N75" i="23"/>
  <c r="N72" i="23"/>
  <c r="N76" i="23"/>
  <c r="N109" i="23"/>
  <c r="N115" i="23"/>
  <c r="N106" i="23"/>
  <c r="W69" i="16" l="1"/>
  <c r="T100" i="16"/>
  <c r="F5" i="37" l="1"/>
  <c r="F6" i="37" s="1"/>
  <c r="F7" i="37" s="1"/>
  <c r="AV14" i="14"/>
  <c r="L224" i="23" l="1"/>
  <c r="L225" i="23"/>
  <c r="L226" i="23"/>
  <c r="L227" i="23"/>
  <c r="Y53" i="16" l="1"/>
  <c r="AA53" i="16"/>
  <c r="Y54" i="16"/>
  <c r="AA54" i="16"/>
  <c r="Y65" i="16"/>
  <c r="AA65" i="16"/>
  <c r="Y66" i="16"/>
  <c r="AA66" i="16"/>
  <c r="Y67" i="16"/>
  <c r="AA67" i="16"/>
  <c r="N74" i="23" l="1"/>
  <c r="AB65" i="16"/>
  <c r="AB54" i="16"/>
  <c r="Z67" i="16"/>
  <c r="Z65" i="16"/>
  <c r="Z54" i="16"/>
  <c r="Z66" i="16"/>
  <c r="Z53" i="16"/>
  <c r="N29" i="23" l="1"/>
  <c r="N11" i="23"/>
  <c r="N142" i="23"/>
  <c r="N45" i="23"/>
  <c r="L2" i="5"/>
  <c r="L3" i="5"/>
  <c r="L4" i="5"/>
  <c r="L5" i="5"/>
  <c r="L6" i="5"/>
  <c r="L7" i="5"/>
  <c r="L8" i="5"/>
  <c r="L9" i="5"/>
  <c r="L10" i="5"/>
  <c r="L11" i="5"/>
  <c r="L12" i="5"/>
  <c r="U53" i="16" l="1"/>
  <c r="D52" i="11"/>
  <c r="G49" i="11"/>
  <c r="G50" i="11"/>
  <c r="G51" i="11"/>
  <c r="G52" i="11"/>
  <c r="X85" i="16" l="1"/>
  <c r="X87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0" i="23"/>
  <c r="Q361" i="23"/>
  <c r="Q362" i="23"/>
  <c r="Q363" i="23"/>
  <c r="Q364" i="23"/>
  <c r="Q365" i="23"/>
  <c r="H52" i="16" l="1"/>
  <c r="I52" i="16"/>
  <c r="J52" i="16"/>
  <c r="K52" i="16"/>
  <c r="L52" i="16"/>
  <c r="M52" i="16"/>
  <c r="Q3" i="16" l="1"/>
  <c r="AB67" i="16" l="1"/>
  <c r="H68" i="16" l="1"/>
  <c r="H175" i="15" l="1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Z10" i="16" s="1"/>
  <c r="Y11" i="16"/>
  <c r="AA11" i="16"/>
  <c r="Z11" i="16" s="1"/>
  <c r="AA48" i="16"/>
  <c r="Z48" i="16" s="1"/>
  <c r="AA49" i="16"/>
  <c r="Z49" i="16" s="1"/>
  <c r="AA50" i="16"/>
  <c r="Z50" i="16" s="1"/>
  <c r="AA51" i="16"/>
  <c r="Z51" i="16" s="1"/>
  <c r="L424" i="23"/>
  <c r="M424" i="23" s="1"/>
  <c r="N424" i="23"/>
  <c r="L425" i="23"/>
  <c r="M425" i="23" s="1"/>
  <c r="N425" i="23"/>
  <c r="L426" i="23"/>
  <c r="M426" i="23" s="1"/>
  <c r="N426" i="23"/>
  <c r="L427" i="23"/>
  <c r="M427" i="23" s="1"/>
  <c r="N427" i="23"/>
  <c r="I428" i="23"/>
  <c r="J428" i="23"/>
  <c r="N428" i="23"/>
  <c r="L432" i="23"/>
  <c r="Q53" i="16"/>
  <c r="AB53" i="16" s="1"/>
  <c r="R53" i="16"/>
  <c r="AB66" i="16"/>
  <c r="S53" i="16" l="1"/>
  <c r="T53" i="16"/>
  <c r="N31" i="23" s="1"/>
  <c r="Z8" i="16"/>
  <c r="Z7" i="16"/>
  <c r="Z6" i="16"/>
  <c r="Z9" i="16"/>
  <c r="L428" i="23"/>
  <c r="M428" i="23" s="1"/>
  <c r="N2" i="23" l="1"/>
  <c r="N92" i="23"/>
  <c r="D53" i="11"/>
  <c r="D54" i="11" s="1"/>
  <c r="F84" i="8" l="1"/>
  <c r="M224" i="23" l="1"/>
  <c r="M225" i="23"/>
  <c r="M226" i="23"/>
  <c r="M227" i="23"/>
  <c r="Y83" i="16" l="1"/>
  <c r="AA83" i="16"/>
  <c r="Z83" i="16" s="1"/>
  <c r="AB4" i="16"/>
  <c r="AB5" i="16"/>
  <c r="AB6" i="16"/>
  <c r="AB7" i="16"/>
  <c r="AB8" i="16"/>
  <c r="AB9" i="16"/>
  <c r="AB10" i="16"/>
  <c r="AB11" i="16"/>
  <c r="AB48" i="16"/>
  <c r="AB49" i="16"/>
  <c r="AB50" i="16"/>
  <c r="AB51" i="16"/>
  <c r="N78" i="23" l="1"/>
  <c r="N103" i="23"/>
  <c r="N77" i="23"/>
  <c r="L2" i="23"/>
  <c r="I221" i="23"/>
  <c r="J221" i="23"/>
  <c r="J435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W103" i="16" l="1"/>
  <c r="W104" i="16" s="1"/>
  <c r="N110" i="23"/>
  <c r="N32" i="23"/>
  <c r="N18" i="23"/>
  <c r="N27" i="23"/>
  <c r="N52" i="23"/>
  <c r="N16" i="23"/>
  <c r="N79" i="23"/>
  <c r="N20" i="23"/>
  <c r="N17" i="23"/>
  <c r="N40" i="23"/>
  <c r="N80" i="23"/>
  <c r="N65" i="23"/>
  <c r="N42" i="23"/>
  <c r="N70" i="23"/>
  <c r="N63" i="23"/>
  <c r="V53" i="16"/>
  <c r="I435" i="23"/>
  <c r="L221" i="23"/>
  <c r="I222" i="23"/>
  <c r="L222" i="23" s="1"/>
  <c r="M2" i="23"/>
  <c r="W53" i="16" l="1"/>
  <c r="X53" i="16"/>
  <c r="M221" i="23"/>
  <c r="I223" i="23"/>
  <c r="M222" i="23"/>
  <c r="L223" i="23" l="1"/>
  <c r="M223" i="23" s="1"/>
  <c r="L433" i="23" l="1"/>
  <c r="J143" i="14"/>
  <c r="J144" i="14"/>
  <c r="J145" i="14"/>
  <c r="J146" i="14"/>
  <c r="J147" i="14"/>
  <c r="J148" i="14"/>
  <c r="J149" i="14"/>
  <c r="J150" i="14"/>
  <c r="J151" i="14" l="1"/>
  <c r="J139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6" i="15"/>
  <c r="H177" i="15"/>
  <c r="E94" i="16" s="1"/>
  <c r="F94" i="16"/>
  <c r="H162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9" i="15"/>
  <c r="G160" i="15"/>
  <c r="H1" i="8"/>
  <c r="F160" i="15"/>
  <c r="AA69" i="16"/>
  <c r="AA3" i="16"/>
  <c r="AB32" i="5"/>
  <c r="AB33" i="5"/>
  <c r="AB34" i="5"/>
  <c r="AB11" i="5"/>
  <c r="AB12" i="5"/>
  <c r="AB13" i="5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U69" i="16" l="1"/>
  <c r="Q44" i="4"/>
  <c r="Q36" i="4"/>
  <c r="O41" i="4"/>
  <c r="Q41" i="4"/>
  <c r="O33" i="4"/>
  <c r="Q33" i="4"/>
  <c r="O31" i="4"/>
  <c r="Q31" i="4"/>
  <c r="O43" i="4"/>
  <c r="Q43" i="4"/>
  <c r="Q40" i="4"/>
  <c r="Q32" i="4"/>
  <c r="O30" i="4"/>
  <c r="Q30" i="4"/>
  <c r="Q37" i="4"/>
  <c r="O29" i="4"/>
  <c r="Q29" i="4"/>
  <c r="O39" i="4"/>
  <c r="Q39" i="4"/>
  <c r="O38" i="4"/>
  <c r="Q38" i="4"/>
  <c r="O35" i="4"/>
  <c r="Q35" i="4"/>
  <c r="O42" i="4"/>
  <c r="Q42" i="4"/>
  <c r="O34" i="4"/>
  <c r="Q34" i="4"/>
  <c r="O37" i="4"/>
  <c r="O44" i="4"/>
  <c r="O36" i="4"/>
  <c r="O40" i="4"/>
  <c r="O32" i="4"/>
  <c r="V36" i="4" l="1"/>
  <c r="V44" i="4"/>
  <c r="R37" i="4"/>
  <c r="V52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30" i="14" l="1"/>
  <c r="J130" i="14"/>
  <c r="AI14" i="14"/>
  <c r="R222" i="23"/>
  <c r="L143" i="14" l="1"/>
  <c r="L144" i="14"/>
  <c r="L145" i="14"/>
  <c r="L146" i="14"/>
  <c r="L147" i="14"/>
  <c r="L148" i="14"/>
  <c r="L149" i="14"/>
  <c r="L150" i="14"/>
  <c r="L142" i="14"/>
  <c r="I130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84" i="16" l="1"/>
  <c r="V68" i="16"/>
  <c r="Q22" i="4"/>
  <c r="Q14" i="4"/>
  <c r="Q19" i="4"/>
  <c r="Q11" i="4"/>
  <c r="Q25" i="4"/>
  <c r="Q17" i="4"/>
  <c r="Q16" i="4"/>
  <c r="Q21" i="4"/>
  <c r="Q13" i="4"/>
  <c r="Q18" i="4"/>
  <c r="Q10" i="4"/>
  <c r="Q24" i="4"/>
  <c r="Q23" i="4"/>
  <c r="Q15" i="4"/>
  <c r="Q20" i="4"/>
  <c r="Q12" i="4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AB3" i="16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T3" i="16"/>
  <c r="R24" i="4"/>
  <c r="R12" i="4"/>
  <c r="R20" i="4"/>
  <c r="R16" i="4"/>
  <c r="S3" i="16"/>
  <c r="I68" i="16"/>
  <c r="J68" i="16"/>
  <c r="K68" i="16"/>
  <c r="L68" i="16"/>
  <c r="M68" i="16"/>
  <c r="N68" i="16"/>
  <c r="O68" i="16"/>
  <c r="P68" i="16"/>
  <c r="N94" i="23" l="1"/>
  <c r="N5" i="23"/>
  <c r="X3" i="16"/>
  <c r="N41" i="23"/>
  <c r="N68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Q27" i="4"/>
  <c r="Q3" i="4"/>
  <c r="Q26" i="4"/>
  <c r="Q7" i="4"/>
  <c r="Q9" i="4"/>
  <c r="Q8" i="4"/>
  <c r="Q5" i="4"/>
  <c r="Q28" i="4"/>
  <c r="Q4" i="4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52" i="16"/>
  <c r="O88" i="16"/>
  <c r="P88" i="16"/>
  <c r="R84" i="16" l="1"/>
  <c r="R68" i="16"/>
  <c r="Q68" i="16"/>
  <c r="Q84" i="16"/>
  <c r="AB69" i="16"/>
  <c r="T69" i="16"/>
  <c r="N19" i="23" s="1"/>
  <c r="R52" i="16"/>
  <c r="Q52" i="16"/>
  <c r="N126" i="23" l="1"/>
  <c r="N28" i="23"/>
  <c r="X69" i="16"/>
  <c r="S68" i="16"/>
  <c r="T68" i="16"/>
  <c r="X68" i="16" s="1"/>
  <c r="T84" i="16"/>
  <c r="X84" i="16" s="1"/>
  <c r="V88" i="16"/>
  <c r="S52" i="16"/>
  <c r="T52" i="16"/>
  <c r="X52" i="16" s="1"/>
  <c r="U2" i="4" l="1"/>
  <c r="Y3" i="16"/>
  <c r="Z3" i="16"/>
  <c r="S2" i="4"/>
  <c r="I21" i="18"/>
  <c r="J21" i="18"/>
  <c r="I22" i="18"/>
  <c r="J22" i="18"/>
  <c r="I23" i="18"/>
  <c r="J23" i="18"/>
  <c r="Y69" i="16"/>
  <c r="Z69" i="16"/>
  <c r="U101" i="4" l="1"/>
  <c r="H60" i="11" l="1"/>
  <c r="H59" i="11"/>
  <c r="S85" i="16" l="1"/>
  <c r="AB2" i="5"/>
  <c r="AB35" i="5" s="1"/>
  <c r="L87" i="16"/>
  <c r="L88" i="16" s="1"/>
  <c r="J24" i="18" l="1"/>
  <c r="G141" i="14" l="1"/>
  <c r="C34" i="11"/>
  <c r="C33" i="11" s="1"/>
  <c r="C36" i="11"/>
  <c r="C39" i="11" s="1"/>
  <c r="G145" i="14" l="1"/>
  <c r="G143" i="14"/>
  <c r="G140" i="14"/>
  <c r="F153" i="14"/>
  <c r="N2" i="4"/>
  <c r="Q2" i="4" l="1"/>
  <c r="G153" i="14"/>
  <c r="C40" i="11" s="1"/>
  <c r="H157" i="14"/>
  <c r="U3" i="16" l="1"/>
  <c r="AA14" i="14"/>
  <c r="W97" i="16" l="1"/>
  <c r="H61" i="11" l="1"/>
  <c r="H62" i="11" s="1"/>
  <c r="R86" i="16" l="1"/>
  <c r="H87" i="16"/>
  <c r="I87" i="16"/>
  <c r="I88" i="16" s="1"/>
  <c r="J87" i="16"/>
  <c r="J88" i="16" s="1"/>
  <c r="Q178" i="23" s="1"/>
  <c r="K87" i="16"/>
  <c r="K88" i="16" s="1"/>
  <c r="L89" i="16"/>
  <c r="M87" i="16"/>
  <c r="M88" i="16" s="1"/>
  <c r="N87" i="16"/>
  <c r="N88" i="16" s="1"/>
  <c r="N89" i="16" s="1"/>
  <c r="F88" i="16"/>
  <c r="G88" i="16"/>
  <c r="J89" i="16" l="1"/>
  <c r="R178" i="23"/>
  <c r="K89" i="16"/>
  <c r="H97" i="16" s="1"/>
  <c r="H88" i="16"/>
  <c r="M89" i="16"/>
  <c r="S86" i="16"/>
  <c r="I89" i="16"/>
  <c r="D105" i="16"/>
  <c r="R87" i="16"/>
  <c r="Q87" i="16"/>
  <c r="Z86" i="16"/>
  <c r="Y86" i="16"/>
  <c r="V86" i="16"/>
  <c r="D4" i="11" l="1"/>
  <c r="H90" i="16"/>
  <c r="W86" i="16"/>
  <c r="X86" i="16"/>
  <c r="H94" i="16"/>
  <c r="S84" i="16"/>
  <c r="R88" i="16"/>
  <c r="Q88" i="16"/>
  <c r="R89" i="16" l="1"/>
  <c r="R93" i="16"/>
  <c r="Q89" i="16"/>
  <c r="Q93" i="16"/>
  <c r="T88" i="16"/>
  <c r="S88" i="16"/>
  <c r="S89" i="16" s="1"/>
  <c r="T89" i="16" l="1"/>
  <c r="X89" i="16" s="1"/>
  <c r="X88" i="16"/>
  <c r="W92" i="16"/>
  <c r="O2" i="4" l="1"/>
  <c r="V2" i="4" l="1"/>
  <c r="R2" i="4"/>
  <c r="R101" i="4" s="1"/>
  <c r="K24" i="18"/>
  <c r="S101" i="4" l="1"/>
  <c r="I24" i="18" l="1"/>
  <c r="E4" i="11" s="1"/>
  <c r="E5" i="11" s="1"/>
  <c r="G102" i="16" l="1"/>
  <c r="G99" i="16"/>
  <c r="R102" i="4" l="1"/>
  <c r="C53" i="11" l="1"/>
  <c r="C12" i="11" l="1"/>
  <c r="C10" i="11"/>
  <c r="E53" i="11" l="1"/>
  <c r="E54" i="11" s="1"/>
  <c r="C9" i="11" l="1"/>
  <c r="I101" i="16" l="1"/>
  <c r="I92" i="16"/>
  <c r="C13" i="11" l="1"/>
  <c r="C8" i="11" s="1"/>
  <c r="C38" i="11" s="1"/>
  <c r="D39" i="11" l="1"/>
  <c r="C42" i="11" s="1"/>
  <c r="C43" i="11"/>
  <c r="C41" i="11"/>
  <c r="H104" i="16"/>
  <c r="I96" i="16" l="1"/>
  <c r="D5" i="11" l="1"/>
  <c r="H95" i="16"/>
  <c r="H9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02" i="16"/>
  <c r="I104" i="16" s="1"/>
  <c r="Q90" i="16"/>
  <c r="Q91" i="16" s="1"/>
  <c r="H101" i="16"/>
  <c r="I95" i="16"/>
  <c r="I94" i="16" l="1"/>
  <c r="I98" i="16" s="1"/>
  <c r="U89" i="16"/>
  <c r="R91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03" i="16" l="1"/>
  <c r="G104" i="16" s="1"/>
  <c r="G100" i="16"/>
  <c r="G97" i="16" l="1"/>
  <c r="G98" i="16" s="1"/>
  <c r="G10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<sst xmlns="http://schemas.openxmlformats.org/spreadsheetml/2006/main" count="3977" uniqueCount="1398">
  <si>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</si>
  <si>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</si>
  <si>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</si>
  <si>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</si>
  <si>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</si>
  <si>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</si>
  <si>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</si>
  <si>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</si>
  <si>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</si>
  <si>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</si>
  <si>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</si>
  <si>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</si>
  <si>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</si>
  <si>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</si>
  <si>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</si>
  <si>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</si>
  <si>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</si>
  <si>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</si>
  <si>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</si>
  <si>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</si>
  <si>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</si>
  <si>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</si>
  <si>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</si>
  <si>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</si>
  <si>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</si>
  <si>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</si>
  <si>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</si>
  <si>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</si>
  <si>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</si>
  <si>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</si>
  <si>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</si>
  <si>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</si>
  <si>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</si>
  <si>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</si>
  <si>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</si>
  <si>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</si>
  <si>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</si>
  <si>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</si>
  <si>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</si>
  <si>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</si>
  <si>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</si>
  <si>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</si>
  <si>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</si>
  <si>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</si>
  <si>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</si>
  <si>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</si>
  <si>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</si>
  <si>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</si>
  <si>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</si>
  <si>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</si>
  <si>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</si>
  <si>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</si>
  <si>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</si>
  <si>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</si>
  <si>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</si>
  <si>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</si>
  <si>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</si>
  <si>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</si>
  <si>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</si>
  <si>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</si>
  <si>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</si>
  <si>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</si>
  <si>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</si>
  <si>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</si>
  <si>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</si>
  <si>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</si>
  <si>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</si>
  <si>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</si>
  <si>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</si>
  <si>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</si>
  <si>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</si>
  <si>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</si>
  <si>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</si>
  <si>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</si>
  <si>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</si>
  <si>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</si>
  <si>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</si>
  <si>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</si>
  <si>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</si>
  <si>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</si>
  <si>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</si>
  <si>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</si>
  <si>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</si>
  <si>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</si>
  <si>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</si>
  <si>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</si>
  <si>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</si>
  <si>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</si>
  <si>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</si>
  <si>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</si>
  <si>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</si>
  <si>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</si>
  <si>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</si>
  <si>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</si>
  <si>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</si>
  <si>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</si>
  <si>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</si>
  <si>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</si>
  <si>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</si>
  <si>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</si>
  <si>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</si>
  <si>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</si>
  <si>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</si>
  <si>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</si>
  <si>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</si>
  <si>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</si>
  <si>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</si>
  <si>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</si>
  <si>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</si>
  <si>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</si>
  <si>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</si>
  <si>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</si>
  <si>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</si>
  <si>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</si>
  <si>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</si>
  <si>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</si>
  <si>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</si>
  <si>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</si>
  <si>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</si>
  <si>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</si>
  <si>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</si>
  <si>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</si>
  <si>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</si>
  <si>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</si>
  <si>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</si>
  <si>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</si>
  <si>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</si>
  <si>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</si>
  <si>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</si>
  <si>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</si>
  <si>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</si>
  <si>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</si>
  <si>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</si>
  <si>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</si>
  <si>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</si>
  <si>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</si>
  <si>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</si>
  <si>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</si>
  <si>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</si>
  <si>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</si>
  <si>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</si>
  <si>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</si>
  <si>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</si>
  <si>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</si>
  <si>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</si>
  <si>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</si>
  <si>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</si>
  <si>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</si>
  <si>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</si>
  <si>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</si>
  <si>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</si>
  <si>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</si>
  <si>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</si>
  <si>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</si>
  <si>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</si>
  <si>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</si>
  <si>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</si>
  <si>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</si>
  <si>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</si>
  <si>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</si>
  <si>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</si>
  <si>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</si>
  <si>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</si>
  <si>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</si>
  <si>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</si>
  <si>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</si>
  <si>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</si>
  <si>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</si>
  <si>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</si>
  <si>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</si>
  <si>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</si>
  <si>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</si>
  <si>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</si>
  <si>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</si>
  <si>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</si>
  <si>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</si>
  <si>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</si>
  <si>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</si>
  <si>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</si>
  <si>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</si>
  <si>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</si>
  <si>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</si>
  <si>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</si>
  <si>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</si>
  <si>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</si>
  <si>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</si>
  <si>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</si>
  <si>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</si>
  <si>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</si>
  <si>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</si>
  <si>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</si>
  <si>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</si>
  <si>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</si>
  <si>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</si>
  <si>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</si>
  <si>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</si>
  <si>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</si>
  <si>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</si>
  <si>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</si>
  <si>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</si>
  <si>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</si>
  <si>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</si>
  <si>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</si>
  <si>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</si>
  <si>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</si>
  <si>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</si>
  <si>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</si>
  <si>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</si>
  <si>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</si>
  <si>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</si>
  <si>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</si>
  <si>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</si>
  <si>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</si>
  <si>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</si>
  <si>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</si>
  <si>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</si>
  <si>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</si>
  <si>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</si>
  <si>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</si>
  <si>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</si>
  <si>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</si>
  <si>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</si>
  <si>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</si>
  <si>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</si>
  <si>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</si>
  <si>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</si>
  <si>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</si>
  <si>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</si>
  <si>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</si>
  <si>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</si>
  <si>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</si>
  <si>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</si>
  <si>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</si>
  <si>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</si>
  <si>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</si>
  <si>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</si>
  <si>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</si>
  <si>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</si>
  <si>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</si>
  <si>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</si>
  <si>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</si>
  <si>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</si>
  <si>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</si>
  <si>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</si>
  <si>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</si>
  <si>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</si>
  <si>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</si>
  <si>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</si>
  <si>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</si>
  <si>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</si>
  <si>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</si>
  <si>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</si>
  <si>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</si>
  <si>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</si>
  <si>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</si>
  <si>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</si>
  <si>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</si>
  <si>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</si>
  <si>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</si>
  <si>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</si>
  <si>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</si>
  <si>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</si>
  <si>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</si>
  <si>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</si>
  <si>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</si>
  <si>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</si>
  <si>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</si>
  <si>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LIDER</t>
  </si>
  <si>
    <t>Aseo Hotel</t>
  </si>
  <si>
    <t>Desayuno Pasajeros</t>
  </si>
  <si>
    <t>Almuerzo Personal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</si>
  <si>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</si>
  <si>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</si>
  <si>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</si>
  <si>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</si>
  <si>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</si>
  <si>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</si>
  <si>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</si>
  <si>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</si>
  <si>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</si>
  <si>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</si>
  <si>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</si>
  <si>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</si>
  <si>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</si>
  <si>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</si>
  <si>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</si>
  <si>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</si>
  <si>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</si>
  <si>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</si>
  <si>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</si>
  <si>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</si>
  <si>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</si>
  <si>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</si>
  <si>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</si>
  <si>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</si>
  <si>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</si>
  <si>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</si>
  <si>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</si>
  <si>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</si>
  <si>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</si>
  <si>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</si>
  <si>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</si>
  <si>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</si>
  <si>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</si>
  <si>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</si>
  <si>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</si>
  <si>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</si>
  <si>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</si>
  <si>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</si>
  <si>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</si>
  <si>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</si>
  <si>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</si>
  <si>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</si>
  <si>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</si>
  <si>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</si>
  <si>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</si>
  <si>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</si>
  <si>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</si>
  <si>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</si>
  <si>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</si>
  <si>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</si>
  <si>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</si>
  <si>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</si>
  <si>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 xml:space="preserve">Luis Arias Arias                             </t>
  </si>
  <si>
    <t>anulacion</t>
  </si>
  <si>
    <t>Cheque Cobrado/Depositado BCI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</si>
  <si>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</si>
  <si>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</si>
  <si>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</si>
  <si>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</si>
  <si>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</si>
  <si>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</si>
  <si>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</si>
  <si>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</si>
  <si>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</si>
  <si>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</si>
  <si>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</si>
  <si>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</si>
  <si>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</si>
  <si>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</si>
  <si>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</si>
  <si>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</si>
  <si>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</si>
  <si>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</si>
  <si>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</si>
  <si>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</si>
  <si>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SITEMINDER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</si>
  <si>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</si>
  <si>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</si>
  <si>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</si>
  <si>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</si>
  <si>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</si>
  <si>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</si>
  <si>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</si>
  <si>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</si>
  <si>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PAGO EN LINEA SII</t>
  </si>
  <si>
    <t>Matrimonial</t>
  </si>
  <si>
    <t xml:space="preserve"> Suma de VALOR </t>
  </si>
  <si>
    <t xml:space="preserve"> -   </t>
  </si>
  <si>
    <t>BOOKINGSUITE</t>
  </si>
  <si>
    <t>Pago Deuda Tarjeta Crédito US$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</si>
  <si>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</si>
  <si>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</si>
  <si>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</si>
  <si>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</si>
  <si>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</si>
  <si>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BERTITA</t>
  </si>
  <si>
    <t>IVA sergio</t>
  </si>
  <si>
    <t>sack</t>
  </si>
  <si>
    <t>EXPEDIA</t>
  </si>
  <si>
    <t>GOOGLE *SVCSAPPS_PA</t>
  </si>
  <si>
    <t>76.173.509-8</t>
  </si>
  <si>
    <t xml:space="preserve">Nieva Soft EIRL                              </t>
  </si>
  <si>
    <t>Sergio Solor</t>
  </si>
  <si>
    <t>Entel</t>
  </si>
  <si>
    <t>repuestos porton</t>
  </si>
  <si>
    <t>Sergio- ver deposito de28 de junio</t>
  </si>
  <si>
    <t>Twin / Doble</t>
  </si>
  <si>
    <t>Anulación $</t>
  </si>
  <si>
    <t>500</t>
  </si>
  <si>
    <t>1087</t>
  </si>
  <si>
    <t>66653927</t>
  </si>
  <si>
    <t>54010918</t>
  </si>
  <si>
    <t>1638114</t>
  </si>
  <si>
    <t>23590575</t>
  </si>
  <si>
    <t>76.207.347-1</t>
  </si>
  <si>
    <t xml:space="preserve">BANCO BICE                         </t>
  </si>
  <si>
    <t>6727859</t>
  </si>
  <si>
    <t xml:space="preserve">SERVICIOS CONTABLES JABR EIRL                </t>
  </si>
  <si>
    <t>54003610</t>
  </si>
  <si>
    <t>5.461.861-1</t>
  </si>
  <si>
    <t>7505124</t>
  </si>
  <si>
    <t xml:space="preserve">Angelica Ramirez Muñoz                       </t>
  </si>
  <si>
    <t>21066477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</si>
  <si>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</si>
  <si>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</si>
  <si>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</si>
  <si>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</si>
  <si>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</si>
  <si>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</si>
  <si>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</si>
  <si>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</si>
  <si>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16.371.497-3</t>
  </si>
  <si>
    <t>16371497</t>
  </si>
  <si>
    <t xml:space="preserve">Sebastian Villalobos                         </t>
  </si>
  <si>
    <t>76.053.835-3</t>
  </si>
  <si>
    <t>63839000</t>
  </si>
  <si>
    <t xml:space="preserve">Leonprodal SA                                </t>
  </si>
  <si>
    <t>1787215104</t>
  </si>
  <si>
    <t>Deposito En Efectivo Por Caja</t>
  </si>
  <si>
    <t>VALIMPORT</t>
  </si>
  <si>
    <t>Anulada por fono</t>
  </si>
  <si>
    <t>553636XXXXXXX5713</t>
  </si>
  <si>
    <t>553636XXXXXXX6962</t>
  </si>
  <si>
    <t>406669XXXXXXX1923</t>
  </si>
  <si>
    <t>489391XXXXXXX5037</t>
  </si>
  <si>
    <t>498406XXXXXXX9231</t>
  </si>
  <si>
    <t>MG</t>
  </si>
  <si>
    <t>459080XXXXXXX9608</t>
  </si>
  <si>
    <t>450760XXXXXXX1005</t>
  </si>
  <si>
    <t>406655XXXXXXX2247</t>
  </si>
  <si>
    <t>490979XXXXXXX2163</t>
  </si>
  <si>
    <t>520079XXXXXXX3195</t>
  </si>
  <si>
    <t>414720XXXXXXX6411</t>
  </si>
  <si>
    <t>514868XXXXXXX0306</t>
  </si>
  <si>
    <t>552305XXXXXXX4971</t>
  </si>
  <si>
    <t>553096XXXXXXX6497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</si>
  <si>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</si>
  <si>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</si>
  <si>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</si>
  <si>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</si>
  <si>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</si>
  <si>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MONTO CANCELADO</t>
  </si>
  <si>
    <t>SODIMAC</t>
  </si>
  <si>
    <t>AGRO</t>
  </si>
  <si>
    <t>MALL</t>
  </si>
  <si>
    <t>TURBUS</t>
  </si>
  <si>
    <t>BKNG</t>
  </si>
  <si>
    <t>515590XXXXXXX9275</t>
  </si>
  <si>
    <t>03781I</t>
  </si>
  <si>
    <t>513641XXXXXXX7810</t>
  </si>
  <si>
    <t>553636XXXXXXX6793</t>
  </si>
  <si>
    <t>553636XXXXXXX0231</t>
  </si>
  <si>
    <t>516220XXXXXXX7727</t>
  </si>
  <si>
    <t>0X7MHY</t>
  </si>
  <si>
    <t>405568XXXXXXX3883</t>
  </si>
  <si>
    <t>536805XXXXXXX7404</t>
  </si>
  <si>
    <t>549167XXXXXXX0935</t>
  </si>
  <si>
    <t>515601XXXXXXX5370</t>
  </si>
  <si>
    <t>496642XXXXXXX5887</t>
  </si>
  <si>
    <t>475776XXXXXXX1595</t>
  </si>
  <si>
    <t>552289XXXXXXX1864</t>
  </si>
  <si>
    <t>376440XXXXXX4027</t>
  </si>
  <si>
    <t>415275XXXXXXX7113</t>
  </si>
  <si>
    <t>498408XXXXXXX9459</t>
  </si>
  <si>
    <t>498408XXXXXXX4111</t>
  </si>
  <si>
    <t>374769XXXXXX3972</t>
  </si>
  <si>
    <t>422061XXXXXXX9655</t>
  </si>
  <si>
    <t>549167XXXXXXX1343</t>
  </si>
  <si>
    <t>531154XXXXXXX5007</t>
  </si>
  <si>
    <t>522832XXXXXXX6520</t>
  </si>
  <si>
    <t>540477XXXXXXX4148</t>
  </si>
  <si>
    <t>490172XXXXXXX1550</t>
  </si>
  <si>
    <t>549167XXXXXXX5450</t>
  </si>
  <si>
    <t>441120XXXXXXX1215</t>
  </si>
  <si>
    <t>459990XXXXXXX6906</t>
  </si>
  <si>
    <t>419742XXXXXXX6517</t>
  </si>
  <si>
    <t>00572I</t>
  </si>
  <si>
    <t>462722XXXXXXX6470</t>
  </si>
  <si>
    <t>515590XXXXXXX8115</t>
  </si>
  <si>
    <t>422061XXXXXXX4412</t>
  </si>
  <si>
    <t>494025XXXXXXX7894</t>
  </si>
  <si>
    <t>522840XXXXXXX2385</t>
  </si>
  <si>
    <t>552615XXXXXXX6181</t>
  </si>
  <si>
    <t>H32340</t>
  </si>
  <si>
    <t>425728XXXXXXX3014</t>
  </si>
  <si>
    <t>375284XXXXXX4006</t>
  </si>
  <si>
    <t>521892XXXXXXX9385</t>
  </si>
  <si>
    <t>552300XXXXXXX7017</t>
  </si>
  <si>
    <t>515590XXXXXXX2526</t>
  </si>
  <si>
    <t>450881XXXXXXX0956</t>
  </si>
  <si>
    <t>410628XXXXXXX5011</t>
  </si>
  <si>
    <t>377169XXXXXX1016</t>
  </si>
  <si>
    <t>555233XXXXXXX2996</t>
  </si>
  <si>
    <t>555233XXXXXXX2673</t>
  </si>
  <si>
    <t>520387XXXXXXX8306</t>
  </si>
  <si>
    <t>548985XXXXXXX4645</t>
  </si>
  <si>
    <t>621996XXXXXXXXX9019</t>
  </si>
  <si>
    <t>515601XXXXXXX7618</t>
  </si>
  <si>
    <t>552561XXXXXXX5065</t>
  </si>
  <si>
    <t>498406XXXXXXX4144</t>
  </si>
  <si>
    <t>376493XXXXXX2360</t>
  </si>
  <si>
    <t>553636XXXXXXX5132</t>
  </si>
  <si>
    <t>553636XXXXXXX0695</t>
  </si>
  <si>
    <t>448165XXXXXXX2869</t>
  </si>
  <si>
    <t>421847XXXXXXX8861</t>
  </si>
  <si>
    <t>535876XXXXXXX2204</t>
  </si>
  <si>
    <t>448165XXXXXXX4755</t>
  </si>
  <si>
    <t>516097XXXXXXX3024</t>
  </si>
  <si>
    <t>544637XXXXXXX6734</t>
  </si>
  <si>
    <t>T30319</t>
  </si>
  <si>
    <t>376446XXXXXX2002</t>
  </si>
  <si>
    <t>520387XXXXXXX1268</t>
  </si>
  <si>
    <t>552289XXXXXXX3056</t>
  </si>
  <si>
    <t>441524XXXXXXX5554</t>
  </si>
  <si>
    <t>376449XXXXXX1003</t>
  </si>
  <si>
    <t>553636XXXXXXX9252</t>
  </si>
  <si>
    <t>516097XXXXXXX6010</t>
  </si>
  <si>
    <t>497547XXXXXXX2459</t>
  </si>
  <si>
    <t>535583XXXXXXX6194</t>
  </si>
  <si>
    <t>448165XXXXXXX5627</t>
  </si>
  <si>
    <t>502976XXXXXXX5466</t>
  </si>
  <si>
    <t>440645XXXXXXX1807</t>
  </si>
  <si>
    <t>536568XXXXXXX2216</t>
  </si>
  <si>
    <t>522840XXXXXXX4153</t>
  </si>
  <si>
    <t>513771XXXXXXX6058</t>
  </si>
  <si>
    <t>515590XXXXXXX9021</t>
  </si>
  <si>
    <t>372536XXXXXX4004</t>
  </si>
  <si>
    <t>535316XXXXXXX8753</t>
  </si>
  <si>
    <t>376471XXXXXX3000</t>
  </si>
  <si>
    <t>498406XXXXXXX2509</t>
  </si>
  <si>
    <t>515658XXXXXXX2304</t>
  </si>
  <si>
    <t>498406XXXXXXX2392</t>
  </si>
  <si>
    <t>450003XXXXXXX8899</t>
  </si>
  <si>
    <t>02925I</t>
  </si>
  <si>
    <t>422061XXXXXXX4884</t>
  </si>
  <si>
    <t>498408XXXXXXX2939</t>
  </si>
  <si>
    <t>377820XXXXXX8001</t>
  </si>
  <si>
    <t>515601XXXXXXX0858</t>
  </si>
  <si>
    <t>422061XXXXXXX7790</t>
  </si>
  <si>
    <t>497414XXXXXXX7352</t>
  </si>
  <si>
    <t>498406XXXXXXX6562</t>
  </si>
  <si>
    <t>553636XXXXXXX1953</t>
  </si>
  <si>
    <t>498423XXXXXXX6718</t>
  </si>
  <si>
    <t>498406XXXXXXX3902</t>
  </si>
  <si>
    <t>498408XXXXXXX0301</t>
  </si>
  <si>
    <t>589710XXXXXXXXX6064</t>
  </si>
  <si>
    <t>548569XXXXXXX3396</t>
  </si>
  <si>
    <t>448165XXXXXXX1868</t>
  </si>
  <si>
    <t>553656XXXXXXX7521</t>
  </si>
  <si>
    <t>541142XXXXXXX7846</t>
  </si>
  <si>
    <t>09261S</t>
  </si>
  <si>
    <t>553636XXXXXXX2396</t>
  </si>
  <si>
    <t>377660XXXXXX5219</t>
  </si>
  <si>
    <t>05645S</t>
  </si>
  <si>
    <t>498401XXXXXXX0582</t>
  </si>
  <si>
    <t>528689XXXXXXX7336</t>
  </si>
  <si>
    <t>375000XXXXXX4008</t>
  </si>
  <si>
    <t>376425XXXXXX3023</t>
  </si>
  <si>
    <t>521892XXXXXXX9012</t>
  </si>
  <si>
    <t>521892XXXXXXX9247</t>
  </si>
  <si>
    <t>549162XXXXXXX2319</t>
  </si>
  <si>
    <t>448165XXXXXXX0441</t>
  </si>
  <si>
    <t>522832XXXXXXX9146</t>
  </si>
  <si>
    <t>446867XXXXXXX0643</t>
  </si>
  <si>
    <t>552236XXXXXXX8178</t>
  </si>
  <si>
    <t>553636XXXXXXX5216</t>
  </si>
  <si>
    <t>20/09/2017</t>
  </si>
  <si>
    <t>27/09/2017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</si>
  <si>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</si>
  <si>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</si>
  <si>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</si>
  <si>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</si>
  <si>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</si>
  <si>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</si>
  <si>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</si>
  <si>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</si>
  <si>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</si>
  <si>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</si>
  <si>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</si>
  <si>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</si>
  <si>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</si>
  <si>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</si>
  <si>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</si>
  <si>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</si>
  <si>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</si>
  <si>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</si>
  <si>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15/09/2017</t>
  </si>
  <si>
    <t>19.538.788-5</t>
  </si>
  <si>
    <t>19538788</t>
  </si>
  <si>
    <t xml:space="preserve">Abraham Espiritu                             </t>
  </si>
  <si>
    <t>EL CONSTRUCTOR</t>
  </si>
  <si>
    <t>PARKING AGRO</t>
  </si>
  <si>
    <t xml:space="preserve">PARKING CENTRO </t>
  </si>
  <si>
    <t>PARKING CENTRO</t>
  </si>
  <si>
    <t>LAVADO CAMIONETA</t>
  </si>
  <si>
    <t>PARKING MALL</t>
  </si>
  <si>
    <t>FERRETERIA</t>
  </si>
  <si>
    <t>LIBRERÍA</t>
  </si>
  <si>
    <t>TURBUS CARGO</t>
  </si>
  <si>
    <t>01/10/2017 08:00</t>
  </si>
  <si>
    <t>30905830</t>
  </si>
  <si>
    <t>015653</t>
  </si>
  <si>
    <t>01/10/2017 18:28</t>
  </si>
  <si>
    <t>30975278</t>
  </si>
  <si>
    <t>530772XXXXXXX1613</t>
  </si>
  <si>
    <t>745876</t>
  </si>
  <si>
    <t>01/10/2017 20:42</t>
  </si>
  <si>
    <t>490172XXXXXXX3449</t>
  </si>
  <si>
    <t>086961</t>
  </si>
  <si>
    <t>02/10/2017 09:28</t>
  </si>
  <si>
    <t>433527XXXXXXX4692</t>
  </si>
  <si>
    <t>003617</t>
  </si>
  <si>
    <t>02/10/2017 20:24</t>
  </si>
  <si>
    <t>003881</t>
  </si>
  <si>
    <t>03/10/2017 14:48</t>
  </si>
  <si>
    <t>03126I</t>
  </si>
  <si>
    <t>03/10/2017 22:10</t>
  </si>
  <si>
    <t>030815</t>
  </si>
  <si>
    <t>03/10/2017 22:11</t>
  </si>
  <si>
    <t>515894XXXXXXX8580</t>
  </si>
  <si>
    <t>984997</t>
  </si>
  <si>
    <t>04/10/2017 07:19</t>
  </si>
  <si>
    <t>852034</t>
  </si>
  <si>
    <t>04/10/2017 16:58</t>
  </si>
  <si>
    <t>008264</t>
  </si>
  <si>
    <t>04/10/2017 17:25</t>
  </si>
  <si>
    <t>554927XXXXXXX1543</t>
  </si>
  <si>
    <t>002727</t>
  </si>
  <si>
    <t>04/10/2017 20:21</t>
  </si>
  <si>
    <t>005833</t>
  </si>
  <si>
    <t>05/10/2017 20:23</t>
  </si>
  <si>
    <t>261744</t>
  </si>
  <si>
    <t>06/10/2017 09:59</t>
  </si>
  <si>
    <t>492119XXXXXXX3906</t>
  </si>
  <si>
    <t>883871</t>
  </si>
  <si>
    <t>06/10/2017 10:04</t>
  </si>
  <si>
    <t>406669XXXXXXX0084</t>
  </si>
  <si>
    <t>660905</t>
  </si>
  <si>
    <t>06/10/2017 10:06</t>
  </si>
  <si>
    <t>405071XXXXXXX3693</t>
  </si>
  <si>
    <t>005572</t>
  </si>
  <si>
    <t>06/10/2017 10:11</t>
  </si>
  <si>
    <t>515590XXXXXXX2359</t>
  </si>
  <si>
    <t>135163</t>
  </si>
  <si>
    <t>06/10/2017 10:15</t>
  </si>
  <si>
    <t>379107XXXXXX3003</t>
  </si>
  <si>
    <t>41</t>
  </si>
  <si>
    <t>06/10/2017 10:16</t>
  </si>
  <si>
    <t>549858XXXXXXX5651</t>
  </si>
  <si>
    <t>716140</t>
  </si>
  <si>
    <t>06/10/2017 16:51</t>
  </si>
  <si>
    <t>498408XXXXXXX1240</t>
  </si>
  <si>
    <t>836450</t>
  </si>
  <si>
    <t>06/10/2017 19:18</t>
  </si>
  <si>
    <t>434956XXXXXXX4724</t>
  </si>
  <si>
    <t>825696</t>
  </si>
  <si>
    <t>06/10/2017 20:13</t>
  </si>
  <si>
    <t>337406</t>
  </si>
  <si>
    <t>07/10/2017 08:35</t>
  </si>
  <si>
    <t>119907</t>
  </si>
  <si>
    <t>07/10/2017 10:37</t>
  </si>
  <si>
    <t>552289XXXXXXX0428</t>
  </si>
  <si>
    <t>056149</t>
  </si>
  <si>
    <t>07/10/2017 10:39</t>
  </si>
  <si>
    <t>097976</t>
  </si>
  <si>
    <t>498401XXXXXXX4187</t>
  </si>
  <si>
    <t>041578</t>
  </si>
  <si>
    <t>07/10/2017 15:31</t>
  </si>
  <si>
    <t>335556</t>
  </si>
  <si>
    <t>08/10/2017 10:55</t>
  </si>
  <si>
    <t>680858</t>
  </si>
  <si>
    <t>08/10/2017 15:39</t>
  </si>
  <si>
    <t>406669XXXXXXX3939</t>
  </si>
  <si>
    <t>605873</t>
  </si>
  <si>
    <t>08/10/2017 15:40</t>
  </si>
  <si>
    <t>536805XXXXXXX4673</t>
  </si>
  <si>
    <t>621464</t>
  </si>
  <si>
    <t>11/10/2017 14:49</t>
  </si>
  <si>
    <t>12</t>
  </si>
  <si>
    <t>12/10/2017 08:54</t>
  </si>
  <si>
    <t>549162XXXXXXX8722</t>
  </si>
  <si>
    <t>963840</t>
  </si>
  <si>
    <t>12/10/2017 09:05</t>
  </si>
  <si>
    <t>683575</t>
  </si>
  <si>
    <t>12/10/2017 09:09</t>
  </si>
  <si>
    <t>552273XXXXXXX2869</t>
  </si>
  <si>
    <t>432356</t>
  </si>
  <si>
    <t>12/10/2017 09:10</t>
  </si>
  <si>
    <t>520915XXXXXXX7390</t>
  </si>
  <si>
    <t>B74503</t>
  </si>
  <si>
    <t>12/10/2017 09:14</t>
  </si>
  <si>
    <t>515590XXXXXXX3337</t>
  </si>
  <si>
    <t>162166</t>
  </si>
  <si>
    <t>12/10/2017 09:18</t>
  </si>
  <si>
    <t>521890XXXXXXX9518</t>
  </si>
  <si>
    <t>251648</t>
  </si>
  <si>
    <t>12/10/2017 21:18</t>
  </si>
  <si>
    <t>493414XXXXXXX7542</t>
  </si>
  <si>
    <t>827044</t>
  </si>
  <si>
    <t>12/10/2017 22:06</t>
  </si>
  <si>
    <t>17</t>
  </si>
  <si>
    <t>13/10/2017 10:31</t>
  </si>
  <si>
    <t>490118XXXXXXX2111</t>
  </si>
  <si>
    <t>199905</t>
  </si>
  <si>
    <t>13/10/2017 12:41</t>
  </si>
  <si>
    <t>165564</t>
  </si>
  <si>
    <t>13/10/2017 13:17</t>
  </si>
  <si>
    <t>498406XXXXXXX1303</t>
  </si>
  <si>
    <t>685548</t>
  </si>
  <si>
    <t>13/10/2017 13:18</t>
  </si>
  <si>
    <t>415936XXXXXXX3033</t>
  </si>
  <si>
    <t>405725</t>
  </si>
  <si>
    <t>13/10/2017 13:20</t>
  </si>
  <si>
    <t>402342XXXXXXX8329</t>
  </si>
  <si>
    <t>224997</t>
  </si>
  <si>
    <t>13/10/2017 13:22</t>
  </si>
  <si>
    <t>516292XXXXXXX9684</t>
  </si>
  <si>
    <t>DXICVG</t>
  </si>
  <si>
    <t>13/10/2017 13:27</t>
  </si>
  <si>
    <t>517805XXXXXXX4642</t>
  </si>
  <si>
    <t>00959Z</t>
  </si>
  <si>
    <t>13/10/2017 13:29</t>
  </si>
  <si>
    <t>462263XXXXXXX3051</t>
  </si>
  <si>
    <t>030210</t>
  </si>
  <si>
    <t>13/10/2017 13:31</t>
  </si>
  <si>
    <t>528055XXXXXXX0036</t>
  </si>
  <si>
    <t>101828</t>
  </si>
  <si>
    <t>13/10/2017 22:13</t>
  </si>
  <si>
    <t>543890</t>
  </si>
  <si>
    <t>15/10/2017 07:28</t>
  </si>
  <si>
    <t>486412XXXXXXX5087</t>
  </si>
  <si>
    <t>000042</t>
  </si>
  <si>
    <t>15/10/2017 07:31</t>
  </si>
  <si>
    <t>585978</t>
  </si>
  <si>
    <t>15/10/2017 07:32</t>
  </si>
  <si>
    <t>069128</t>
  </si>
  <si>
    <t>15/10/2017 07:34</t>
  </si>
  <si>
    <t>834454</t>
  </si>
  <si>
    <t>15/10/2017 16:48</t>
  </si>
  <si>
    <t>549162XXXXXXX5553</t>
  </si>
  <si>
    <t>037640</t>
  </si>
  <si>
    <t>16/10/2017 10:29</t>
  </si>
  <si>
    <t>465770XXXXXXX0997</t>
  </si>
  <si>
    <t>000261</t>
  </si>
  <si>
    <t>16/10/2017 14:06</t>
  </si>
  <si>
    <t>303802</t>
  </si>
  <si>
    <t>17/10/2017 09:20</t>
  </si>
  <si>
    <t>450003XXXXXXX7716</t>
  </si>
  <si>
    <t>09418I</t>
  </si>
  <si>
    <t>17/10/2017 10:42</t>
  </si>
  <si>
    <t>459425XXXXXXX3165</t>
  </si>
  <si>
    <t>002428</t>
  </si>
  <si>
    <t>17/10/2017 15:54</t>
  </si>
  <si>
    <t>64</t>
  </si>
  <si>
    <t>18/10/2017 12:38</t>
  </si>
  <si>
    <t>432466XXXXXXX2433</t>
  </si>
  <si>
    <t>163151</t>
  </si>
  <si>
    <t>18/10/2017 16:10</t>
  </si>
  <si>
    <t>884095</t>
  </si>
  <si>
    <t>18/10/2017 21:13</t>
  </si>
  <si>
    <t>553636XXXXXXX0058</t>
  </si>
  <si>
    <t>091759</t>
  </si>
  <si>
    <t>18/10/2017 21:15</t>
  </si>
  <si>
    <t>554906XXXXXXX1287</t>
  </si>
  <si>
    <t>038690</t>
  </si>
  <si>
    <t>19/10/2017 16:34</t>
  </si>
  <si>
    <t>798456</t>
  </si>
  <si>
    <t>19/10/2017 16:48</t>
  </si>
  <si>
    <t>498406XXXXXXX6519</t>
  </si>
  <si>
    <t>044756</t>
  </si>
  <si>
    <t>20/10/2017 11:22</t>
  </si>
  <si>
    <t>521729XXXXXXX2004</t>
  </si>
  <si>
    <t>319502</t>
  </si>
  <si>
    <t>20/10/2017 12:24</t>
  </si>
  <si>
    <t>407317XXXXXXX1113</t>
  </si>
  <si>
    <t>146590</t>
  </si>
  <si>
    <t>20/10/2017 12:26</t>
  </si>
  <si>
    <t>376216XXXXXX1002</t>
  </si>
  <si>
    <t>96</t>
  </si>
  <si>
    <t>528689XXXXXXX0933</t>
  </si>
  <si>
    <t>702630</t>
  </si>
  <si>
    <t>20/10/2017 12:28</t>
  </si>
  <si>
    <t>376481XXXXXX4003</t>
  </si>
  <si>
    <t>60</t>
  </si>
  <si>
    <t>20/10/2017 12:39</t>
  </si>
  <si>
    <t>518759XXXXXXX1061</t>
  </si>
  <si>
    <t>051330</t>
  </si>
  <si>
    <t>20/10/2017 12:43</t>
  </si>
  <si>
    <t>446867XXXXXXX6145</t>
  </si>
  <si>
    <t>121659</t>
  </si>
  <si>
    <t>20/10/2017 12:45</t>
  </si>
  <si>
    <t>595238</t>
  </si>
  <si>
    <t>20/10/2017 12:47</t>
  </si>
  <si>
    <t>422061XXXXXXX7156</t>
  </si>
  <si>
    <t>500664</t>
  </si>
  <si>
    <t>20/10/2017 12:49</t>
  </si>
  <si>
    <t>424631XXXXXXX4563</t>
  </si>
  <si>
    <t>07002G</t>
  </si>
  <si>
    <t>20/10/2017 12:51</t>
  </si>
  <si>
    <t>490172XXXXXXX2186</t>
  </si>
  <si>
    <t>048909</t>
  </si>
  <si>
    <t>20/10/2017 13:12</t>
  </si>
  <si>
    <t>406669XXXXXXX7578</t>
  </si>
  <si>
    <t>643439</t>
  </si>
  <si>
    <t>20/10/2017 13:30</t>
  </si>
  <si>
    <t>549167XXXXXXX2118</t>
  </si>
  <si>
    <t>080958</t>
  </si>
  <si>
    <t>20/10/2017 13:32</t>
  </si>
  <si>
    <t>531419XXXXXXX3067</t>
  </si>
  <si>
    <t>020677</t>
  </si>
  <si>
    <t>20/10/2017 13:39</t>
  </si>
  <si>
    <t>554904XXXXXXX2915</t>
  </si>
  <si>
    <t>884402</t>
  </si>
  <si>
    <t>20/10/2017 13:43</t>
  </si>
  <si>
    <t>554904XXXXXXX3409</t>
  </si>
  <si>
    <t>104834</t>
  </si>
  <si>
    <t>20/10/2017 13:48</t>
  </si>
  <si>
    <t>456457XXXXXXX1354</t>
  </si>
  <si>
    <t>069515</t>
  </si>
  <si>
    <t>20/10/2017 20:40</t>
  </si>
  <si>
    <t>106231</t>
  </si>
  <si>
    <t>22/10/2017 15:14</t>
  </si>
  <si>
    <t>405912XXXXXXX4133</t>
  </si>
  <si>
    <t>014927</t>
  </si>
  <si>
    <t>23/10/2017 12:39</t>
  </si>
  <si>
    <t>521892XXXXXXX7760</t>
  </si>
  <si>
    <t>015203</t>
  </si>
  <si>
    <t>23/10/2017 23:00</t>
  </si>
  <si>
    <t>415281XXXXXXX0335</t>
  </si>
  <si>
    <t>033799</t>
  </si>
  <si>
    <t>24/10/2017 11:21</t>
  </si>
  <si>
    <t>376491XXXXXX3639</t>
  </si>
  <si>
    <t>13</t>
  </si>
  <si>
    <t>24/10/2017 11:24</t>
  </si>
  <si>
    <t>422061XXXXXXX6350</t>
  </si>
  <si>
    <t>271747</t>
  </si>
  <si>
    <t>24/10/2017 11:28</t>
  </si>
  <si>
    <t>766971</t>
  </si>
  <si>
    <t>24/10/2017 11:32</t>
  </si>
  <si>
    <t>521892XXXXXXX1484</t>
  </si>
  <si>
    <t>625300</t>
  </si>
  <si>
    <t>24/10/2017 11:35</t>
  </si>
  <si>
    <t>414720XXXXXXX0957</t>
  </si>
  <si>
    <t>04887D</t>
  </si>
  <si>
    <t>24/10/2017 11:37</t>
  </si>
  <si>
    <t>00167D</t>
  </si>
  <si>
    <t>24/10/2017 11:38</t>
  </si>
  <si>
    <t>04628D</t>
  </si>
  <si>
    <t>24/10/2017 11:42</t>
  </si>
  <si>
    <t>549705XXXXXXX3121</t>
  </si>
  <si>
    <t>474588</t>
  </si>
  <si>
    <t>24/10/2017 11:45</t>
  </si>
  <si>
    <t>498407XXXXXXX3026</t>
  </si>
  <si>
    <t>045924</t>
  </si>
  <si>
    <t>24/10/2017 11:47</t>
  </si>
  <si>
    <t>542011XXXXXXX6671</t>
  </si>
  <si>
    <t>T30644</t>
  </si>
  <si>
    <t>24/10/2017 11:49</t>
  </si>
  <si>
    <t>523947</t>
  </si>
  <si>
    <t>24/10/2017 13:11</t>
  </si>
  <si>
    <t>519316XXXXXXX1712</t>
  </si>
  <si>
    <t>161482</t>
  </si>
  <si>
    <t>24/10/2017 13:12</t>
  </si>
  <si>
    <t>529323XXXXXXX1939</t>
  </si>
  <si>
    <t>029104</t>
  </si>
  <si>
    <t>25/10/2017 10:46</t>
  </si>
  <si>
    <t>049121</t>
  </si>
  <si>
    <t>25/10/2017 15:04</t>
  </si>
  <si>
    <t>549162XXXXXXX4711</t>
  </si>
  <si>
    <t>779617</t>
  </si>
  <si>
    <t>25/10/2017 15:07</t>
  </si>
  <si>
    <t>406655XXXXXXX3298</t>
  </si>
  <si>
    <t>602508</t>
  </si>
  <si>
    <t>26/10/2017 20:47</t>
  </si>
  <si>
    <t>347273</t>
  </si>
  <si>
    <t>26/10/2017 21:00</t>
  </si>
  <si>
    <t>448165XXXXXXX4962</t>
  </si>
  <si>
    <t>338912</t>
  </si>
  <si>
    <t>26/10/2017 21:03</t>
  </si>
  <si>
    <t>139604</t>
  </si>
  <si>
    <t>26/10/2017 22:54</t>
  </si>
  <si>
    <t>549162XXXXXXX9835</t>
  </si>
  <si>
    <t>075194</t>
  </si>
  <si>
    <t>27/10/2017 11:59</t>
  </si>
  <si>
    <t>DI</t>
  </si>
  <si>
    <t>360962XXXXX8990</t>
  </si>
  <si>
    <t>0398</t>
  </si>
  <si>
    <t>27/10/2017 12:02</t>
  </si>
  <si>
    <t>414756XXXXXXX1185</t>
  </si>
  <si>
    <t>209660</t>
  </si>
  <si>
    <t>27/10/2017 12:04</t>
  </si>
  <si>
    <t>520387XXXXXXX1297</t>
  </si>
  <si>
    <t>426351</t>
  </si>
  <si>
    <t>27/10/2017 12:06</t>
  </si>
  <si>
    <t>093847</t>
  </si>
  <si>
    <t>27/10/2017 12:12</t>
  </si>
  <si>
    <t>459384XXXXXXX8209</t>
  </si>
  <si>
    <t>315290</t>
  </si>
  <si>
    <t>27/10/2017 12:17</t>
  </si>
  <si>
    <t>469772XXXXXXX5851</t>
  </si>
  <si>
    <t>867311</t>
  </si>
  <si>
    <t>27/10/2017 12:18</t>
  </si>
  <si>
    <t>414720XXXXXXX5750</t>
  </si>
  <si>
    <t>03716C</t>
  </si>
  <si>
    <t>27/10/2017 12:21</t>
  </si>
  <si>
    <t>490638XXXXXXX8119</t>
  </si>
  <si>
    <t>007964</t>
  </si>
  <si>
    <t>27/10/2017 12:25</t>
  </si>
  <si>
    <t>521892XXXXXXX3007</t>
  </si>
  <si>
    <t>206416</t>
  </si>
  <si>
    <t>27/10/2017 12:27</t>
  </si>
  <si>
    <t>414720XXXXXXX3331</t>
  </si>
  <si>
    <t>00266I</t>
  </si>
  <si>
    <t>27/10/2017 12:28</t>
  </si>
  <si>
    <t>515590XXXXXXX2084</t>
  </si>
  <si>
    <t>315665</t>
  </si>
  <si>
    <t>27/10/2017 13:18</t>
  </si>
  <si>
    <t>866938</t>
  </si>
  <si>
    <t>27/10/2017 16:24</t>
  </si>
  <si>
    <t>804328</t>
  </si>
  <si>
    <t>28/10/2017 10:01</t>
  </si>
  <si>
    <t>031509</t>
  </si>
  <si>
    <t>28/10/2017 12:50</t>
  </si>
  <si>
    <t>134813</t>
  </si>
  <si>
    <t>28/10/2017 20:34</t>
  </si>
  <si>
    <t>406655XXXXXXX3130</t>
  </si>
  <si>
    <t>680386</t>
  </si>
  <si>
    <t>30/10/2017 09:39</t>
  </si>
  <si>
    <t>474843XXXXXXX9012</t>
  </si>
  <si>
    <t>436786</t>
  </si>
  <si>
    <t>31/10/2017 10:41</t>
  </si>
  <si>
    <t>554906XXXXXXX9312</t>
  </si>
  <si>
    <t>072813</t>
  </si>
  <si>
    <t>31/10/2017 10:45</t>
  </si>
  <si>
    <t>549167XXXXXXX4433</t>
  </si>
  <si>
    <t>006990</t>
  </si>
  <si>
    <t>31/10/2017 10:46</t>
  </si>
  <si>
    <t>490638XXXXXXX4431</t>
  </si>
  <si>
    <t>001081</t>
  </si>
  <si>
    <t>31/10/2017 10:49</t>
  </si>
  <si>
    <t>477186XXXXXXX0918</t>
  </si>
  <si>
    <t>203556</t>
  </si>
  <si>
    <t>31/10/2017 10:51</t>
  </si>
  <si>
    <t>453211XXXXXXX2870</t>
  </si>
  <si>
    <t>650197</t>
  </si>
  <si>
    <t>Peter</t>
  </si>
  <si>
    <t>Colwell</t>
  </si>
  <si>
    <t>jahyun</t>
  </si>
  <si>
    <t>goo</t>
  </si>
  <si>
    <t>Roger</t>
  </si>
  <si>
    <t>MacDonald</t>
  </si>
  <si>
    <t>Gonzalo</t>
  </si>
  <si>
    <t>Rojas</t>
  </si>
  <si>
    <t>ROGER</t>
  </si>
  <si>
    <t>MCDONALDS</t>
  </si>
  <si>
    <t>Mercedes</t>
  </si>
  <si>
    <t>Juez</t>
  </si>
  <si>
    <t>Matrimonial,Matrimonial,Matrimonial,Matrimonial</t>
  </si>
  <si>
    <t>Gabriel</t>
  </si>
  <si>
    <t>Ruiz</t>
  </si>
  <si>
    <t>Claudia</t>
  </si>
  <si>
    <t>Montejo</t>
  </si>
  <si>
    <t>Michael</t>
  </si>
  <si>
    <t>McIntosh</t>
  </si>
  <si>
    <t>MAIKO</t>
  </si>
  <si>
    <t>barreto</t>
  </si>
  <si>
    <t>Jean</t>
  </si>
  <si>
    <t>Baebler</t>
  </si>
  <si>
    <t>Eberhardt, Gabriela</t>
  </si>
  <si>
    <t>Monica Taubkin</t>
  </si>
  <si>
    <t>2017-10-01</t>
  </si>
  <si>
    <t>2017-10-06</t>
  </si>
  <si>
    <t>2017-07-18 22:11:25</t>
  </si>
  <si>
    <t>Passos, Bernardo</t>
  </si>
  <si>
    <t>Bernardo Passos</t>
  </si>
  <si>
    <t>2017-08-09 00:21:04</t>
  </si>
  <si>
    <t>Fernandes, Gabriela</t>
  </si>
  <si>
    <t>Gabriela Fernandes</t>
  </si>
  <si>
    <t>2017-10-08</t>
  </si>
  <si>
    <t>2017-04-04 16:02:43</t>
  </si>
  <si>
    <t>Lewis, Denise</t>
  </si>
  <si>
    <t>Denise Lewis</t>
  </si>
  <si>
    <t>2017-10-03</t>
  </si>
  <si>
    <t>2017-10-07</t>
  </si>
  <si>
    <t>2017-09-06 00:36:19</t>
  </si>
  <si>
    <t>Andreazzi Cavalheiro, Maurício Cesar</t>
  </si>
  <si>
    <t>Maurício Cesar Andreazzi Cavalheiro</t>
  </si>
  <si>
    <t>2017-10-04</t>
  </si>
  <si>
    <t>2017-10-05</t>
  </si>
  <si>
    <t>2017-07-30 11:46:26</t>
  </si>
  <si>
    <t>de Faria, Raphael</t>
  </si>
  <si>
    <t>Raphael de Faria</t>
  </si>
  <si>
    <t>2017-10-10</t>
  </si>
  <si>
    <t>2017-03-13 19:42:01</t>
  </si>
  <si>
    <t>Gabriela Eberhardt</t>
  </si>
  <si>
    <t>2017-07-20 00:36:31</t>
  </si>
  <si>
    <t>thibaut, dominique</t>
  </si>
  <si>
    <t>dominique  thibaut</t>
  </si>
  <si>
    <t>2017-07-08 23:25:38</t>
  </si>
  <si>
    <t>Yaconi, Esteban</t>
  </si>
  <si>
    <t>Esteban  Yaconi</t>
  </si>
  <si>
    <t>2017-10-09</t>
  </si>
  <si>
    <t>2017-06-23 13:56:20</t>
  </si>
  <si>
    <t>Prezotto, Frederico</t>
  </si>
  <si>
    <t>Frederico Prezotto</t>
  </si>
  <si>
    <t>2017-07-16 23:44:24</t>
  </si>
  <si>
    <t>Franco de Godoy, Lucia Helena</t>
  </si>
  <si>
    <t>Lucia Helena Franco de Godoy</t>
  </si>
  <si>
    <t>2017-10-13</t>
  </si>
  <si>
    <t>2017-05-07 14:15:52</t>
  </si>
  <si>
    <t>RAPOSO FILHO, ANTONIO</t>
  </si>
  <si>
    <t>ANTONIO RAPOSO FILHO</t>
  </si>
  <si>
    <t>2017-08-21 18:33:05</t>
  </si>
  <si>
    <t>RAMALHO, DANIEL JOSE AMADOR</t>
  </si>
  <si>
    <t>DANIEL JOSE AMADOR RAMALHO</t>
  </si>
  <si>
    <t>2017-08-21 18:29:42</t>
  </si>
  <si>
    <t>Susanna, Carmen Cecilia</t>
  </si>
  <si>
    <t>Carmen Cecilia Susanna</t>
  </si>
  <si>
    <t>2017-09-16 23:36:23</t>
  </si>
  <si>
    <t>Garcia, Julio</t>
  </si>
  <si>
    <t>Julio Garcia; Maria Inez Gimenez</t>
  </si>
  <si>
    <t>2017-05-02 15:25:54</t>
  </si>
  <si>
    <t>Freire, Sarah</t>
  </si>
  <si>
    <t>Sarah Freire</t>
  </si>
  <si>
    <t>2017-08-17 00:03:15</t>
  </si>
  <si>
    <t>R A Wilmers, Yeda</t>
  </si>
  <si>
    <t>Yeda R A Wilmers</t>
  </si>
  <si>
    <t>2017-10-12</t>
  </si>
  <si>
    <t>2017-05-19 00:03:11</t>
  </si>
  <si>
    <t>Nevares, Gustavo</t>
  </si>
  <si>
    <t>Gustavo de Oliveira Nevares</t>
  </si>
  <si>
    <t>2017-10-17</t>
  </si>
  <si>
    <t>2017-03-19 20:12:06</t>
  </si>
  <si>
    <t>MUÑOZ, MACARENA</t>
  </si>
  <si>
    <t>MACARENA MUÑOZ ATALA</t>
  </si>
  <si>
    <t>2017-10-16</t>
  </si>
  <si>
    <t>2017-09-27 13:26:44</t>
  </si>
  <si>
    <t>Sepulveda, Katerine</t>
  </si>
  <si>
    <t>Katerine Sepulveda</t>
  </si>
  <si>
    <t>2017-10-15</t>
  </si>
  <si>
    <t>2017-09-12 15:14:02</t>
  </si>
  <si>
    <t>Hidalgo, Héctor</t>
  </si>
  <si>
    <t>Héctor Hidalgo</t>
  </si>
  <si>
    <t>2017-08-23 15:32:45</t>
  </si>
  <si>
    <t>Diaz, Dominique</t>
  </si>
  <si>
    <t>Dominique  Diaz</t>
  </si>
  <si>
    <t>2017-09-21 23:57:06</t>
  </si>
  <si>
    <t>Narod, Steven</t>
  </si>
  <si>
    <t>Steven Narod</t>
  </si>
  <si>
    <t>2017-10-14</t>
  </si>
  <si>
    <t>2017-01-02 17:56:06</t>
  </si>
  <si>
    <t>lerner, miguel</t>
  </si>
  <si>
    <t>miguel lerner</t>
  </si>
  <si>
    <t>2017-10-21</t>
  </si>
  <si>
    <t>2017-02-13 17:32:57</t>
  </si>
  <si>
    <t>Contreras, Camila</t>
  </si>
  <si>
    <t>Camila Contreras</t>
  </si>
  <si>
    <t>2017-10-14 03:26:08</t>
  </si>
  <si>
    <t>BULLY, Thierry</t>
  </si>
  <si>
    <t>Thierry BULLY</t>
  </si>
  <si>
    <t>2017-10-18</t>
  </si>
  <si>
    <t>2017-03-25 11:34:18</t>
  </si>
  <si>
    <t>Paschoal, Lia</t>
  </si>
  <si>
    <t>Lia Paschoal</t>
  </si>
  <si>
    <t>2017-08-04 23:17:33</t>
  </si>
  <si>
    <t>Skantsi, Valtteri</t>
  </si>
  <si>
    <t>Valtteri Skantsi</t>
  </si>
  <si>
    <t>2017-10-19</t>
  </si>
  <si>
    <t>2017-10-16 19:50:26</t>
  </si>
  <si>
    <t>Figueira, Francisco J. G.</t>
  </si>
  <si>
    <t>Francisco J. G. Figueira; Mariana Duque Figueira</t>
  </si>
  <si>
    <t>2017-10-25</t>
  </si>
  <si>
    <t>2017-04-03 15:02:38</t>
  </si>
  <si>
    <t>2017-10-20</t>
  </si>
  <si>
    <t>2017-03-19 20:18:35</t>
  </si>
  <si>
    <t>mcnamara, Jennifer</t>
  </si>
  <si>
    <t>Jennifer mcnamara</t>
  </si>
  <si>
    <t>2017-10-23</t>
  </si>
  <si>
    <t>2017-01-15 22:31:29</t>
  </si>
  <si>
    <t>Silva, Marcia Cristina</t>
  </si>
  <si>
    <t>Marcia Cristina Silva</t>
  </si>
  <si>
    <t>2017-10-27</t>
  </si>
  <si>
    <t>2017-03-31 13:15:45</t>
  </si>
  <si>
    <t>Replumaz, Catherine</t>
  </si>
  <si>
    <t>2017-07-18 08:50:09</t>
  </si>
  <si>
    <t>RODRIGUES DA SILVA, MILENA</t>
  </si>
  <si>
    <t>MILENA RODRIGUES DA SILVA</t>
  </si>
  <si>
    <t>2017-03-31 12:44:45</t>
  </si>
  <si>
    <t>KADOAUKI, IVETE REIKO</t>
  </si>
  <si>
    <t>IVETE KADOUAKI</t>
  </si>
  <si>
    <t>2017-10-28</t>
  </si>
  <si>
    <t>2017-04-07 14:32:13</t>
  </si>
  <si>
    <t>HARADA, MYLENA</t>
  </si>
  <si>
    <t>MYLENA HARADA</t>
  </si>
  <si>
    <t>2017-04-29 10:22:43</t>
  </si>
  <si>
    <t>Garvizo, Johanna</t>
  </si>
  <si>
    <t>2017-10-24</t>
  </si>
  <si>
    <t>2017-10-01 13:58:47</t>
  </si>
  <si>
    <t>no_show</t>
  </si>
  <si>
    <t>marino, paulo</t>
  </si>
  <si>
    <t>paulo marino</t>
  </si>
  <si>
    <t>2017-10-30</t>
  </si>
  <si>
    <t>2017-06-28 17:21:03</t>
  </si>
  <si>
    <t>Larrain, Martin</t>
  </si>
  <si>
    <t>2017-10-26</t>
  </si>
  <si>
    <t>2017-10-29</t>
  </si>
  <si>
    <t>2017-09-20 23:53:27</t>
  </si>
  <si>
    <t>CONTRERAS, PAOLA</t>
  </si>
  <si>
    <t>PAOLA CONTRERAS</t>
  </si>
  <si>
    <t>2017-08-31 19:30:02</t>
  </si>
  <si>
    <t>Melo, Rodrigo</t>
  </si>
  <si>
    <t>Rodrigo Melo</t>
  </si>
  <si>
    <t>2017-09-29 12:51:17</t>
  </si>
  <si>
    <t>MUELLER, Reisebuero</t>
  </si>
  <si>
    <t>Reisebuero MUELLER</t>
  </si>
  <si>
    <t>2017-02-06 14:27:09</t>
  </si>
  <si>
    <t>Levy, Roger</t>
  </si>
  <si>
    <t>Margaret McCann</t>
  </si>
  <si>
    <t>2017-04-08 15:02:01</t>
  </si>
  <si>
    <t>ESCOBAR, FREDDY</t>
  </si>
  <si>
    <t>FREDDY ESCOBAR</t>
  </si>
  <si>
    <t>2017-10-31</t>
  </si>
  <si>
    <t>2017-09-29 17:00:03</t>
  </si>
  <si>
    <t>Grosskopf, Angelique</t>
  </si>
  <si>
    <t>Angelique Grosskopf</t>
  </si>
  <si>
    <t>2017-10-15 11:22:26</t>
  </si>
  <si>
    <t>pinto, aline</t>
  </si>
  <si>
    <t>aline pinto</t>
  </si>
  <si>
    <t>2017-09-21 00:43:14</t>
  </si>
  <si>
    <t>Wells, John</t>
  </si>
  <si>
    <t>John Wells</t>
  </si>
  <si>
    <t>2017-11-01</t>
  </si>
  <si>
    <t>2016-12-15 04:21:42</t>
  </si>
  <si>
    <t>John Wells; John wells; john wells</t>
  </si>
  <si>
    <t>2016-12-14 03:02:52</t>
  </si>
  <si>
    <t>Ricardo Ribeiro</t>
  </si>
  <si>
    <t>2017-03-12T12:50:00</t>
  </si>
  <si>
    <t>EXP-807798518</t>
  </si>
  <si>
    <t>Juliana Frossard R Mendes</t>
  </si>
  <si>
    <t>2017-03-12T13:02:00</t>
  </si>
  <si>
    <t>EXP-807804524</t>
  </si>
  <si>
    <t>Jean Cornet</t>
  </si>
  <si>
    <t>2017-03-30T01:20:00</t>
  </si>
  <si>
    <t>EXP-817505315</t>
  </si>
  <si>
    <t>Ion Arrillaga</t>
  </si>
  <si>
    <t>2017-06-18T11:09:00</t>
  </si>
  <si>
    <t>EXP-860076656</t>
  </si>
  <si>
    <t>Peter Harley</t>
  </si>
  <si>
    <t>2017-08-17T20:31:00</t>
  </si>
  <si>
    <t>EXP-894952958</t>
  </si>
  <si>
    <t>santiago sibils</t>
  </si>
  <si>
    <t>2017-09-09T15:29:00</t>
  </si>
  <si>
    <t>EXP-906981492</t>
  </si>
  <si>
    <t>Mark Andrews</t>
  </si>
  <si>
    <t>2017-09-17T07:42:00</t>
  </si>
  <si>
    <t>EXP-910862881</t>
  </si>
  <si>
    <t>Maiko Barreto</t>
  </si>
  <si>
    <t>2017-09-18T07:32:00</t>
  </si>
  <si>
    <t/>
  </si>
  <si>
    <t>2017-10-22</t>
  </si>
  <si>
    <t>2017-09-18T07:34:00</t>
  </si>
  <si>
    <t>Bernardo Escobar Macaya</t>
  </si>
  <si>
    <t>2017-09-23T09:57:00</t>
  </si>
  <si>
    <t>EXP-914152253</t>
  </si>
  <si>
    <t>Rosario Arroyo</t>
  </si>
  <si>
    <t>2017-09-30T14:34:00</t>
  </si>
  <si>
    <t>EXP-917822231</t>
  </si>
  <si>
    <t>BERNARDO PASSOS</t>
  </si>
  <si>
    <t>GABRIELA EBERHARDT</t>
  </si>
  <si>
    <t>GABRIELA FERNANDEZ</t>
  </si>
  <si>
    <t>MARIA ELIZA SAMMARTINO</t>
  </si>
  <si>
    <t>DENISE LEWIS</t>
  </si>
  <si>
    <t>MAURCIO ANDREAZZI</t>
  </si>
  <si>
    <t>RAPHAEL DE FARIA</t>
  </si>
  <si>
    <t>ESTEBAN YACONI</t>
  </si>
  <si>
    <t xml:space="preserve">DOMINIQUE THIBAUT </t>
  </si>
  <si>
    <t>GONZALO ROJAS</t>
  </si>
  <si>
    <t>FEDERICO PREZOTO</t>
  </si>
  <si>
    <t xml:space="preserve">CARMEN SUSANA </t>
  </si>
  <si>
    <t xml:space="preserve">LUCIA FRANCO </t>
  </si>
  <si>
    <t>DANIEL RAMALHO</t>
  </si>
  <si>
    <t xml:space="preserve">ANTONIO RAPOSO </t>
  </si>
  <si>
    <t>SARAH FREIRE</t>
  </si>
  <si>
    <t>JULIOGARCIA</t>
  </si>
  <si>
    <t>YEDA WILMERS</t>
  </si>
  <si>
    <t xml:space="preserve">MERCEDES JUEZ </t>
  </si>
  <si>
    <t>GUSTAVO NEVARES</t>
  </si>
  <si>
    <t>MACARENA MUÑOZ</t>
  </si>
  <si>
    <t xml:space="preserve">HÉCTOR HIDALGO </t>
  </si>
  <si>
    <t>DOMINIQUE DIAZ</t>
  </si>
  <si>
    <t>KATHERINE SEPULVEDA</t>
  </si>
  <si>
    <t>STEVEN NAROD</t>
  </si>
  <si>
    <t>CAMILA CONTRERAS</t>
  </si>
  <si>
    <t>MARCELO LERNER</t>
  </si>
  <si>
    <t>MARCELO WAJNSTOK</t>
  </si>
  <si>
    <t>THIERRY BULLY</t>
  </si>
  <si>
    <t>LIA PASCHOAL</t>
  </si>
  <si>
    <t>FRANCISCO FIGUEIRA</t>
  </si>
  <si>
    <t xml:space="preserve">VALTTERI SKANTSI </t>
  </si>
  <si>
    <t xml:space="preserve">ROSARIO AROYO </t>
  </si>
  <si>
    <t>JENNIFER MACNAMARA</t>
  </si>
  <si>
    <t>CATHERINE REPLUMAZ</t>
  </si>
  <si>
    <t>MILENA RODRIGUES</t>
  </si>
  <si>
    <t>MARCIA SILVA</t>
  </si>
  <si>
    <t>IVETE KADOAUKI</t>
  </si>
  <si>
    <t>PAULO MARINO</t>
  </si>
  <si>
    <t>RODRIGO MELO</t>
  </si>
  <si>
    <t>MARTÍN LARRAÍN</t>
  </si>
  <si>
    <t>REISEBUERO MUELLER</t>
  </si>
  <si>
    <t>MARGARETH MCCAN</t>
  </si>
  <si>
    <t xml:space="preserve">FREDDY ESCOBAR </t>
  </si>
  <si>
    <t>ANGELIQUE GROSSKOPF</t>
  </si>
  <si>
    <t xml:space="preserve">ALINE PINTO </t>
  </si>
  <si>
    <t>JHON WELLS</t>
  </si>
  <si>
    <t>JAHYUN GOO</t>
  </si>
  <si>
    <t>STEFANIE KOCHENDÖRFER</t>
  </si>
  <si>
    <t>ROGER MCDONALDS</t>
  </si>
  <si>
    <t>GABRIEL RUIZ</t>
  </si>
  <si>
    <t>CLAUDIA MONTEJO</t>
  </si>
  <si>
    <t>MICHAEL MCINTOCH</t>
  </si>
  <si>
    <t>MAIKO BARRETO</t>
  </si>
  <si>
    <t xml:space="preserve">JEAN BAEBLER </t>
  </si>
  <si>
    <t>ION ARRILLAGA</t>
  </si>
  <si>
    <t xml:space="preserve">PETER HARLEY </t>
  </si>
  <si>
    <t xml:space="preserve">BERNARDO ESCOBAR </t>
  </si>
  <si>
    <t xml:space="preserve">JEAN CORNET </t>
  </si>
  <si>
    <t xml:space="preserve">RICARDO RIBEIRO </t>
  </si>
  <si>
    <t>JULIANA FROSSARD</t>
  </si>
  <si>
    <t>MARK ANDREWS</t>
  </si>
  <si>
    <t>SANTIAGO SIBILIS</t>
  </si>
  <si>
    <t>30-10-2017</t>
  </si>
  <si>
    <t>1288074598</t>
  </si>
  <si>
    <t>26-10-2017</t>
  </si>
  <si>
    <t>10770178</t>
  </si>
  <si>
    <t>25-10-2017</t>
  </si>
  <si>
    <t>10770303</t>
  </si>
  <si>
    <t>20-10-2017</t>
  </si>
  <si>
    <t>1288068199</t>
  </si>
  <si>
    <t>17-10-2017</t>
  </si>
  <si>
    <t>10770357</t>
  </si>
  <si>
    <t>12-10-2017</t>
  </si>
  <si>
    <t>1288060807</t>
  </si>
  <si>
    <t>10770079</t>
  </si>
  <si>
    <t>05-10-2017</t>
  </si>
  <si>
    <t>10770014</t>
  </si>
  <si>
    <t xml:space="preserve">02/10/2017  </t>
  </si>
  <si>
    <t>Anulación USD$</t>
  </si>
  <si>
    <t>Mes anterior</t>
  </si>
  <si>
    <t>02/10/2017</t>
  </si>
  <si>
    <t>NORTEVERDE</t>
  </si>
  <si>
    <t>03/10/2017</t>
  </si>
  <si>
    <t>ECA</t>
  </si>
  <si>
    <t>17514 BLT</t>
  </si>
  <si>
    <t>06/10/2017</t>
  </si>
  <si>
    <t>PLASTILUZ</t>
  </si>
  <si>
    <t>10/10/2017</t>
  </si>
  <si>
    <t>12/10/2017</t>
  </si>
  <si>
    <t>16/10/2017</t>
  </si>
  <si>
    <t>17/10/2017</t>
  </si>
  <si>
    <t>23/10/2017</t>
  </si>
  <si>
    <t>24/10/2017</t>
  </si>
  <si>
    <t>30/10/2017</t>
  </si>
  <si>
    <t>31/10/2017</t>
  </si>
  <si>
    <t>26/10/2017</t>
  </si>
  <si>
    <t>05/10/2017</t>
  </si>
  <si>
    <t>11/10/2017</t>
  </si>
  <si>
    <t>18/10/2017</t>
  </si>
  <si>
    <t xml:space="preserve">AGUAS JUTURI </t>
  </si>
  <si>
    <t>AGUA JUTURI</t>
  </si>
  <si>
    <t>SUELDO MUCAMA ESTHER</t>
  </si>
  <si>
    <t>MUCAMA</t>
  </si>
  <si>
    <t xml:space="preserve">LIDER </t>
  </si>
  <si>
    <t>EL SOL</t>
  </si>
  <si>
    <t xml:space="preserve">EL SOL </t>
  </si>
  <si>
    <t>SELLO ANTIFUGA</t>
  </si>
  <si>
    <t>CENTRO</t>
  </si>
  <si>
    <t xml:space="preserve">AGRO </t>
  </si>
  <si>
    <t>MENTA</t>
  </si>
  <si>
    <t>SOL INTI ALMACEN</t>
  </si>
  <si>
    <t>SOL INTI</t>
  </si>
  <si>
    <t>LIBRERÍA CJC</t>
  </si>
  <si>
    <t xml:space="preserve">NOTARÍA ABRAHAN </t>
  </si>
  <si>
    <t>NOTARIA</t>
  </si>
  <si>
    <t>MERCADO SPA</t>
  </si>
  <si>
    <t>MERCADO</t>
  </si>
  <si>
    <t>FERRETRÍA</t>
  </si>
  <si>
    <t>DANI</t>
  </si>
  <si>
    <t xml:space="preserve">CENTRO </t>
  </si>
  <si>
    <t>REEMPLAZO MUCAMA ANA CRUZ</t>
  </si>
  <si>
    <t>SUELDO</t>
  </si>
  <si>
    <t>Comisión Cuenta Corriente Moneda Extranjera</t>
  </si>
  <si>
    <t>PRESTAMOS CUOTA FIJA</t>
  </si>
  <si>
    <t>2242491-Transacciones operaciones financieras ABONO</t>
  </si>
  <si>
    <t>TRANSFERENCIA A BCI PARA DHL EXPRESS CHILE LTDA</t>
  </si>
  <si>
    <t>2251908-Transacciones operaciones financieras ABONO</t>
  </si>
  <si>
    <t>COMEX ORDEN PAGO ENTRANTE. OPE329819</t>
  </si>
  <si>
    <t>COMEX ORDEN PAGO ENTRANTE. OPE330644</t>
  </si>
  <si>
    <t>2242491-Transacciones operaciones financieras CARGO</t>
  </si>
  <si>
    <t>COMEX ORDEN PAGO ENTRANTE. OPE331448</t>
  </si>
  <si>
    <t>COMEX ORDEN PAGO ENTRANTE. OPE332421</t>
  </si>
  <si>
    <t>2251908-Transacciones operaciones financieras CARGO</t>
  </si>
  <si>
    <t>2009 88449419</t>
  </si>
  <si>
    <t>HIDROCENTRO LOS ANGELES</t>
  </si>
  <si>
    <t>2109 88534146</t>
  </si>
  <si>
    <t>HIDROMASTER LOS ANGELES</t>
  </si>
  <si>
    <t>2009 00000000</t>
  </si>
  <si>
    <t>TRASPASO DEUDA INTERNACIONAL</t>
  </si>
  <si>
    <t>2809 00000010</t>
  </si>
  <si>
    <t>DEV. CB COMB/CONS 3</t>
  </si>
  <si>
    <t>0210 00000000</t>
  </si>
  <si>
    <t>0310 00000000</t>
  </si>
  <si>
    <t>IMPUESTO DECRETO LEY 3475 TASA 0,066%</t>
  </si>
  <si>
    <t>INTERESES ROTATIVOS</t>
  </si>
  <si>
    <t>1610 ACV00000105300001053000</t>
  </si>
  <si>
    <t>1610 ACV00000105310001053100</t>
  </si>
  <si>
    <t>1610 ACV00000105320001053200</t>
  </si>
  <si>
    <t>0510 74198817277739087362292</t>
  </si>
  <si>
    <t>PAYPAL *LIUQINGPING</t>
  </si>
  <si>
    <t>1110 74929277284021610000721</t>
  </si>
  <si>
    <t>1810 24492157290637588724535</t>
  </si>
  <si>
    <t>0211 24692167306200326701536</t>
  </si>
  <si>
    <t>0611 24492157307637145416105</t>
  </si>
  <si>
    <t>47622973</t>
  </si>
  <si>
    <t>fact 392526</t>
  </si>
  <si>
    <t>47555436</t>
  </si>
  <si>
    <t>Fact 11854</t>
  </si>
  <si>
    <t>47554817</t>
  </si>
  <si>
    <t>99.535.480-2</t>
  </si>
  <si>
    <t>1760301508</t>
  </si>
  <si>
    <t xml:space="preserve">PINTURAS Y QUMICA DE CHILE S.A               </t>
  </si>
  <si>
    <t>30 galones de Danzke Nat Satin</t>
  </si>
  <si>
    <t>47538260</t>
  </si>
  <si>
    <t>Sueldo Oct17</t>
  </si>
  <si>
    <t>27/10/2017</t>
  </si>
  <si>
    <t>47520138</t>
  </si>
  <si>
    <t>Servicios contables Sep 2017</t>
  </si>
  <si>
    <t>47520118</t>
  </si>
  <si>
    <t>47520106</t>
  </si>
  <si>
    <t>47520103</t>
  </si>
  <si>
    <t>18.730.908-5</t>
  </si>
  <si>
    <t>18730908</t>
  </si>
  <si>
    <t xml:space="preserve">Macarena Olivares                            </t>
  </si>
  <si>
    <t>47520104</t>
  </si>
  <si>
    <t>24.015.812-4</t>
  </si>
  <si>
    <t>24015812</t>
  </si>
  <si>
    <t xml:space="preserve">Ramiro Villca Limachi                        </t>
  </si>
  <si>
    <t>Sueldos Oct17</t>
  </si>
  <si>
    <t>47519916</t>
  </si>
  <si>
    <t>47519921</t>
  </si>
  <si>
    <t>47520007</t>
  </si>
  <si>
    <t>47520018</t>
  </si>
  <si>
    <t>47520024</t>
  </si>
  <si>
    <t>47519995</t>
  </si>
  <si>
    <t>47519926</t>
  </si>
  <si>
    <t>47520074</t>
  </si>
  <si>
    <t xml:space="preserve">Luis Arias                                   </t>
  </si>
  <si>
    <t>47520016</t>
  </si>
  <si>
    <t>47493425</t>
  </si>
  <si>
    <t>Fact 6188</t>
  </si>
  <si>
    <t>47493361</t>
  </si>
  <si>
    <t>96.604.460-8</t>
  </si>
  <si>
    <t>9800727</t>
  </si>
  <si>
    <t xml:space="preserve">ECOLAB                                       </t>
  </si>
  <si>
    <t>Fact 1260534</t>
  </si>
  <si>
    <t>47465471</t>
  </si>
  <si>
    <t>25/10/2017</t>
  </si>
  <si>
    <t>47453176</t>
  </si>
  <si>
    <t>Fact 5904, 6100</t>
  </si>
  <si>
    <t>47453242</t>
  </si>
  <si>
    <t>Fact 391361, 391925, 391312</t>
  </si>
  <si>
    <t>47394358</t>
  </si>
  <si>
    <t>Fact 3702</t>
  </si>
  <si>
    <t>47385274</t>
  </si>
  <si>
    <t>96.568.740-8</t>
  </si>
  <si>
    <t>1610169807</t>
  </si>
  <si>
    <t xml:space="preserve">GASCO GLP S.A                                </t>
  </si>
  <si>
    <t>Fact 8409894</t>
  </si>
  <si>
    <t>47223194</t>
  </si>
  <si>
    <t>Sueldo Luis Arias</t>
  </si>
  <si>
    <t>13/10/2017</t>
  </si>
  <si>
    <t>47100533</t>
  </si>
  <si>
    <t>Fact 143151</t>
  </si>
  <si>
    <t>47030525</t>
  </si>
  <si>
    <t>24.469.958-8</t>
  </si>
  <si>
    <t>24469958</t>
  </si>
  <si>
    <t xml:space="preserve">Jesus Roncal                                 </t>
  </si>
  <si>
    <t>Sueldo Jesus</t>
  </si>
  <si>
    <t>46939637</t>
  </si>
  <si>
    <t>79.609.330-7</t>
  </si>
  <si>
    <t>81486278</t>
  </si>
  <si>
    <t xml:space="preserve">Soc Repuestos Rodar Imda                     </t>
  </si>
  <si>
    <t>Camioneta Soc Hotelera Zamora</t>
  </si>
  <si>
    <t>46873641</t>
  </si>
  <si>
    <t>Fact 360930</t>
  </si>
  <si>
    <t>46776772</t>
  </si>
  <si>
    <t>96.765.530-9</t>
  </si>
  <si>
    <t>81243871</t>
  </si>
  <si>
    <t xml:space="preserve">Kimal SA                                     </t>
  </si>
  <si>
    <t>Pasajero Pascual Andino</t>
  </si>
  <si>
    <t>01/10/2017</t>
  </si>
  <si>
    <t>46726274</t>
  </si>
  <si>
    <t>46726265</t>
  </si>
  <si>
    <t>Sueldo sep 17</t>
  </si>
  <si>
    <t>Mtto Camioneta</t>
  </si>
  <si>
    <t>Luis Arias</t>
  </si>
  <si>
    <t>Liquidez en banco- 1Oct</t>
  </si>
  <si>
    <t>Liquidez en banco- 1Nov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</si>
</sst>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34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10" fillId="0" borderId="0" xfId="3" applyNumberFormat="1" applyFont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41" fontId="22" fillId="0" borderId="1" xfId="49" applyFont="1" applyFill="1" applyBorder="1"/>
    <xf numFmtId="0" fontId="2" fillId="7" borderId="0" xfId="0" applyFont="1" applyFill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67" fontId="44" fillId="0" borderId="1" xfId="1" applyNumberFormat="1" applyFont="1" applyFill="1" applyBorder="1"/>
    <xf numFmtId="14" fontId="3" fillId="6" borderId="0" xfId="3" applyNumberFormat="1" applyFill="1"/>
    <xf numFmtId="22" fontId="3" fillId="6" borderId="0" xfId="3" applyNumberFormat="1" applyFill="1"/>
    <xf numFmtId="167" fontId="1" fillId="0" borderId="0" xfId="1" applyNumberFormat="1" applyFont="1" applyFill="1"/>
    <xf numFmtId="170" fontId="44" fillId="0" borderId="1" xfId="1" applyNumberFormat="1" applyFont="1" applyFill="1" applyBorder="1"/>
    <xf numFmtId="167" fontId="41" fillId="7" borderId="1" xfId="1" applyNumberFormat="1" applyFont="1" applyFill="1" applyBorder="1" applyAlignment="1">
      <alignment horizontal="center"/>
    </xf>
    <xf numFmtId="14" fontId="41" fillId="7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167" fontId="41" fillId="7" borderId="1" xfId="1" applyNumberFormat="1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7" fillId="2" borderId="1" xfId="0" applyFont="1" applyFill="1" applyBorder="1"/>
    <xf numFmtId="167" fontId="17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20" fillId="5" borderId="1" xfId="0" applyFont="1" applyFill="1" applyBorder="1"/>
    <xf numFmtId="167" fontId="20" fillId="5" borderId="1" xfId="1" applyNumberFormat="1" applyFont="1" applyFill="1" applyBorder="1" applyAlignment="1">
      <alignment horizontal="right"/>
    </xf>
    <xf numFmtId="14" fontId="20" fillId="5" borderId="1" xfId="0" applyNumberFormat="1" applyFont="1" applyFill="1" applyBorder="1" applyAlignment="1">
      <alignment horizontal="center"/>
    </xf>
    <xf numFmtId="167" fontId="7" fillId="5" borderId="1" xfId="1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7" fontId="7" fillId="5" borderId="1" xfId="1" applyNumberFormat="1" applyFont="1" applyFill="1" applyBorder="1"/>
    <xf numFmtId="170" fontId="22" fillId="4" borderId="1" xfId="1" applyNumberFormat="1" applyFont="1" applyFill="1" applyBorder="1"/>
    <xf numFmtId="167" fontId="22" fillId="4" borderId="1" xfId="1" applyNumberFormat="1" applyFont="1" applyFill="1" applyBorder="1"/>
    <xf numFmtId="167" fontId="0" fillId="7" borderId="0" xfId="1" applyNumberFormat="1" applyFont="1" applyFill="1"/>
    <xf numFmtId="167" fontId="1" fillId="7" borderId="0" xfId="1" applyNumberFormat="1" applyFont="1" applyFill="1"/>
    <xf numFmtId="41" fontId="7" fillId="0" borderId="1" xfId="49" applyFont="1" applyFill="1" applyBorder="1"/>
    <xf numFmtId="167" fontId="41" fillId="5" borderId="1" xfId="1" applyNumberFormat="1" applyFont="1" applyFill="1" applyBorder="1" applyAlignment="1">
      <alignment horizontal="center"/>
    </xf>
    <xf numFmtId="14" fontId="41" fillId="5" borderId="1" xfId="0" applyNumberFormat="1" applyFont="1" applyFill="1" applyBorder="1" applyAlignment="1">
      <alignment horizontal="center"/>
    </xf>
    <xf numFmtId="0" fontId="41" fillId="5" borderId="1" xfId="0" applyFont="1" applyFill="1" applyBorder="1" applyAlignment="1">
      <alignment horizontal="center"/>
    </xf>
    <xf numFmtId="167" fontId="41" fillId="5" borderId="1" xfId="1" applyNumberFormat="1" applyFont="1" applyFill="1" applyBorder="1"/>
    <xf numFmtId="0" fontId="41" fillId="0" borderId="1" xfId="1" applyNumberFormat="1" applyFont="1" applyFill="1" applyBorder="1"/>
    <xf numFmtId="167" fontId="42" fillId="4" borderId="19" xfId="1" applyNumberFormat="1" applyFont="1" applyFill="1" applyBorder="1" applyAlignment="1">
      <alignment horizontal="right" vertical="center" wrapText="1"/>
    </xf>
    <xf numFmtId="0" fontId="42" fillId="4" borderId="19" xfId="0" applyFont="1" applyFill="1" applyBorder="1" applyAlignment="1">
      <alignment horizontal="left" vertical="center" wrapText="1"/>
    </xf>
    <xf numFmtId="3" fontId="42" fillId="4" borderId="19" xfId="0" applyNumberFormat="1" applyFont="1" applyFill="1" applyBorder="1" applyAlignment="1">
      <alignment horizontal="right" vertical="center" wrapText="1"/>
    </xf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3"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zoomScale="70" zoomScaleNormal="70" workbookViewId="0">
      <selection activeCell="C31" sqref="C31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43009</v>
      </c>
    </row>
    <row r="2" spans="2:7" x14ac:dyDescent="0.3">
      <c r="B2" s="6" t="s">
        <v>15</v>
      </c>
      <c r="C2" s="6"/>
      <c r="D2" s="99">
        <v>629.5</v>
      </c>
    </row>
    <row r="3" spans="2:7" ht="15" x14ac:dyDescent="0.25">
      <c r="B3" s="6" t="s">
        <v>23</v>
      </c>
      <c r="C3" s="6"/>
      <c r="D3" s="41">
        <v>26634.9</v>
      </c>
    </row>
    <row r="4" spans="2:7" ht="15" x14ac:dyDescent="0.25">
      <c r="B4" s="6" t="s">
        <v>14</v>
      </c>
      <c r="C4" s="6"/>
      <c r="D4" s="6">
        <f>Oct!H88</f>
        <v>266</v>
      </c>
      <c r="E4" s="87">
        <f>Booking!Q101+Buuteeq!L35+Expedia!I24</f>
        <v>260</v>
      </c>
    </row>
    <row r="5" spans="2:7" x14ac:dyDescent="0.3">
      <c r="B5" s="6" t="s">
        <v>16</v>
      </c>
      <c r="C5" s="6"/>
      <c r="D5" s="179">
        <f>D4/(31*10)</f>
        <v>0.85806451612903223</v>
      </c>
      <c r="E5" s="179">
        <f>E4/(31*10)</f>
        <v>0.83870967741935487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32648672.085741811</v>
      </c>
      <c r="D8" s="8">
        <f>C8/D4</f>
        <v>122739.36874339027</v>
      </c>
      <c r="E8" s="5"/>
      <c r="F8" s="5"/>
    </row>
    <row r="9" spans="2:7" ht="15" x14ac:dyDescent="0.25">
      <c r="B9" t="s">
        <v>7</v>
      </c>
      <c r="C9" s="1">
        <f>Oct!T52/(1.038)</f>
        <v>23348379.335260116</v>
      </c>
      <c r="D9" s="9">
        <f>C9/$C$8</f>
        <v>0.71514024441614954</v>
      </c>
    </row>
    <row r="10" spans="2:7" ht="15" x14ac:dyDescent="0.25">
      <c r="B10" t="s">
        <v>8</v>
      </c>
      <c r="C10" s="1">
        <f>Oct!T68/(1.038)</f>
        <v>4777742.1724470137</v>
      </c>
      <c r="D10" s="9">
        <f>C10/$C$8</f>
        <v>0.14633802440416954</v>
      </c>
    </row>
    <row r="11" spans="2:7" ht="15" x14ac:dyDescent="0.25">
      <c r="B11" t="s">
        <v>100</v>
      </c>
      <c r="C11" s="1"/>
      <c r="D11" s="9">
        <f>C11/$C$8</f>
        <v>0</v>
      </c>
    </row>
    <row r="12" spans="2:7" ht="15" x14ac:dyDescent="0.25">
      <c r="B12" t="s">
        <v>101</v>
      </c>
      <c r="C12" s="1">
        <f>Oct!T84/(1.038)</f>
        <v>4522550.5780346822</v>
      </c>
      <c r="D12" s="9">
        <f>C12/$C$8</f>
        <v>0.138521731179681</v>
      </c>
      <c r="E12" s="1"/>
    </row>
    <row r="13" spans="2:7" ht="15" x14ac:dyDescent="0.25">
      <c r="B13" t="s">
        <v>57</v>
      </c>
      <c r="C13" s="1">
        <f>Oct!S87*D2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13082513</v>
      </c>
      <c r="D16" s="8">
        <f>C16/D4</f>
        <v>49182.379699248122</v>
      </c>
      <c r="E16" s="5">
        <f>C16+C25+C30+C33</f>
        <v>28580902</v>
      </c>
      <c r="F16" s="104"/>
      <c r="G16" s="120"/>
    </row>
    <row r="17" spans="2:6" ht="15" x14ac:dyDescent="0.25">
      <c r="B17" t="str">
        <f>'BCI FondRendir'!B136</f>
        <v>Comisión Bco</v>
      </c>
      <c r="C17" s="1">
        <f>'BCI FondRendir'!F136</f>
        <v>84979</v>
      </c>
      <c r="D17" s="5">
        <f>C17/$D$4</f>
        <v>319.46992481203006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3736040</v>
      </c>
      <c r="D18" s="5">
        <f t="shared" ref="D18:D26" si="0">C18/$D$4</f>
        <v>14045.263157894737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1637293</v>
      </c>
      <c r="D19" s="5">
        <f t="shared" si="0"/>
        <v>6155.2368421052633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446939</v>
      </c>
      <c r="D20" s="5">
        <f t="shared" si="0"/>
        <v>1680.2218045112782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705667</v>
      </c>
      <c r="D21" s="5">
        <f t="shared" si="0"/>
        <v>2652.8834586466164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2900000</v>
      </c>
      <c r="D22" s="5">
        <f t="shared" si="0"/>
        <v>10902.255639097744</v>
      </c>
      <c r="E22" s="5"/>
    </row>
    <row r="23" spans="2:6" ht="15" x14ac:dyDescent="0.25">
      <c r="B23" t="s">
        <v>256</v>
      </c>
      <c r="C23" s="1">
        <f>'BCI FondRendir'!F147</f>
        <v>3571595</v>
      </c>
      <c r="D23" s="5">
        <f>C23/$D$4</f>
        <v>13427.04887218045</v>
      </c>
      <c r="E23" s="5"/>
    </row>
    <row r="24" spans="2:6" x14ac:dyDescent="0.3">
      <c r="B24" t="s">
        <v>86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10442562</v>
      </c>
      <c r="D25" s="8">
        <f>C25/D4</f>
        <v>39257.751879699252</v>
      </c>
      <c r="E25" s="5"/>
      <c r="F25" s="5"/>
    </row>
    <row r="26" spans="2:6" ht="15" x14ac:dyDescent="0.25">
      <c r="B26" t="s">
        <v>50</v>
      </c>
      <c r="C26" s="1">
        <f>'BCI FondRendir'!F148</f>
        <v>8696441</v>
      </c>
      <c r="D26" s="5">
        <f t="shared" si="0"/>
        <v>32693.387218045114</v>
      </c>
    </row>
    <row r="27" spans="2:6" s="234" customFormat="1" ht="15" x14ac:dyDescent="0.25">
      <c r="B27" t="str">
        <f>'BCI FondRendir'!B143</f>
        <v>Gastos Operación</v>
      </c>
      <c r="C27" s="1">
        <f>+'BCI FondRendir'!F143</f>
        <v>1546121</v>
      </c>
      <c r="D27" s="5">
        <f>C27/$D$4</f>
        <v>5812.4849624060153</v>
      </c>
    </row>
    <row r="28" spans="2:6" x14ac:dyDescent="0.3">
      <c r="B28" s="15" t="s">
        <v>24</v>
      </c>
      <c r="C28" s="16"/>
      <c r="D28" s="5">
        <f t="shared" ref="D28:D29" si="1">C28/$D$4</f>
        <v>0</v>
      </c>
    </row>
    <row r="29" spans="2:6" x14ac:dyDescent="0.3">
      <c r="B29" s="15" t="s">
        <v>62</v>
      </c>
      <c r="C29" s="1">
        <f>'BCI FondRendir'!F142</f>
        <v>200000</v>
      </c>
      <c r="D29" s="5">
        <f t="shared" si="1"/>
        <v>751.87969924812035</v>
      </c>
    </row>
    <row r="30" spans="2:6" x14ac:dyDescent="0.3">
      <c r="B30" s="6" t="s">
        <v>21</v>
      </c>
      <c r="C30" s="8">
        <f>SUM(C31:C32)</f>
        <v>5055827</v>
      </c>
      <c r="D30" s="8">
        <f>C30/D4</f>
        <v>19006.86842105263</v>
      </c>
    </row>
    <row r="31" spans="2:6" x14ac:dyDescent="0.3">
      <c r="B31" t="s">
        <v>22</v>
      </c>
      <c r="C31" s="1">
        <f>+'BCI FondRendir'!F146</f>
        <v>5055827</v>
      </c>
      <c r="E31" s="141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166</v>
      </c>
      <c r="C34" s="1">
        <f>+'BCI FondRendir'!F145</f>
        <v>0</v>
      </c>
    </row>
    <row r="35" spans="2:13" x14ac:dyDescent="0.3">
      <c r="B35" t="s">
        <v>168</v>
      </c>
      <c r="C35" s="1"/>
    </row>
    <row r="36" spans="2:13" x14ac:dyDescent="0.3">
      <c r="B36" t="str">
        <f>'BCI FondRendir'!B144</f>
        <v>Impuestos</v>
      </c>
      <c r="C36" s="1">
        <f>+'BCI FondRendir'!F144</f>
        <v>2561808</v>
      </c>
      <c r="D36" s="5">
        <f>C36/$D$4</f>
        <v>9630.8571428571431</v>
      </c>
    </row>
    <row r="38" spans="2:13" x14ac:dyDescent="0.3">
      <c r="B38" s="2" t="s">
        <v>17</v>
      </c>
      <c r="C38" s="10">
        <f>C8-C16-C25-C33-C30</f>
        <v>4067770.0857418105</v>
      </c>
    </row>
    <row r="39" spans="2:13" x14ac:dyDescent="0.3">
      <c r="B39" s="2" t="s">
        <v>52</v>
      </c>
      <c r="C39" s="10">
        <f>C36</f>
        <v>2561808</v>
      </c>
      <c r="D39" s="10">
        <f>C38*0.25</f>
        <v>1016942.5214354526</v>
      </c>
    </row>
    <row r="40" spans="2:13" x14ac:dyDescent="0.3">
      <c r="B40" s="2" t="s">
        <v>140</v>
      </c>
      <c r="C40" s="10">
        <f>'BCI FondRendir'!G153</f>
        <v>1657442.77</v>
      </c>
    </row>
    <row r="41" spans="2:13" x14ac:dyDescent="0.3">
      <c r="B41" s="2" t="s">
        <v>141</v>
      </c>
      <c r="C41" s="10">
        <f>Oct!D105</f>
        <v>759603.09</v>
      </c>
    </row>
    <row r="42" spans="2:13" x14ac:dyDescent="0.3">
      <c r="B42" s="17" t="s">
        <v>18</v>
      </c>
      <c r="C42" s="18">
        <f>C38-D39</f>
        <v>3050827.5643063579</v>
      </c>
    </row>
    <row r="43" spans="2:13" x14ac:dyDescent="0.3">
      <c r="B43" s="17" t="s">
        <v>181</v>
      </c>
      <c r="C43" s="10">
        <f>C8-C16-C25</f>
        <v>9123597.0857418105</v>
      </c>
      <c r="J43" s="103"/>
      <c r="K43" s="103"/>
      <c r="L43" s="103"/>
      <c r="M43" s="103"/>
    </row>
    <row r="44" spans="2:13" x14ac:dyDescent="0.3">
      <c r="C44" s="21" t="s">
        <v>70</v>
      </c>
      <c r="D44" s="21" t="s">
        <v>71</v>
      </c>
      <c r="E44" s="21" t="s">
        <v>204</v>
      </c>
      <c r="F44" s="21" t="s">
        <v>63</v>
      </c>
      <c r="G44" s="21" t="s">
        <v>64</v>
      </c>
      <c r="J44" s="104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/>
      <c r="G48" s="113"/>
      <c r="I48" s="187"/>
    </row>
    <row r="49" spans="2:15" x14ac:dyDescent="0.3">
      <c r="B49" s="2" t="s">
        <v>339</v>
      </c>
      <c r="C49" s="10"/>
      <c r="D49" s="10"/>
      <c r="E49" s="10"/>
      <c r="F49" s="10"/>
      <c r="G49" s="10">
        <f t="shared" ref="G49:G52" si="2">F49*$D$3</f>
        <v>0</v>
      </c>
      <c r="J49" s="187"/>
      <c r="K49" s="187"/>
      <c r="L49" s="187"/>
      <c r="M49" s="187"/>
    </row>
    <row r="50" spans="2:15" x14ac:dyDescent="0.3">
      <c r="B50" s="2" t="s">
        <v>340</v>
      </c>
      <c r="C50" s="10"/>
      <c r="D50" s="10"/>
      <c r="E50" s="10"/>
      <c r="F50" s="10"/>
      <c r="G50" s="10">
        <f t="shared" si="2"/>
        <v>0</v>
      </c>
      <c r="J50" s="187"/>
      <c r="K50" s="187"/>
      <c r="L50" s="187"/>
      <c r="M50" s="187"/>
    </row>
    <row r="51" spans="2:15" x14ac:dyDescent="0.3">
      <c r="B51" s="2" t="s">
        <v>341</v>
      </c>
      <c r="C51" s="10"/>
      <c r="D51" s="10"/>
      <c r="E51" s="10"/>
      <c r="F51" s="10"/>
      <c r="G51" s="10">
        <f t="shared" si="2"/>
        <v>0</v>
      </c>
      <c r="J51" s="187"/>
      <c r="K51" s="187"/>
      <c r="L51" s="187"/>
      <c r="M51" s="187"/>
    </row>
    <row r="52" spans="2:15" x14ac:dyDescent="0.3">
      <c r="B52" s="2" t="s">
        <v>342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187"/>
      <c r="K52" s="187"/>
      <c r="L52" s="187"/>
      <c r="M52" s="187"/>
    </row>
    <row r="53" spans="2:15" x14ac:dyDescent="0.3">
      <c r="B53" s="112" t="s">
        <v>134</v>
      </c>
      <c r="C53" s="113">
        <f>SUM(C45:C52)</f>
        <v>0</v>
      </c>
      <c r="D53" s="113">
        <f>SUM(D45:D52)</f>
        <v>1129.4585375770855</v>
      </c>
      <c r="E53" s="113">
        <f>SUM(E45:E52)</f>
        <v>0</v>
      </c>
      <c r="F53" s="113"/>
      <c r="G53" s="113"/>
      <c r="I53" s="187"/>
      <c r="J53" s="187"/>
      <c r="K53" s="187"/>
      <c r="L53" s="187"/>
      <c r="M53" s="187"/>
    </row>
    <row r="54" spans="2:15" x14ac:dyDescent="0.3">
      <c r="B54" s="112"/>
      <c r="C54" s="113"/>
      <c r="D54" s="113">
        <f>D53*D3</f>
        <v>30083015.202511918</v>
      </c>
      <c r="E54" s="113">
        <f>E53*D3</f>
        <v>0</v>
      </c>
      <c r="F54" s="113"/>
      <c r="G54" s="113"/>
      <c r="I54" s="187"/>
      <c r="J54" s="234"/>
      <c r="K54" s="234"/>
      <c r="L54" s="234"/>
      <c r="M54" s="234"/>
      <c r="N54" s="234"/>
      <c r="O54" s="234"/>
    </row>
    <row r="55" spans="2:15" x14ac:dyDescent="0.3">
      <c r="I55" s="187"/>
      <c r="J55" s="234"/>
      <c r="K55" s="234"/>
      <c r="L55" s="234"/>
      <c r="M55" s="234"/>
      <c r="N55" s="234"/>
      <c r="O55" s="234"/>
    </row>
    <row r="56" spans="2:15" x14ac:dyDescent="0.3">
      <c r="B56" s="188" t="s">
        <v>1397</v>
      </c>
      <c r="C56" s="189"/>
      <c r="D56" s="189"/>
      <c r="E56" s="189"/>
      <c r="F56" s="189"/>
      <c r="G56" s="190"/>
      <c r="I56" s="187"/>
      <c r="J56" s="234"/>
      <c r="K56" s="234"/>
      <c r="L56" s="234"/>
      <c r="M56" s="234"/>
      <c r="N56" s="234"/>
      <c r="O56" s="234"/>
    </row>
    <row r="57" spans="2:15" x14ac:dyDescent="0.3">
      <c r="B57" s="2" t="s">
        <v>107</v>
      </c>
      <c r="C57" s="2" t="s">
        <v>176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34"/>
      <c r="N57" s="234"/>
      <c r="O57" s="234"/>
    </row>
    <row r="58" spans="2:15" x14ac:dyDescent="0.3">
      <c r="B58" s="165">
        <v>5113184</v>
      </c>
      <c r="C58" s="165">
        <v>0</v>
      </c>
      <c r="D58" s="165">
        <v>0</v>
      </c>
      <c r="E58" s="165">
        <v>10632593</v>
      </c>
      <c r="F58" s="165">
        <v>2204942</v>
      </c>
      <c r="G58" s="165">
        <v>21372</v>
      </c>
      <c r="H58" s="78">
        <f>(G58+D58+C58)*$D$2+B58+E58+F58</f>
        <v>31404393</v>
      </c>
      <c r="I58" s="187"/>
      <c r="J58" s="234"/>
      <c r="K58" s="234"/>
      <c r="L58" s="234"/>
      <c r="M58" s="234"/>
      <c r="N58" s="234"/>
      <c r="O58" s="234"/>
    </row>
    <row r="59" spans="2:15" x14ac:dyDescent="0.3">
      <c r="B59" s="165" t="s">
        <v>113</v>
      </c>
      <c r="C59" s="165"/>
      <c r="D59" s="165"/>
      <c r="E59" s="165"/>
      <c r="F59" s="165"/>
      <c r="G59" s="165"/>
      <c r="H59" s="78">
        <f>(G59+D59)*$D$2+E59+F59</f>
        <v>0</v>
      </c>
      <c r="I59" s="187"/>
      <c r="J59" s="234"/>
      <c r="K59" s="234"/>
      <c r="L59" s="234"/>
      <c r="M59" s="234"/>
      <c r="N59" s="234"/>
      <c r="O59" s="234"/>
    </row>
    <row r="60" spans="2:15" x14ac:dyDescent="0.3">
      <c r="B60" s="165" t="s">
        <v>135</v>
      </c>
      <c r="C60" s="165"/>
      <c r="D60" s="165"/>
      <c r="E60" s="165"/>
      <c r="F60" s="165"/>
      <c r="G60" s="165"/>
      <c r="H60" s="78">
        <f>(G60+D60)*$D$2+E60+F60</f>
        <v>0</v>
      </c>
      <c r="I60" s="187"/>
      <c r="J60" s="234"/>
      <c r="K60" s="234"/>
      <c r="L60" s="234"/>
      <c r="M60" s="234"/>
      <c r="N60" s="234"/>
      <c r="O60" s="234"/>
    </row>
    <row r="61" spans="2:15" x14ac:dyDescent="0.3">
      <c r="B61" s="114" t="s">
        <v>159</v>
      </c>
      <c r="C61" s="114"/>
      <c r="D61" s="114"/>
      <c r="E61" s="114"/>
      <c r="F61" s="114"/>
      <c r="G61" s="114"/>
      <c r="H61" s="77">
        <f>SUM(H58:H60)</f>
        <v>31404393</v>
      </c>
      <c r="I61" s="187"/>
      <c r="J61" s="234"/>
      <c r="K61" s="234"/>
      <c r="L61" s="234"/>
      <c r="M61" s="234"/>
      <c r="N61" s="234"/>
      <c r="O61" s="234"/>
    </row>
    <row r="62" spans="2:15" x14ac:dyDescent="0.3">
      <c r="B62" s="114" t="s">
        <v>136</v>
      </c>
      <c r="C62" s="114"/>
      <c r="D62" s="114"/>
      <c r="E62" s="114"/>
      <c r="F62" s="114"/>
      <c r="G62" s="114"/>
      <c r="H62" s="77">
        <f>H61-H67</f>
        <v>315976</v>
      </c>
      <c r="I62" s="187"/>
      <c r="J62" s="234"/>
      <c r="K62" s="234"/>
      <c r="L62" s="234"/>
      <c r="M62" s="234"/>
      <c r="N62" s="234"/>
      <c r="O62" s="234"/>
    </row>
    <row r="63" spans="2:15" x14ac:dyDescent="0.3">
      <c r="I63" s="187"/>
      <c r="J63" s="234"/>
      <c r="K63" s="234"/>
      <c r="L63" s="234"/>
      <c r="M63" s="234"/>
      <c r="N63" s="187"/>
      <c r="O63" s="187"/>
    </row>
    <row r="64" spans="2:15" x14ac:dyDescent="0.3">
      <c r="I64" s="187"/>
      <c r="J64" s="234"/>
      <c r="K64" s="234"/>
      <c r="L64" s="187"/>
      <c r="M64" s="234"/>
      <c r="N64" s="187"/>
      <c r="O64" s="187"/>
    </row>
    <row r="65" spans="1:15" x14ac:dyDescent="0.3">
      <c r="B65" s="188" t="s">
        <v>1396</v>
      </c>
      <c r="C65" s="189"/>
      <c r="D65" s="189"/>
      <c r="E65" s="189"/>
      <c r="F65" s="189"/>
      <c r="G65" s="190"/>
      <c r="H65" s="187"/>
      <c r="I65" s="187"/>
      <c r="J65" s="187"/>
      <c r="K65" s="187"/>
      <c r="L65" s="187"/>
      <c r="M65" s="187"/>
      <c r="N65" s="187"/>
      <c r="O65" s="187"/>
    </row>
    <row r="66" spans="1:15" x14ac:dyDescent="0.3">
      <c r="B66" s="2" t="s">
        <v>107</v>
      </c>
      <c r="C66" s="2" t="s">
        <v>176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187"/>
      <c r="K66" s="187"/>
      <c r="L66" s="187"/>
      <c r="M66" s="187"/>
      <c r="N66" s="187"/>
      <c r="O66" s="187"/>
    </row>
    <row r="67" spans="1:15" x14ac:dyDescent="0.3">
      <c r="B67" s="165">
        <v>8625328</v>
      </c>
      <c r="C67" s="165">
        <v>0</v>
      </c>
      <c r="D67" s="165">
        <v>8549</v>
      </c>
      <c r="E67" s="165">
        <v>4303232</v>
      </c>
      <c r="F67" s="165">
        <v>299683</v>
      </c>
      <c r="G67" s="165">
        <v>19823</v>
      </c>
      <c r="H67" s="78">
        <v>31088417</v>
      </c>
      <c r="J67" s="187"/>
      <c r="K67" s="187"/>
      <c r="L67" s="187"/>
      <c r="M67" s="187"/>
      <c r="N67" s="187"/>
      <c r="O67" s="187"/>
    </row>
    <row r="68" spans="1:15" x14ac:dyDescent="0.3">
      <c r="B68" s="165" t="s">
        <v>113</v>
      </c>
      <c r="C68" s="165"/>
      <c r="D68" s="165"/>
      <c r="E68" s="165"/>
      <c r="F68" s="165"/>
      <c r="G68" s="165"/>
      <c r="H68" s="78">
        <v>0</v>
      </c>
      <c r="J68" s="187"/>
      <c r="K68" s="187"/>
      <c r="L68" s="187"/>
      <c r="M68" s="187"/>
      <c r="N68" s="187"/>
      <c r="O68" s="187"/>
    </row>
    <row r="69" spans="1:15" x14ac:dyDescent="0.3">
      <c r="B69" s="165" t="s">
        <v>135</v>
      </c>
      <c r="C69" s="165"/>
      <c r="D69" s="165"/>
      <c r="E69" s="165">
        <v>10000000</v>
      </c>
      <c r="F69" s="165"/>
      <c r="G69" s="165"/>
      <c r="H69" s="78">
        <v>10000000</v>
      </c>
      <c r="J69" s="187"/>
      <c r="K69" s="187"/>
      <c r="L69" s="187"/>
      <c r="M69" s="187"/>
      <c r="N69" s="187"/>
      <c r="O69" s="187"/>
    </row>
    <row r="70" spans="1:15" x14ac:dyDescent="0.3">
      <c r="B70" s="114" t="s">
        <v>159</v>
      </c>
      <c r="C70" s="114"/>
      <c r="D70" s="114"/>
      <c r="E70" s="114"/>
      <c r="F70" s="114"/>
      <c r="G70" s="114"/>
      <c r="H70" s="77">
        <v>41088417</v>
      </c>
    </row>
    <row r="71" spans="1:15" x14ac:dyDescent="0.3">
      <c r="B71" s="114" t="s">
        <v>136</v>
      </c>
      <c r="C71" s="114"/>
      <c r="D71" s="114"/>
      <c r="E71" s="114"/>
      <c r="F71" s="114"/>
      <c r="G71" s="114"/>
      <c r="H71" s="77">
        <v>9802916.5199999996</v>
      </c>
    </row>
    <row r="74" spans="1:15" x14ac:dyDescent="0.3">
      <c r="A74" s="141"/>
      <c r="B74" s="141"/>
      <c r="C74" s="141"/>
      <c r="D74" s="141"/>
      <c r="E74" s="141"/>
      <c r="F74" s="141"/>
    </row>
    <row r="75" spans="1:15" x14ac:dyDescent="0.3">
      <c r="A75" s="141"/>
      <c r="B75" s="141"/>
      <c r="C75" s="141"/>
      <c r="D75" s="141"/>
      <c r="E75" s="141"/>
      <c r="F75" s="141"/>
    </row>
    <row r="76" spans="1:15" x14ac:dyDescent="0.3">
      <c r="A76" s="141"/>
      <c r="B76" s="141"/>
      <c r="C76" s="141"/>
      <c r="D76" s="141"/>
      <c r="E76" s="141"/>
      <c r="F76" s="141"/>
    </row>
    <row r="77" spans="1:15" x14ac:dyDescent="0.3">
      <c r="A77" s="141"/>
      <c r="B77" s="141"/>
      <c r="C77" s="141"/>
      <c r="D77" s="141"/>
      <c r="E77" s="141"/>
      <c r="F77" s="141"/>
    </row>
    <row r="78" spans="1:15" x14ac:dyDescent="0.3">
      <c r="A78" s="141"/>
      <c r="B78" s="141"/>
      <c r="C78" s="141"/>
      <c r="D78" s="141"/>
      <c r="E78" s="141"/>
      <c r="F78" s="141"/>
    </row>
    <row r="79" spans="1:15" x14ac:dyDescent="0.3">
      <c r="A79" s="141"/>
      <c r="B79" s="141"/>
      <c r="C79" s="141"/>
      <c r="D79" s="141"/>
      <c r="E79" s="141"/>
      <c r="F79" s="141"/>
    </row>
    <row r="80" spans="1:15" x14ac:dyDescent="0.3">
      <c r="A80" s="141"/>
      <c r="B80" s="141"/>
      <c r="C80" s="141"/>
      <c r="D80" s="141"/>
      <c r="E80" s="141"/>
      <c r="F80" s="141"/>
    </row>
  </sheetData>
  <pageMargins left="0.7" right="0.7" top="0.75" bottom="0.75" header="0.3" footer="0.3"/>
  <pageSetup scale="4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55" zoomScaleNormal="55" workbookViewId="0">
      <selection activeCell="B26" sqref="B26"/>
    </sheetView>
  </sheetViews>
  <sheetFormatPr baseColWidth="10" defaultRowHeight="14.4" x14ac:dyDescent="0.3"/>
  <cols>
    <col min="1" max="1" width="51" customWidth="1"/>
  </cols>
  <sheetData>
    <row r="1" spans="1:1" ht="26.25" x14ac:dyDescent="0.4">
      <c r="A1" s="266" t="s">
        <v>250</v>
      </c>
    </row>
    <row r="2" spans="1:1" ht="25.8" x14ac:dyDescent="0.5">
      <c r="A2" s="267" t="s">
        <v>252</v>
      </c>
    </row>
    <row r="3" spans="1:1" ht="25.8" x14ac:dyDescent="0.5">
      <c r="A3" s="267" t="s">
        <v>51</v>
      </c>
    </row>
    <row r="4" spans="1:1" ht="25.8" x14ac:dyDescent="0.5">
      <c r="A4" s="267" t="s">
        <v>156</v>
      </c>
    </row>
    <row r="5" spans="1:1" ht="25.8" x14ac:dyDescent="0.5">
      <c r="A5" s="268" t="s">
        <v>251</v>
      </c>
    </row>
    <row r="6" spans="1:1" ht="26.25" x14ac:dyDescent="0.4">
      <c r="A6" s="268" t="s">
        <v>9</v>
      </c>
    </row>
    <row r="7" spans="1:1" ht="26.25" x14ac:dyDescent="0.4">
      <c r="A7" s="269" t="s">
        <v>253</v>
      </c>
    </row>
    <row r="8" spans="1:1" ht="25.8" x14ac:dyDescent="0.5">
      <c r="A8" s="267" t="s">
        <v>255</v>
      </c>
    </row>
    <row r="9" spans="1:1" ht="25.8" x14ac:dyDescent="0.5">
      <c r="A9" s="267" t="s">
        <v>254</v>
      </c>
    </row>
    <row r="10" spans="1:1" ht="26.25" x14ac:dyDescent="0.4">
      <c r="A10" s="269" t="s">
        <v>43</v>
      </c>
    </row>
    <row r="11" spans="1:1" ht="25.8" x14ac:dyDescent="0.5">
      <c r="A11" s="267" t="s">
        <v>12</v>
      </c>
    </row>
    <row r="12" spans="1:1" ht="26.25" x14ac:dyDescent="0.4">
      <c r="A12" s="267" t="s">
        <v>22</v>
      </c>
    </row>
    <row r="13" spans="1:1" ht="26.25" x14ac:dyDescent="0.4">
      <c r="A13" s="268" t="s">
        <v>256</v>
      </c>
    </row>
    <row r="14" spans="1:1" ht="26.25" x14ac:dyDescent="0.4">
      <c r="A14" s="267" t="s">
        <v>50</v>
      </c>
    </row>
    <row r="15" spans="1:1" ht="26.25" x14ac:dyDescent="0.4">
      <c r="A15" s="268" t="s">
        <v>196</v>
      </c>
    </row>
    <row r="16" spans="1:1" ht="26.25" x14ac:dyDescent="0.4">
      <c r="A16" s="267" t="s">
        <v>197</v>
      </c>
    </row>
    <row r="17" spans="1:1" ht="25.8" x14ac:dyDescent="0.5">
      <c r="A17" s="267" t="s">
        <v>257</v>
      </c>
    </row>
    <row r="18" spans="1:1" ht="25.8" x14ac:dyDescent="0.5">
      <c r="A18" s="267" t="s">
        <v>258</v>
      </c>
    </row>
    <row r="19" spans="1:1" ht="25.8" x14ac:dyDescent="0.5">
      <c r="A19" s="270" t="s">
        <v>326</v>
      </c>
    </row>
    <row r="20" spans="1:1" ht="21.6" customHeight="1" x14ac:dyDescent="0.5">
      <c r="A20" s="270" t="s">
        <v>373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Q101" sqref="Q101"/>
    </sheetView>
  </sheetViews>
  <sheetFormatPr baseColWidth="10" defaultRowHeight="14.4" x14ac:dyDescent="0.3"/>
  <sheetData>
    <row r="2" spans="2:7" x14ac:dyDescent="0.25">
      <c r="B2" t="s">
        <v>367</v>
      </c>
    </row>
    <row r="3" spans="2:7" x14ac:dyDescent="0.25">
      <c r="B3" t="s">
        <v>361</v>
      </c>
      <c r="C3" t="s">
        <v>182</v>
      </c>
      <c r="D3" t="s">
        <v>187</v>
      </c>
      <c r="E3" t="s">
        <v>218</v>
      </c>
      <c r="F3" s="280">
        <v>1817451</v>
      </c>
      <c r="G3" t="s">
        <v>365</v>
      </c>
    </row>
    <row r="4" spans="2:7" x14ac:dyDescent="0.25">
      <c r="B4" s="234">
        <v>42867</v>
      </c>
      <c r="C4" t="s">
        <v>364</v>
      </c>
      <c r="D4">
        <v>18220448</v>
      </c>
      <c r="E4">
        <v>0</v>
      </c>
      <c r="F4" s="280">
        <v>4684019</v>
      </c>
      <c r="G4" t="s">
        <v>368</v>
      </c>
    </row>
    <row r="5" spans="2:7" x14ac:dyDescent="0.25">
      <c r="F5" s="280">
        <f>SUM(F3:F4)</f>
        <v>6501470</v>
      </c>
    </row>
    <row r="6" spans="2:7" x14ac:dyDescent="0.25">
      <c r="E6" t="s">
        <v>137</v>
      </c>
      <c r="F6" s="280">
        <f>+F5/1.19</f>
        <v>5463420.1680672271</v>
      </c>
    </row>
    <row r="7" spans="2:7" x14ac:dyDescent="0.25">
      <c r="E7" t="s">
        <v>138</v>
      </c>
      <c r="F7" s="280">
        <f>+F6*0.19</f>
        <v>1038049.8319327731</v>
      </c>
    </row>
    <row r="8" spans="2:7" x14ac:dyDescent="0.25">
      <c r="F8" s="2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1"/>
  <sheetViews>
    <sheetView zoomScale="55" zoomScaleNormal="55" workbookViewId="0">
      <selection activeCell="F94" sqref="F94"/>
    </sheetView>
  </sheetViews>
  <sheetFormatPr baseColWidth="10" defaultColWidth="11.33203125" defaultRowHeight="14.4" x14ac:dyDescent="0.3"/>
  <cols>
    <col min="1" max="1" width="11.33203125" style="34"/>
    <col min="2" max="2" width="16.77734375" style="169" customWidth="1"/>
    <col min="3" max="3" width="26.6640625" style="34" customWidth="1"/>
    <col min="4" max="4" width="15.33203125" style="34" customWidth="1"/>
    <col min="5" max="5" width="14.6640625" style="34" customWidth="1"/>
    <col min="6" max="7" width="14.109375" style="37" customWidth="1"/>
    <col min="8" max="8" width="11.6640625" style="34" customWidth="1"/>
    <col min="9" max="9" width="11" style="36" customWidth="1"/>
    <col min="10" max="10" width="11" customWidth="1"/>
    <col min="11" max="11" width="14.33203125" style="36" customWidth="1"/>
    <col min="12" max="16" width="11" style="36" customWidth="1"/>
    <col min="17" max="17" width="13.6640625" style="34" customWidth="1"/>
    <col min="18" max="18" width="13.33203125" style="34" customWidth="1"/>
    <col min="19" max="19" width="10.109375" style="39" customWidth="1"/>
    <col min="20" max="20" width="15.33203125" style="34" customWidth="1"/>
    <col min="21" max="21" width="14.33203125" style="169" customWidth="1"/>
    <col min="22" max="22" width="15.33203125" style="169" customWidth="1"/>
    <col min="23" max="24" width="14" style="169" customWidth="1"/>
    <col min="25" max="25" width="14.88671875" style="34" customWidth="1"/>
    <col min="26" max="26" width="13.109375" style="34" bestFit="1" customWidth="1"/>
    <col min="27" max="27" width="19.33203125" style="34" customWidth="1"/>
    <col min="28" max="28" width="11.33203125" style="34"/>
    <col min="29" max="29" width="21.6640625" style="34" customWidth="1"/>
    <col min="30" max="16384" width="11.33203125" style="34"/>
  </cols>
  <sheetData>
    <row r="1" spans="1:29" ht="15" customHeight="1" x14ac:dyDescent="0.2">
      <c r="A1" s="290"/>
      <c r="B1" s="290"/>
      <c r="C1" s="290"/>
      <c r="D1" s="290"/>
      <c r="E1" s="290"/>
      <c r="F1" s="291"/>
      <c r="G1" s="291"/>
      <c r="H1" s="290"/>
      <c r="I1" s="333" t="s">
        <v>131</v>
      </c>
      <c r="J1" s="333"/>
      <c r="K1" s="333" t="s">
        <v>132</v>
      </c>
      <c r="L1" s="333"/>
      <c r="M1" s="333" t="s">
        <v>133</v>
      </c>
      <c r="N1" s="333"/>
      <c r="O1" s="333" t="s">
        <v>205</v>
      </c>
      <c r="P1" s="333"/>
      <c r="Q1" s="290"/>
      <c r="R1" s="290"/>
      <c r="S1" s="294"/>
      <c r="T1" s="290"/>
      <c r="U1" s="290"/>
      <c r="V1" s="290"/>
      <c r="W1" s="290"/>
    </row>
    <row r="2" spans="1:29" ht="30" customHeight="1" x14ac:dyDescent="0.3">
      <c r="A2" s="290" t="s">
        <v>125</v>
      </c>
      <c r="B2" s="290" t="s">
        <v>226</v>
      </c>
      <c r="C2" s="290" t="s">
        <v>0</v>
      </c>
      <c r="D2" s="290" t="s">
        <v>76</v>
      </c>
      <c r="E2" s="290" t="s">
        <v>126</v>
      </c>
      <c r="F2" s="291" t="s">
        <v>1</v>
      </c>
      <c r="G2" s="291" t="s">
        <v>2</v>
      </c>
      <c r="H2" s="291" t="s">
        <v>3</v>
      </c>
      <c r="I2" s="292" t="s">
        <v>127</v>
      </c>
      <c r="J2" s="293" t="s">
        <v>81</v>
      </c>
      <c r="K2" s="292" t="s">
        <v>127</v>
      </c>
      <c r="L2" s="292" t="s">
        <v>81</v>
      </c>
      <c r="M2" s="292" t="s">
        <v>127</v>
      </c>
      <c r="N2" s="292" t="s">
        <v>81</v>
      </c>
      <c r="O2" s="292" t="s">
        <v>127</v>
      </c>
      <c r="P2" s="292" t="s">
        <v>81</v>
      </c>
      <c r="Q2" s="290" t="s">
        <v>128</v>
      </c>
      <c r="R2" s="290" t="s">
        <v>130</v>
      </c>
      <c r="S2" s="294" t="s">
        <v>77</v>
      </c>
      <c r="T2" s="290" t="s">
        <v>206</v>
      </c>
      <c r="U2" s="290" t="s">
        <v>76</v>
      </c>
      <c r="V2" s="290" t="s">
        <v>6</v>
      </c>
      <c r="W2" s="290" t="s">
        <v>6</v>
      </c>
      <c r="Y2" s="34" t="s">
        <v>137</v>
      </c>
      <c r="Z2" s="34" t="s">
        <v>138</v>
      </c>
      <c r="AA2" s="169" t="s">
        <v>217</v>
      </c>
    </row>
    <row r="3" spans="1:29" s="169" customFormat="1" ht="18" customHeight="1" x14ac:dyDescent="0.3">
      <c r="A3" s="306">
        <v>2632</v>
      </c>
      <c r="B3" s="306">
        <v>71265</v>
      </c>
      <c r="C3" s="307" t="s">
        <v>1158</v>
      </c>
      <c r="D3" s="307" t="s">
        <v>437</v>
      </c>
      <c r="E3" s="307">
        <v>1669871265</v>
      </c>
      <c r="F3" s="308">
        <v>43009</v>
      </c>
      <c r="G3" s="308">
        <v>43014</v>
      </c>
      <c r="H3" s="307">
        <v>5</v>
      </c>
      <c r="I3" s="309"/>
      <c r="J3" s="310">
        <v>780</v>
      </c>
      <c r="K3" s="309"/>
      <c r="L3" s="309"/>
      <c r="M3" s="309"/>
      <c r="N3" s="309"/>
      <c r="O3" s="309"/>
      <c r="P3" s="309">
        <v>195</v>
      </c>
      <c r="Q3" s="174">
        <f>J3+L3+N3+P3</f>
        <v>975</v>
      </c>
      <c r="R3" s="174">
        <f>K3+M3+I3+O3</f>
        <v>0</v>
      </c>
      <c r="S3" s="172">
        <f>IF(H3=0,(Q3+R3/EERR!$D$2/1.19),(Q3+R3/EERR!$D$2/1.19)/H3)</f>
        <v>195</v>
      </c>
      <c r="T3" s="174">
        <f>R3+Q3*EERR!$D$2</f>
        <v>613762.5</v>
      </c>
      <c r="U3" s="169">
        <f>IFERROR(VLOOKUP(E3,Booking!$B$2:$R$100,16,FALSE),0)</f>
        <v>5</v>
      </c>
      <c r="V3" s="178">
        <f>SUMIF(Transbank!$A$2:$A$439,B3,Transbank!$L$2:$L$439)+(I3+M3)+(J3+N3)*EERR!$D$2</f>
        <v>612990.30000000005</v>
      </c>
      <c r="W3" s="178">
        <f>V3/EERR!$D$2</f>
        <v>973.77331215250206</v>
      </c>
      <c r="X3" s="178">
        <f t="shared" ref="X3" si="0">+V3-T3</f>
        <v>-772.19999999995343</v>
      </c>
      <c r="Y3" s="178">
        <f>(I3+K3+M3)/1.19</f>
        <v>0</v>
      </c>
      <c r="Z3" s="178">
        <f t="shared" ref="Z3" si="1">IF(AA3="b",(I3+K3+M3)*0.19,0)</f>
        <v>0</v>
      </c>
      <c r="AA3" s="169">
        <f>IFERROR(VLOOKUP(A3,#REF!,8,FALSE),0)</f>
        <v>0</v>
      </c>
      <c r="AB3" s="40">
        <f>Q3-AA3</f>
        <v>975</v>
      </c>
    </row>
    <row r="4" spans="1:29" s="169" customFormat="1" ht="15" customHeight="1" x14ac:dyDescent="0.3">
      <c r="A4" s="306">
        <v>2633</v>
      </c>
      <c r="B4" s="306">
        <v>5189</v>
      </c>
      <c r="C4" s="307" t="s">
        <v>1159</v>
      </c>
      <c r="D4" s="307" t="s">
        <v>437</v>
      </c>
      <c r="E4" s="307">
        <v>1397205189</v>
      </c>
      <c r="F4" s="308">
        <v>43009</v>
      </c>
      <c r="G4" s="308">
        <v>43014</v>
      </c>
      <c r="H4" s="311">
        <v>5</v>
      </c>
      <c r="I4" s="309"/>
      <c r="J4" s="310"/>
      <c r="K4" s="309"/>
      <c r="L4" s="309">
        <v>780</v>
      </c>
      <c r="M4" s="309"/>
      <c r="N4" s="309"/>
      <c r="O4" s="309"/>
      <c r="P4" s="309">
        <v>195</v>
      </c>
      <c r="Q4" s="174">
        <f t="shared" ref="Q4:Q51" si="2">J4+L4+N4+P4</f>
        <v>975</v>
      </c>
      <c r="R4" s="174">
        <f t="shared" ref="R4:R51" si="3">K4+M4+I4+O4</f>
        <v>0</v>
      </c>
      <c r="S4" s="172">
        <f>IF(H4=0,(Q4+R4/EERR!$D$2/1.19),(Q4+R4/EERR!$D$2/1.19)/H4)</f>
        <v>195</v>
      </c>
      <c r="T4" s="174">
        <f>R4+Q4*EERR!$D$2</f>
        <v>613762.5</v>
      </c>
      <c r="U4" s="169">
        <f>IFERROR(VLOOKUP(E4,Booking!$B$2:$R$100,16,FALSE),0)</f>
        <v>5</v>
      </c>
      <c r="V4" s="178">
        <f>SUMIF(Transbank!$A$2:$A$439,B4,Transbank!$L$2:$L$439)+(I4+M4)+(J4+N4)*EERR!$D$2</f>
        <v>612990.30000000005</v>
      </c>
      <c r="W4" s="178">
        <f>V4/EERR!$D$2</f>
        <v>973.77331215250206</v>
      </c>
      <c r="X4" s="178">
        <f t="shared" ref="X4:X51" si="4">+V4-T4</f>
        <v>-772.19999999995343</v>
      </c>
      <c r="Y4" s="178">
        <f t="shared" ref="Y4:Y11" si="5">(I4+K4+M4)/1.19</f>
        <v>0</v>
      </c>
      <c r="Z4" s="178">
        <f t="shared" ref="Z4:Z11" si="6">IF(AA4="b",(I4+K4+M4)*0.19,0)</f>
        <v>0</v>
      </c>
      <c r="AA4" s="169">
        <f>IFERROR(VLOOKUP(A4,#REF!,8,FALSE),0)</f>
        <v>0</v>
      </c>
      <c r="AB4" s="40">
        <f t="shared" ref="AB4:AB51" si="7">Q4-AA4</f>
        <v>975</v>
      </c>
    </row>
    <row r="5" spans="1:29" s="169" customFormat="1" ht="15" customHeight="1" x14ac:dyDescent="0.3">
      <c r="A5" s="306">
        <v>2636</v>
      </c>
      <c r="B5" s="306">
        <v>80373</v>
      </c>
      <c r="C5" s="307" t="s">
        <v>1160</v>
      </c>
      <c r="D5" s="307" t="s">
        <v>437</v>
      </c>
      <c r="E5" s="307">
        <v>1816580373</v>
      </c>
      <c r="F5" s="308">
        <v>43009</v>
      </c>
      <c r="G5" s="308">
        <v>43016</v>
      </c>
      <c r="H5" s="307">
        <v>7</v>
      </c>
      <c r="I5" s="309"/>
      <c r="J5" s="310"/>
      <c r="K5" s="309"/>
      <c r="L5" s="309">
        <v>1220</v>
      </c>
      <c r="M5" s="309"/>
      <c r="N5" s="309"/>
      <c r="O5" s="309"/>
      <c r="P5" s="309">
        <v>195</v>
      </c>
      <c r="Q5" s="174">
        <f t="shared" si="2"/>
        <v>1415</v>
      </c>
      <c r="R5" s="174">
        <f t="shared" si="3"/>
        <v>0</v>
      </c>
      <c r="S5" s="172">
        <f>IF(H5=0,(Q5+R5/EERR!$D$2/1.19),(Q5+R5/EERR!$D$2/1.19)/H5)</f>
        <v>202.14285714285714</v>
      </c>
      <c r="T5" s="174">
        <f>R5+Q5*EERR!$D$2</f>
        <v>890742.5</v>
      </c>
      <c r="U5" s="169">
        <f>IFERROR(VLOOKUP(E5,Booking!$B$2:$R$100,16,FALSE),0)</f>
        <v>7</v>
      </c>
      <c r="V5" s="320">
        <f>SUMIF(Transbank!$A$2:$A$439,B5,Transbank!$L$2:$L$439)+(I5+M5)+(J5+N5)*EERR!$D$2</f>
        <v>919970.3</v>
      </c>
      <c r="W5" s="178">
        <f>V5/EERR!$D$2</f>
        <v>1461.4301826846704</v>
      </c>
      <c r="X5" s="178">
        <f t="shared" si="4"/>
        <v>29227.800000000047</v>
      </c>
      <c r="Y5" s="178">
        <f t="shared" si="5"/>
        <v>0</v>
      </c>
      <c r="Z5" s="178">
        <f t="shared" si="6"/>
        <v>0</v>
      </c>
      <c r="AA5" s="169">
        <f>IFERROR(VLOOKUP(A5,#REF!,8,FALSE),0)</f>
        <v>0</v>
      </c>
      <c r="AB5" s="40">
        <f t="shared" si="7"/>
        <v>1415</v>
      </c>
    </row>
    <row r="6" spans="1:29" s="169" customFormat="1" ht="15" customHeight="1" x14ac:dyDescent="0.3">
      <c r="A6" s="306">
        <v>2642</v>
      </c>
      <c r="B6" s="306">
        <v>40421</v>
      </c>
      <c r="C6" s="307" t="s">
        <v>1161</v>
      </c>
      <c r="D6" s="307" t="s">
        <v>437</v>
      </c>
      <c r="E6" s="307">
        <v>2061248421</v>
      </c>
      <c r="F6" s="308">
        <v>43009</v>
      </c>
      <c r="G6" s="308">
        <v>43014</v>
      </c>
      <c r="H6" s="307">
        <v>5</v>
      </c>
      <c r="I6" s="309"/>
      <c r="J6" s="310"/>
      <c r="K6" s="309"/>
      <c r="L6" s="309">
        <v>702</v>
      </c>
      <c r="M6" s="309"/>
      <c r="N6" s="309"/>
      <c r="O6" s="309"/>
      <c r="P6" s="309">
        <v>175.5</v>
      </c>
      <c r="Q6" s="174">
        <f t="shared" si="2"/>
        <v>877.5</v>
      </c>
      <c r="R6" s="174">
        <f t="shared" si="3"/>
        <v>0</v>
      </c>
      <c r="S6" s="172">
        <f>IF(H6=0,(Q6+R6/EERR!$D$2/1.19),(Q6+R6/EERR!$D$2/1.19)/H6)</f>
        <v>175.5</v>
      </c>
      <c r="T6" s="174">
        <f>R6+Q6*EERR!$D$2</f>
        <v>552386.25</v>
      </c>
      <c r="U6" s="169">
        <v>5</v>
      </c>
      <c r="V6" s="178">
        <f>SUMIF(Transbank!$A$2:$A$439,B6,Transbank!$L$2:$L$439)+(I6+M6)+(J6+N6)*EERR!$D$2</f>
        <v>552004.04</v>
      </c>
      <c r="W6" s="178">
        <f>V6/EERR!$D$2</f>
        <v>876.89283558379668</v>
      </c>
      <c r="X6" s="178">
        <f t="shared" si="4"/>
        <v>-382.20999999996275</v>
      </c>
      <c r="Y6" s="178">
        <f t="shared" si="5"/>
        <v>0</v>
      </c>
      <c r="Z6" s="178">
        <f t="shared" si="6"/>
        <v>0</v>
      </c>
      <c r="AA6" s="169">
        <f>IFERROR(VLOOKUP(A6,#REF!,8,FALSE),0)</f>
        <v>0</v>
      </c>
      <c r="AB6" s="40">
        <f t="shared" si="7"/>
        <v>877.5</v>
      </c>
      <c r="AC6" s="37"/>
    </row>
    <row r="7" spans="1:29" s="169" customFormat="1" ht="15" customHeight="1" x14ac:dyDescent="0.3">
      <c r="A7" s="306">
        <v>2635</v>
      </c>
      <c r="B7" s="306">
        <v>90202</v>
      </c>
      <c r="C7" s="307" t="s">
        <v>1162</v>
      </c>
      <c r="D7" s="307" t="s">
        <v>437</v>
      </c>
      <c r="E7" s="307">
        <v>1137190202</v>
      </c>
      <c r="F7" s="308">
        <v>43011</v>
      </c>
      <c r="G7" s="308">
        <v>43015</v>
      </c>
      <c r="H7" s="307">
        <v>4</v>
      </c>
      <c r="I7" s="309"/>
      <c r="J7" s="310"/>
      <c r="K7" s="309"/>
      <c r="L7" s="309">
        <v>610</v>
      </c>
      <c r="M7" s="309"/>
      <c r="N7" s="309"/>
      <c r="O7" s="309"/>
      <c r="P7" s="309">
        <v>195</v>
      </c>
      <c r="Q7" s="174">
        <f t="shared" si="2"/>
        <v>805</v>
      </c>
      <c r="R7" s="174">
        <f t="shared" si="3"/>
        <v>0</v>
      </c>
      <c r="S7" s="172">
        <f>IF(H7=0,(Q7+R7/EERR!$D$2/1.19),(Q7+R7/EERR!$D$2/1.19)/H7)</f>
        <v>201.25</v>
      </c>
      <c r="T7" s="174">
        <f>R7+Q7*EERR!$D$2</f>
        <v>506747.5</v>
      </c>
      <c r="U7" s="169">
        <f>IFERROR(VLOOKUP(E7,Booking!$B$2:$R$100,16,FALSE),0)</f>
        <v>4</v>
      </c>
      <c r="V7" s="178">
        <f>SUMIF(Transbank!$A$2:$A$439,B7,Transbank!$L$2:$L$439)+(I7+M7)+(J7+N7)*EERR!$D$2</f>
        <v>505975.3</v>
      </c>
      <c r="W7" s="178">
        <f>V7/EERR!$D$2</f>
        <v>803.77331215250194</v>
      </c>
      <c r="X7" s="178">
        <f t="shared" si="4"/>
        <v>-772.20000000001164</v>
      </c>
      <c r="Y7" s="178">
        <f t="shared" si="5"/>
        <v>0</v>
      </c>
      <c r="Z7" s="178">
        <f t="shared" si="6"/>
        <v>0</v>
      </c>
      <c r="AA7" s="169">
        <f>IFERROR(VLOOKUP(A7,#REF!,8,FALSE),0)</f>
        <v>0</v>
      </c>
      <c r="AB7" s="40">
        <f t="shared" si="7"/>
        <v>805</v>
      </c>
    </row>
    <row r="8" spans="1:29" s="169" customFormat="1" ht="15" customHeight="1" x14ac:dyDescent="0.3">
      <c r="A8" s="306">
        <v>2638</v>
      </c>
      <c r="B8" s="306">
        <v>91641</v>
      </c>
      <c r="C8" s="307" t="s">
        <v>1163</v>
      </c>
      <c r="D8" s="307" t="s">
        <v>437</v>
      </c>
      <c r="E8" s="307">
        <v>1246791641</v>
      </c>
      <c r="F8" s="308">
        <v>43012</v>
      </c>
      <c r="G8" s="308">
        <v>43013</v>
      </c>
      <c r="H8" s="307">
        <v>1</v>
      </c>
      <c r="I8" s="309"/>
      <c r="J8" s="310"/>
      <c r="K8" s="309"/>
      <c r="L8" s="309"/>
      <c r="M8" s="309"/>
      <c r="N8" s="309"/>
      <c r="O8" s="309"/>
      <c r="P8" s="309">
        <v>195</v>
      </c>
      <c r="Q8" s="174">
        <f t="shared" si="2"/>
        <v>195</v>
      </c>
      <c r="R8" s="174">
        <f t="shared" si="3"/>
        <v>0</v>
      </c>
      <c r="S8" s="172">
        <f>IF(H8=0,(Q8+R8/EERR!$D$2/1.19),(Q8+R8/EERR!$D$2/1.19)/H8)</f>
        <v>195</v>
      </c>
      <c r="T8" s="174">
        <f>R8+Q8*EERR!$D$2</f>
        <v>122752.5</v>
      </c>
      <c r="U8" s="169">
        <f>IFERROR(VLOOKUP(E8,Booking!$B$2:$R$100,16,FALSE),0)</f>
        <v>1</v>
      </c>
      <c r="V8" s="178">
        <f>SUMIF(Transbank!$A$2:$A$439,B8,Transbank!$L$2:$L$439)+(I8+M8)+(J8+N8)*EERR!$D$2</f>
        <v>121980.29999999999</v>
      </c>
      <c r="W8" s="178">
        <f>V8/EERR!$D$2</f>
        <v>193.77331215250197</v>
      </c>
      <c r="X8" s="178">
        <f t="shared" si="4"/>
        <v>-772.20000000001164</v>
      </c>
      <c r="Y8" s="178">
        <f t="shared" si="5"/>
        <v>0</v>
      </c>
      <c r="Z8" s="178">
        <f t="shared" si="6"/>
        <v>0</v>
      </c>
      <c r="AA8" s="169">
        <f>IFERROR(VLOOKUP(A8,#REF!,8,FALSE),0)</f>
        <v>0</v>
      </c>
      <c r="AB8" s="40">
        <f t="shared" si="7"/>
        <v>195</v>
      </c>
    </row>
    <row r="9" spans="1:29" s="169" customFormat="1" ht="15" customHeight="1" x14ac:dyDescent="0.3">
      <c r="A9" s="306">
        <v>2639</v>
      </c>
      <c r="B9" s="306">
        <v>7932</v>
      </c>
      <c r="C9" s="307" t="s">
        <v>1164</v>
      </c>
      <c r="D9" s="307" t="s">
        <v>437</v>
      </c>
      <c r="E9" s="307">
        <v>1463007932</v>
      </c>
      <c r="F9" s="308">
        <v>43012</v>
      </c>
      <c r="G9" s="308">
        <v>43018</v>
      </c>
      <c r="H9" s="307">
        <v>6</v>
      </c>
      <c r="I9" s="309"/>
      <c r="J9" s="310">
        <v>1050</v>
      </c>
      <c r="K9" s="309"/>
      <c r="L9" s="309"/>
      <c r="M9" s="309"/>
      <c r="N9" s="309"/>
      <c r="O9" s="309"/>
      <c r="P9" s="309">
        <v>195</v>
      </c>
      <c r="Q9" s="174">
        <f t="shared" si="2"/>
        <v>1245</v>
      </c>
      <c r="R9" s="174">
        <f t="shared" si="3"/>
        <v>0</v>
      </c>
      <c r="S9" s="172">
        <f>IF(H9=0,(Q9+R9/EERR!$D$2/1.19),(Q9+R9/EERR!$D$2/1.19)/H9)</f>
        <v>207.5</v>
      </c>
      <c r="T9" s="174">
        <f>R9+Q9*EERR!$D$2</f>
        <v>783727.5</v>
      </c>
      <c r="U9" s="169">
        <f>IFERROR(VLOOKUP(E9,Booking!$B$2:$R$100,16,FALSE),0)</f>
        <v>6</v>
      </c>
      <c r="V9" s="178">
        <f>SUMIF(Transbank!$A$2:$A$439,B9,Transbank!$L$2:$L$439)+(I9+M9)+(J9+N9)*EERR!$D$2</f>
        <v>782955.3</v>
      </c>
      <c r="W9" s="178">
        <f>V9/EERR!$D$2</f>
        <v>1243.7733121525021</v>
      </c>
      <c r="X9" s="178">
        <f t="shared" si="4"/>
        <v>-772.19999999995343</v>
      </c>
      <c r="Y9" s="178">
        <f t="shared" si="5"/>
        <v>0</v>
      </c>
      <c r="Z9" s="178">
        <f t="shared" si="6"/>
        <v>0</v>
      </c>
      <c r="AA9" s="169">
        <f>IFERROR(VLOOKUP(A9,#REF!,8,FALSE),0)</f>
        <v>0</v>
      </c>
      <c r="AB9" s="40">
        <f t="shared" si="7"/>
        <v>1245</v>
      </c>
    </row>
    <row r="10" spans="1:29" s="169" customFormat="1" ht="15" customHeight="1" x14ac:dyDescent="0.3">
      <c r="A10" s="306">
        <v>2643</v>
      </c>
      <c r="B10" s="306">
        <v>86677</v>
      </c>
      <c r="C10" s="307" t="s">
        <v>1159</v>
      </c>
      <c r="D10" s="307" t="s">
        <v>437</v>
      </c>
      <c r="E10" s="307">
        <v>1327586677</v>
      </c>
      <c r="F10" s="308">
        <v>43014</v>
      </c>
      <c r="G10" s="308">
        <v>43015</v>
      </c>
      <c r="H10" s="307">
        <v>1</v>
      </c>
      <c r="I10" s="309"/>
      <c r="J10" s="310"/>
      <c r="K10" s="309"/>
      <c r="L10" s="309"/>
      <c r="M10" s="309"/>
      <c r="N10" s="309"/>
      <c r="O10" s="309"/>
      <c r="P10" s="309">
        <v>220</v>
      </c>
      <c r="Q10" s="174">
        <f t="shared" si="2"/>
        <v>220</v>
      </c>
      <c r="R10" s="174">
        <f t="shared" si="3"/>
        <v>0</v>
      </c>
      <c r="S10" s="172">
        <f>IF(H10=0,(Q10+R10/EERR!$D$2/1.19),(Q10+R10/EERR!$D$2/1.19)/H10)</f>
        <v>220</v>
      </c>
      <c r="T10" s="174">
        <f>R10+Q10*EERR!$D$2</f>
        <v>138490</v>
      </c>
      <c r="U10" s="169">
        <f>IFERROR(VLOOKUP(E10,Booking!$B$2:$R$100,16,FALSE),0)</f>
        <v>1</v>
      </c>
      <c r="V10" s="178">
        <f>SUMIF(Transbank!$A$2:$A$439,B10,Transbank!$L$2:$L$439)+(I10+M10)+(J10+N10)*EERR!$D$2</f>
        <v>137618.79999999999</v>
      </c>
      <c r="W10" s="178">
        <f>V10/EERR!$D$2</f>
        <v>218.61604447974582</v>
      </c>
      <c r="X10" s="178">
        <f t="shared" si="4"/>
        <v>-871.20000000001164</v>
      </c>
      <c r="Y10" s="178">
        <f t="shared" si="5"/>
        <v>0</v>
      </c>
      <c r="Z10" s="178">
        <f t="shared" si="6"/>
        <v>0</v>
      </c>
      <c r="AA10" s="169">
        <f>IFERROR(VLOOKUP(A10,#REF!,8,FALSE),0)</f>
        <v>0</v>
      </c>
      <c r="AB10" s="40">
        <f t="shared" si="7"/>
        <v>220</v>
      </c>
    </row>
    <row r="11" spans="1:29" s="169" customFormat="1" ht="15" customHeight="1" x14ac:dyDescent="0.3">
      <c r="A11" s="306">
        <v>68965</v>
      </c>
      <c r="B11" s="306">
        <v>68965</v>
      </c>
      <c r="C11" s="307" t="s">
        <v>1165</v>
      </c>
      <c r="D11" s="307" t="s">
        <v>437</v>
      </c>
      <c r="E11" s="307">
        <v>1538168965</v>
      </c>
      <c r="F11" s="308">
        <v>43014</v>
      </c>
      <c r="G11" s="308">
        <v>43017</v>
      </c>
      <c r="H11" s="307">
        <v>3</v>
      </c>
      <c r="I11" s="309"/>
      <c r="J11" s="310"/>
      <c r="K11" s="309">
        <v>330391</v>
      </c>
      <c r="L11" s="309"/>
      <c r="M11" s="309"/>
      <c r="N11" s="309"/>
      <c r="O11" s="309">
        <v>161269</v>
      </c>
      <c r="P11" s="309"/>
      <c r="Q11" s="174">
        <f t="shared" si="2"/>
        <v>0</v>
      </c>
      <c r="R11" s="174">
        <f t="shared" si="3"/>
        <v>491660</v>
      </c>
      <c r="S11" s="172">
        <f>IF(H11=0,(Q11+R11/EERR!$D$2/1.19),(Q11+R11/EERR!$D$2/1.19)/H11)</f>
        <v>218.77662899949496</v>
      </c>
      <c r="T11" s="174">
        <f>R11+Q11*EERR!$D$2</f>
        <v>491660</v>
      </c>
      <c r="U11" s="169">
        <f>IFERROR(VLOOKUP(E11,Booking!$B$2:$R$100,16,FALSE),0)</f>
        <v>3</v>
      </c>
      <c r="V11" s="178">
        <f>SUMIF(Transbank!$A$2:$A$439,B11,Transbank!$L$2:$L$439)+(I11+M11)+(J11+N11)*EERR!$D$2</f>
        <v>491660</v>
      </c>
      <c r="W11" s="178">
        <f>V11/EERR!$D$2</f>
        <v>781.03256552819698</v>
      </c>
      <c r="X11" s="178">
        <f t="shared" si="4"/>
        <v>0</v>
      </c>
      <c r="Y11" s="178">
        <f t="shared" si="5"/>
        <v>277639.49579831935</v>
      </c>
      <c r="Z11" s="178">
        <f t="shared" si="6"/>
        <v>0</v>
      </c>
      <c r="AA11" s="169">
        <f>IFERROR(VLOOKUP(A11,#REF!,8,FALSE),0)</f>
        <v>0</v>
      </c>
      <c r="AB11" s="40">
        <f t="shared" si="7"/>
        <v>0</v>
      </c>
    </row>
    <row r="12" spans="1:29" s="169" customFormat="1" ht="15" customHeight="1" x14ac:dyDescent="0.3">
      <c r="A12" s="306">
        <v>10241</v>
      </c>
      <c r="B12" s="306">
        <v>10241</v>
      </c>
      <c r="C12" s="307" t="s">
        <v>1166</v>
      </c>
      <c r="D12" s="307" t="s">
        <v>437</v>
      </c>
      <c r="E12" s="307">
        <v>1411310241</v>
      </c>
      <c r="F12" s="308">
        <v>43014</v>
      </c>
      <c r="G12" s="308">
        <v>43018</v>
      </c>
      <c r="H12" s="307">
        <v>4</v>
      </c>
      <c r="I12" s="309"/>
      <c r="J12" s="310"/>
      <c r="K12" s="309">
        <v>476815</v>
      </c>
      <c r="L12" s="309"/>
      <c r="M12" s="309"/>
      <c r="N12" s="309"/>
      <c r="O12" s="309">
        <v>161269</v>
      </c>
      <c r="P12" s="309"/>
      <c r="Q12" s="174">
        <f t="shared" si="2"/>
        <v>0</v>
      </c>
      <c r="R12" s="174">
        <f t="shared" si="3"/>
        <v>638084</v>
      </c>
      <c r="S12" s="172">
        <f>IF(H12=0,(Q12+R12/EERR!$D$2/1.19),(Q12+R12/EERR!$D$2/1.19)/H12)</f>
        <v>212.94878555075724</v>
      </c>
      <c r="T12" s="174">
        <f>R12+Q12*EERR!$D$2</f>
        <v>638084</v>
      </c>
      <c r="U12" s="169">
        <f>IFERROR(VLOOKUP(E12,Booking!$B$2:$R$100,16,FALSE),0)</f>
        <v>4</v>
      </c>
      <c r="V12" s="178">
        <f>SUMIF(Transbank!$A$2:$A$439,B12,Transbank!$L$2:$L$439)+(I12+M12)+(J12+N12)*EERR!$D$2</f>
        <v>638084</v>
      </c>
      <c r="W12" s="178">
        <f>V12/EERR!$D$2</f>
        <v>1013.6362192216044</v>
      </c>
      <c r="X12" s="178">
        <f t="shared" si="4"/>
        <v>0</v>
      </c>
      <c r="Y12" s="178">
        <f t="shared" ref="Y12:Y46" si="8">(I12+K12+M12)/1.19</f>
        <v>400684.87394957984</v>
      </c>
      <c r="Z12" s="178">
        <f t="shared" ref="Z12:Z46" si="9">IF(AA12="b",(I12+K12+M12)*0.19,0)</f>
        <v>0</v>
      </c>
      <c r="AA12" s="169">
        <f>IFERROR(VLOOKUP(A12,#REF!,8,FALSE),0)</f>
        <v>0</v>
      </c>
      <c r="AB12" s="40">
        <f t="shared" ref="AB12:AB47" si="10">Q12-AA12</f>
        <v>0</v>
      </c>
    </row>
    <row r="13" spans="1:29" s="169" customFormat="1" ht="15" customHeight="1" x14ac:dyDescent="0.3">
      <c r="A13" s="306">
        <v>2649</v>
      </c>
      <c r="B13" s="306">
        <v>95306</v>
      </c>
      <c r="C13" s="307" t="s">
        <v>1168</v>
      </c>
      <c r="D13" s="307" t="s">
        <v>437</v>
      </c>
      <c r="E13" s="307">
        <v>1975995306</v>
      </c>
      <c r="F13" s="308">
        <v>43014</v>
      </c>
      <c r="G13" s="308">
        <v>43018</v>
      </c>
      <c r="H13" s="307">
        <v>4</v>
      </c>
      <c r="I13" s="309"/>
      <c r="J13" s="310"/>
      <c r="K13" s="309"/>
      <c r="L13" s="309">
        <v>635</v>
      </c>
      <c r="M13" s="309"/>
      <c r="N13" s="309"/>
      <c r="O13" s="309"/>
      <c r="P13" s="309">
        <v>220</v>
      </c>
      <c r="Q13" s="174">
        <f t="shared" si="2"/>
        <v>855</v>
      </c>
      <c r="R13" s="174">
        <f t="shared" si="3"/>
        <v>0</v>
      </c>
      <c r="S13" s="172">
        <f>IF(H13=0,(Q13+R13/EERR!$D$2/1.19),(Q13+R13/EERR!$D$2/1.19)/H13)</f>
        <v>213.75</v>
      </c>
      <c r="T13" s="174">
        <f>R13+Q13*EERR!$D$2</f>
        <v>538222.5</v>
      </c>
      <c r="U13" s="169">
        <f>IFERROR(VLOOKUP(E13,Booking!$B$2:$R$100,16,FALSE),0)</f>
        <v>4</v>
      </c>
      <c r="V13" s="178">
        <f>SUMIF(Transbank!$A$2:$A$439,B13,Transbank!$L$2:$L$439)+(I13+M13)+(J13+N13)*EERR!$D$2</f>
        <v>537351.30000000005</v>
      </c>
      <c r="W13" s="178">
        <f>V13/EERR!$D$2</f>
        <v>853.61604447974594</v>
      </c>
      <c r="X13" s="178">
        <f t="shared" si="4"/>
        <v>-871.19999999995343</v>
      </c>
      <c r="Y13" s="178">
        <f t="shared" si="8"/>
        <v>0</v>
      </c>
      <c r="Z13" s="178">
        <f t="shared" si="9"/>
        <v>0</v>
      </c>
      <c r="AA13" s="169">
        <f>IFERROR(VLOOKUP(A13,#REF!,8,FALSE),0)</f>
        <v>0</v>
      </c>
      <c r="AB13" s="40">
        <f t="shared" si="10"/>
        <v>855</v>
      </c>
    </row>
    <row r="14" spans="1:29" s="169" customFormat="1" ht="15" customHeight="1" x14ac:dyDescent="0.3">
      <c r="A14" s="306">
        <v>2645</v>
      </c>
      <c r="B14" s="306">
        <v>73580</v>
      </c>
      <c r="C14" s="307" t="s">
        <v>1169</v>
      </c>
      <c r="D14" s="307" t="s">
        <v>437</v>
      </c>
      <c r="E14" s="307">
        <v>1779473580</v>
      </c>
      <c r="F14" s="308">
        <v>43015</v>
      </c>
      <c r="G14" s="308">
        <v>43021</v>
      </c>
      <c r="H14" s="307">
        <v>6</v>
      </c>
      <c r="I14" s="309"/>
      <c r="J14" s="310"/>
      <c r="K14" s="309"/>
      <c r="L14" s="309">
        <v>1000</v>
      </c>
      <c r="M14" s="309"/>
      <c r="N14" s="309"/>
      <c r="O14" s="309"/>
      <c r="P14" s="309">
        <v>220</v>
      </c>
      <c r="Q14" s="174">
        <f t="shared" si="2"/>
        <v>1220</v>
      </c>
      <c r="R14" s="174">
        <f t="shared" si="3"/>
        <v>0</v>
      </c>
      <c r="S14" s="172">
        <f>IF(H14=0,(Q14+R14/EERR!$D$2/1.19),(Q14+R14/EERR!$D$2/1.19)/H14)</f>
        <v>203.33333333333334</v>
      </c>
      <c r="T14" s="174">
        <f>R14+Q14*EERR!$D$2</f>
        <v>767990</v>
      </c>
      <c r="U14" s="169">
        <f>IFERROR(VLOOKUP(E14,Booking!$B$2:$R$100,16,FALSE),0)</f>
        <v>6</v>
      </c>
      <c r="V14" s="178">
        <f>SUMIF(Transbank!$A$2:$A$439,B14,Transbank!$L$2:$L$439)+(I14+M14)+(J14+N14)*EERR!$D$2</f>
        <v>767118.8</v>
      </c>
      <c r="W14" s="178">
        <f>V14/EERR!$D$2</f>
        <v>1218.6160444797458</v>
      </c>
      <c r="X14" s="178">
        <f t="shared" si="4"/>
        <v>-871.19999999995343</v>
      </c>
      <c r="Y14" s="178">
        <f t="shared" si="8"/>
        <v>0</v>
      </c>
      <c r="Z14" s="178">
        <f t="shared" si="9"/>
        <v>0</v>
      </c>
      <c r="AA14" s="169">
        <f>IFERROR(VLOOKUP(A14,#REF!,8,FALSE),0)</f>
        <v>0</v>
      </c>
      <c r="AB14" s="40">
        <f t="shared" si="10"/>
        <v>1220</v>
      </c>
    </row>
    <row r="15" spans="1:29" s="169" customFormat="1" ht="15" customHeight="1" x14ac:dyDescent="0.3">
      <c r="A15" s="306">
        <v>2646</v>
      </c>
      <c r="B15" s="306">
        <v>75080</v>
      </c>
      <c r="C15" s="307" t="s">
        <v>1170</v>
      </c>
      <c r="D15" s="307" t="s">
        <v>437</v>
      </c>
      <c r="E15" s="307">
        <v>1108675080</v>
      </c>
      <c r="F15" s="308">
        <v>43015</v>
      </c>
      <c r="G15" s="308">
        <v>43021</v>
      </c>
      <c r="H15" s="307">
        <v>6</v>
      </c>
      <c r="I15" s="309"/>
      <c r="J15" s="310"/>
      <c r="K15" s="309"/>
      <c r="L15" s="309">
        <v>1000</v>
      </c>
      <c r="M15" s="309"/>
      <c r="N15" s="309"/>
      <c r="O15" s="309"/>
      <c r="P15" s="309">
        <v>220</v>
      </c>
      <c r="Q15" s="174">
        <f t="shared" si="2"/>
        <v>1220</v>
      </c>
      <c r="R15" s="174">
        <f t="shared" si="3"/>
        <v>0</v>
      </c>
      <c r="S15" s="172">
        <f>IF(H15=0,(Q15+R15/EERR!$D$2/1.19),(Q15+R15/EERR!$D$2/1.19)/H15)</f>
        <v>203.33333333333334</v>
      </c>
      <c r="T15" s="174">
        <f>R15+Q15*EERR!$D$2</f>
        <v>767990</v>
      </c>
      <c r="U15" s="169">
        <f>IFERROR(VLOOKUP(E15,Booking!$B$2:$R$100,16,FALSE),0)</f>
        <v>6</v>
      </c>
      <c r="V15" s="178">
        <f>SUMIF(Transbank!$A$2:$A$439,B15,Transbank!$L$2:$L$439)+(I15+M15)+(J15+N15)*EERR!$D$2</f>
        <v>767118.8</v>
      </c>
      <c r="W15" s="178">
        <f>V15/EERR!$D$2</f>
        <v>1218.6160444797458</v>
      </c>
      <c r="X15" s="178">
        <f t="shared" si="4"/>
        <v>-871.19999999995343</v>
      </c>
      <c r="Y15" s="178">
        <f t="shared" si="8"/>
        <v>0</v>
      </c>
      <c r="Z15" s="178">
        <f t="shared" si="9"/>
        <v>0</v>
      </c>
      <c r="AA15" s="169">
        <f>IFERROR(VLOOKUP(A15,#REF!,8,FALSE),0)</f>
        <v>0</v>
      </c>
      <c r="AB15" s="40">
        <f t="shared" si="10"/>
        <v>1220</v>
      </c>
    </row>
    <row r="16" spans="1:29" s="169" customFormat="1" ht="15" customHeight="1" x14ac:dyDescent="0.3">
      <c r="A16" s="306">
        <v>2647</v>
      </c>
      <c r="B16" s="306">
        <v>3352</v>
      </c>
      <c r="C16" s="307" t="s">
        <v>1171</v>
      </c>
      <c r="D16" s="307" t="s">
        <v>437</v>
      </c>
      <c r="E16" s="307">
        <v>1647403352</v>
      </c>
      <c r="F16" s="308">
        <v>43015</v>
      </c>
      <c r="G16" s="308">
        <v>43016</v>
      </c>
      <c r="H16" s="307">
        <v>1</v>
      </c>
      <c r="I16" s="309"/>
      <c r="J16" s="310"/>
      <c r="K16" s="309"/>
      <c r="L16" s="309"/>
      <c r="M16" s="309"/>
      <c r="N16" s="309"/>
      <c r="O16" s="309"/>
      <c r="P16" s="309">
        <v>220</v>
      </c>
      <c r="Q16" s="174">
        <f t="shared" si="2"/>
        <v>220</v>
      </c>
      <c r="R16" s="174">
        <f t="shared" si="3"/>
        <v>0</v>
      </c>
      <c r="S16" s="172">
        <f>IF(H16=0,(Q16+R16/EERR!$D$2/1.19),(Q16+R16/EERR!$D$2/1.19)/H16)</f>
        <v>220</v>
      </c>
      <c r="T16" s="174">
        <f>R16+Q16*EERR!$D$2</f>
        <v>138490</v>
      </c>
      <c r="U16" s="169">
        <f>IFERROR(VLOOKUP(E16,Booking!$B$2:$R$100,16,FALSE),0)</f>
        <v>1</v>
      </c>
      <c r="V16" s="178">
        <f>SUMIF(Transbank!$A$2:$A$439,B16,Transbank!$L$2:$L$439)+(I16+M16)+(J16+N16)*EERR!$D$2</f>
        <v>137618.79999999999</v>
      </c>
      <c r="W16" s="178">
        <f>V16/EERR!$D$2</f>
        <v>218.61604447974582</v>
      </c>
      <c r="X16" s="178">
        <f t="shared" si="4"/>
        <v>-871.20000000001164</v>
      </c>
      <c r="Y16" s="178">
        <f t="shared" si="8"/>
        <v>0</v>
      </c>
      <c r="Z16" s="178">
        <f t="shared" si="9"/>
        <v>0</v>
      </c>
      <c r="AA16" s="169">
        <f>IFERROR(VLOOKUP(A16,#REF!,8,FALSE),0)</f>
        <v>0</v>
      </c>
      <c r="AB16" s="40">
        <f t="shared" si="10"/>
        <v>220</v>
      </c>
    </row>
    <row r="17" spans="1:28" s="169" customFormat="1" ht="15" customHeight="1" x14ac:dyDescent="0.3">
      <c r="A17" s="306">
        <v>2648</v>
      </c>
      <c r="B17" s="306">
        <v>69187</v>
      </c>
      <c r="C17" s="307" t="s">
        <v>1172</v>
      </c>
      <c r="D17" s="307" t="s">
        <v>437</v>
      </c>
      <c r="E17" s="307">
        <v>1400169187</v>
      </c>
      <c r="F17" s="308">
        <v>43015</v>
      </c>
      <c r="G17" s="308">
        <v>43016</v>
      </c>
      <c r="H17" s="307">
        <v>1</v>
      </c>
      <c r="I17" s="309"/>
      <c r="J17" s="310"/>
      <c r="K17" s="309"/>
      <c r="L17" s="309"/>
      <c r="M17" s="309"/>
      <c r="N17" s="309"/>
      <c r="O17" s="309"/>
      <c r="P17" s="309">
        <v>220</v>
      </c>
      <c r="Q17" s="174">
        <f t="shared" si="2"/>
        <v>220</v>
      </c>
      <c r="R17" s="174">
        <f t="shared" si="3"/>
        <v>0</v>
      </c>
      <c r="S17" s="172">
        <f>IF(H17=0,(Q17+R17/EERR!$D$2/1.19),(Q17+R17/EERR!$D$2/1.19)/H17)</f>
        <v>220</v>
      </c>
      <c r="T17" s="174">
        <f>R17+Q17*EERR!$D$2</f>
        <v>138490</v>
      </c>
      <c r="U17" s="169">
        <f>IFERROR(VLOOKUP(E17,Booking!$B$2:$R$100,16,FALSE),0)</f>
        <v>1</v>
      </c>
      <c r="V17" s="178">
        <f>SUMIF(Transbank!$A$2:$A$439,B17,Transbank!$L$2:$L$439)+(I17+M17)+(J17+N17)*EERR!$D$2</f>
        <v>137618.79999999999</v>
      </c>
      <c r="W17" s="178">
        <f>V17/EERR!$D$2</f>
        <v>218.61604447974582</v>
      </c>
      <c r="X17" s="178">
        <f t="shared" si="4"/>
        <v>-871.20000000001164</v>
      </c>
      <c r="Y17" s="178">
        <f t="shared" si="8"/>
        <v>0</v>
      </c>
      <c r="Z17" s="178">
        <f t="shared" si="9"/>
        <v>0</v>
      </c>
      <c r="AA17" s="169">
        <f>IFERROR(VLOOKUP(A17,#REF!,8,FALSE),0)</f>
        <v>0</v>
      </c>
      <c r="AB17" s="40">
        <f t="shared" si="10"/>
        <v>220</v>
      </c>
    </row>
    <row r="18" spans="1:28" s="169" customFormat="1" ht="15" customHeight="1" x14ac:dyDescent="0.3">
      <c r="A18" s="306">
        <v>2650</v>
      </c>
      <c r="B18" s="306">
        <v>53723</v>
      </c>
      <c r="C18" s="307" t="s">
        <v>1173</v>
      </c>
      <c r="D18" s="307" t="s">
        <v>437</v>
      </c>
      <c r="E18" s="307">
        <v>1993053723</v>
      </c>
      <c r="F18" s="308">
        <v>43016</v>
      </c>
      <c r="G18" s="308">
        <v>43018</v>
      </c>
      <c r="H18" s="307">
        <v>2</v>
      </c>
      <c r="I18" s="309"/>
      <c r="J18" s="310">
        <v>195</v>
      </c>
      <c r="K18" s="309"/>
      <c r="L18" s="309"/>
      <c r="M18" s="309"/>
      <c r="N18" s="309"/>
      <c r="O18" s="309"/>
      <c r="P18" s="309">
        <v>220</v>
      </c>
      <c r="Q18" s="174">
        <f t="shared" si="2"/>
        <v>415</v>
      </c>
      <c r="R18" s="174">
        <f t="shared" si="3"/>
        <v>0</v>
      </c>
      <c r="S18" s="172">
        <f>IF(H18=0,(Q18+R18/EERR!$D$2/1.19),(Q18+R18/EERR!$D$2/1.19)/H18)</f>
        <v>207.5</v>
      </c>
      <c r="T18" s="174">
        <f>R18+Q18*EERR!$D$2</f>
        <v>261242.5</v>
      </c>
      <c r="U18" s="169">
        <f>IFERROR(VLOOKUP(E18,Booking!$B$2:$R$100,16,FALSE),0)</f>
        <v>2</v>
      </c>
      <c r="V18" s="178">
        <f>SUMIF(Transbank!$A$2:$A$439,B18,Transbank!$L$2:$L$439)+(I18+M18)+(J18+N18)*EERR!$D$2</f>
        <v>260371.3</v>
      </c>
      <c r="W18" s="178">
        <f>V18/EERR!$D$2</f>
        <v>413.61604447974582</v>
      </c>
      <c r="X18" s="178">
        <f t="shared" si="4"/>
        <v>-871.20000000001164</v>
      </c>
      <c r="Y18" s="178">
        <f t="shared" si="8"/>
        <v>0</v>
      </c>
      <c r="Z18" s="178">
        <f t="shared" si="9"/>
        <v>0</v>
      </c>
      <c r="AA18" s="169">
        <f>IFERROR(VLOOKUP(A18,#REF!,8,FALSE),0)</f>
        <v>0</v>
      </c>
      <c r="AB18" s="40">
        <f t="shared" si="10"/>
        <v>415</v>
      </c>
    </row>
    <row r="19" spans="1:28" s="169" customFormat="1" ht="15" customHeight="1" x14ac:dyDescent="0.3">
      <c r="A19" s="306">
        <v>2651</v>
      </c>
      <c r="B19" s="306">
        <v>59192</v>
      </c>
      <c r="C19" s="307" t="s">
        <v>1174</v>
      </c>
      <c r="D19" s="307" t="s">
        <v>437</v>
      </c>
      <c r="E19" s="307">
        <v>1700859192</v>
      </c>
      <c r="F19" s="308">
        <v>43016</v>
      </c>
      <c r="G19" s="308">
        <v>43021</v>
      </c>
      <c r="H19" s="307">
        <v>10</v>
      </c>
      <c r="I19" s="309"/>
      <c r="J19" s="310"/>
      <c r="K19" s="309"/>
      <c r="L19" s="309">
        <v>1560</v>
      </c>
      <c r="M19" s="309"/>
      <c r="N19" s="309"/>
      <c r="O19" s="309"/>
      <c r="P19" s="309">
        <v>440</v>
      </c>
      <c r="Q19" s="174">
        <f t="shared" si="2"/>
        <v>2000</v>
      </c>
      <c r="R19" s="174">
        <f t="shared" si="3"/>
        <v>0</v>
      </c>
      <c r="S19" s="172">
        <f>IF(H19=0,(Q19+R19/EERR!$D$2/1.19),(Q19+R19/EERR!$D$2/1.19)/H19)</f>
        <v>200</v>
      </c>
      <c r="T19" s="174">
        <f>R19+Q19*EERR!$D$2</f>
        <v>1259000</v>
      </c>
      <c r="U19" s="169">
        <f>IFERROR(VLOOKUP(E19,Booking!$B$2:$R$100,16,FALSE),0)</f>
        <v>10</v>
      </c>
      <c r="V19" s="178">
        <f>SUMIF(Transbank!$A$2:$A$439,B19,Transbank!$L$2:$L$439)+(I19+M19)+(J19+N19)*EERR!$D$2</f>
        <v>1257257.6000000001</v>
      </c>
      <c r="W19" s="178">
        <f>V19/EERR!$D$2</f>
        <v>1997.2320889594919</v>
      </c>
      <c r="X19" s="178">
        <f t="shared" si="4"/>
        <v>-1742.3999999999069</v>
      </c>
      <c r="Y19" s="178">
        <f t="shared" si="8"/>
        <v>0</v>
      </c>
      <c r="Z19" s="178">
        <f t="shared" si="9"/>
        <v>0</v>
      </c>
      <c r="AA19" s="169">
        <f>IFERROR(VLOOKUP(A19,#REF!,8,FALSE),0)</f>
        <v>0</v>
      </c>
      <c r="AB19" s="40">
        <f t="shared" si="10"/>
        <v>2000</v>
      </c>
    </row>
    <row r="20" spans="1:28" s="169" customFormat="1" ht="15" customHeight="1" x14ac:dyDescent="0.3">
      <c r="A20" s="306">
        <v>2652</v>
      </c>
      <c r="B20" s="306">
        <v>76220</v>
      </c>
      <c r="C20" s="307" t="s">
        <v>1175</v>
      </c>
      <c r="D20" s="307" t="s">
        <v>437</v>
      </c>
      <c r="E20" s="307">
        <v>2029176220</v>
      </c>
      <c r="F20" s="308">
        <v>43017</v>
      </c>
      <c r="G20" s="308">
        <v>43020</v>
      </c>
      <c r="H20" s="307">
        <v>3</v>
      </c>
      <c r="I20" s="309"/>
      <c r="J20" s="310"/>
      <c r="K20" s="309"/>
      <c r="L20" s="309">
        <v>195</v>
      </c>
      <c r="M20" s="309"/>
      <c r="N20" s="309"/>
      <c r="O20" s="309"/>
      <c r="P20" s="309">
        <v>390</v>
      </c>
      <c r="Q20" s="174">
        <f t="shared" si="2"/>
        <v>585</v>
      </c>
      <c r="R20" s="174">
        <f t="shared" si="3"/>
        <v>0</v>
      </c>
      <c r="S20" s="172">
        <f>IF(H20=0,(Q20+R20/EERR!$D$2/1.19),(Q20+R20/EERR!$D$2/1.19)/H20)</f>
        <v>195</v>
      </c>
      <c r="T20" s="174">
        <f>R20+Q20*EERR!$D$2</f>
        <v>368257.5</v>
      </c>
      <c r="U20" s="169">
        <f>IFERROR(VLOOKUP(E20,Booking!$B$2:$R$100,16,FALSE),0)</f>
        <v>3</v>
      </c>
      <c r="V20" s="178">
        <f>SUMIF(Transbank!$A$2:$A$439,B20,Transbank!$L$2:$L$439)+(I20+M20)+(J20+N20)*EERR!$D$2</f>
        <v>366713.1</v>
      </c>
      <c r="W20" s="178">
        <f>V20/EERR!$D$2</f>
        <v>582.54662430500389</v>
      </c>
      <c r="X20" s="178">
        <f t="shared" si="4"/>
        <v>-1544.4000000000233</v>
      </c>
      <c r="Y20" s="178">
        <f t="shared" si="8"/>
        <v>0</v>
      </c>
      <c r="Z20" s="178">
        <f t="shared" si="9"/>
        <v>0</v>
      </c>
      <c r="AA20" s="169">
        <f>IFERROR(VLOOKUP(A20,#REF!,8,FALSE),0)</f>
        <v>0</v>
      </c>
      <c r="AB20" s="40">
        <f t="shared" si="10"/>
        <v>585</v>
      </c>
    </row>
    <row r="21" spans="1:28" s="169" customFormat="1" ht="15" customHeight="1" x14ac:dyDescent="0.3">
      <c r="A21" s="306">
        <v>2654</v>
      </c>
      <c r="B21" s="312">
        <v>14853</v>
      </c>
      <c r="C21" s="307" t="s">
        <v>1177</v>
      </c>
      <c r="D21" s="307" t="s">
        <v>437</v>
      </c>
      <c r="E21" s="307">
        <v>1307314853</v>
      </c>
      <c r="F21" s="308">
        <v>43020</v>
      </c>
      <c r="G21" s="308">
        <v>43025</v>
      </c>
      <c r="H21" s="307">
        <v>5</v>
      </c>
      <c r="I21" s="309"/>
      <c r="J21" s="310">
        <v>780</v>
      </c>
      <c r="K21" s="309"/>
      <c r="L21" s="309"/>
      <c r="M21" s="309"/>
      <c r="N21" s="309"/>
      <c r="O21" s="309"/>
      <c r="P21" s="309">
        <v>195</v>
      </c>
      <c r="Q21" s="174">
        <f t="shared" si="2"/>
        <v>975</v>
      </c>
      <c r="R21" s="174">
        <f t="shared" si="3"/>
        <v>0</v>
      </c>
      <c r="S21" s="172">
        <f>IF(H21=0,(Q21+R21/EERR!$D$2/1.19),(Q21+R21/EERR!$D$2/1.19)/H21)</f>
        <v>195</v>
      </c>
      <c r="T21" s="174">
        <f>R21+Q21*EERR!$D$2</f>
        <v>613762.5</v>
      </c>
      <c r="U21" s="169">
        <f>IFERROR(VLOOKUP(E21,Booking!$B$2:$R$100,16,FALSE),0)</f>
        <v>5</v>
      </c>
      <c r="V21" s="178">
        <f>SUMIF(Transbank!$A$2:$A$439,B21,Transbank!$L$2:$L$439)+(I21+M21)+(J21+N21)*EERR!$D$2</f>
        <v>612990.30000000005</v>
      </c>
      <c r="W21" s="178">
        <f>V21/EERR!$D$2</f>
        <v>973.77331215250206</v>
      </c>
      <c r="X21" s="178">
        <f t="shared" si="4"/>
        <v>-772.19999999995343</v>
      </c>
      <c r="Y21" s="178">
        <f t="shared" si="8"/>
        <v>0</v>
      </c>
      <c r="Z21" s="178">
        <f t="shared" si="9"/>
        <v>0</v>
      </c>
      <c r="AA21" s="169">
        <f>IFERROR(VLOOKUP(A21,#REF!,8,FALSE),0)</f>
        <v>0</v>
      </c>
      <c r="AB21" s="40">
        <f t="shared" si="10"/>
        <v>975</v>
      </c>
    </row>
    <row r="22" spans="1:28" s="169" customFormat="1" x14ac:dyDescent="0.3">
      <c r="A22" s="306">
        <v>25097</v>
      </c>
      <c r="B22" s="306">
        <v>25097</v>
      </c>
      <c r="C22" s="307" t="s">
        <v>1178</v>
      </c>
      <c r="D22" s="307" t="s">
        <v>437</v>
      </c>
      <c r="E22" s="307">
        <v>1062725097</v>
      </c>
      <c r="F22" s="308">
        <v>43021</v>
      </c>
      <c r="G22" s="308">
        <v>43024</v>
      </c>
      <c r="H22" s="307">
        <v>3</v>
      </c>
      <c r="I22" s="309"/>
      <c r="J22" s="310"/>
      <c r="K22" s="309">
        <v>290990</v>
      </c>
      <c r="L22" s="309"/>
      <c r="M22" s="309"/>
      <c r="N22" s="309"/>
      <c r="O22" s="309">
        <v>146888</v>
      </c>
      <c r="P22" s="309"/>
      <c r="Q22" s="174">
        <f t="shared" si="2"/>
        <v>0</v>
      </c>
      <c r="R22" s="174">
        <f t="shared" si="3"/>
        <v>437878</v>
      </c>
      <c r="S22" s="172">
        <f>IF(H22=0,(Q22+R22/EERR!$D$2/1.19),(Q22+R22/EERR!$D$2/1.19)/H22)</f>
        <v>194.84495942936348</v>
      </c>
      <c r="T22" s="174">
        <f>R22+Q22*EERR!$D$2</f>
        <v>437878</v>
      </c>
      <c r="U22" s="169">
        <f>IFERROR(VLOOKUP(E22,Booking!$B$2:$R$100,16,FALSE),0)</f>
        <v>3</v>
      </c>
      <c r="V22" s="178">
        <f>SUMIF(Transbank!$A$2:$A$439,B22,Transbank!$L$2:$L$439)+(I22+M22)+(J22+N22)*EERR!$D$2</f>
        <v>442878</v>
      </c>
      <c r="W22" s="178">
        <f>V22/EERR!$D$2</f>
        <v>703.539316918189</v>
      </c>
      <c r="X22" s="178">
        <f t="shared" si="4"/>
        <v>5000</v>
      </c>
      <c r="Y22" s="178">
        <f t="shared" si="8"/>
        <v>244529.4117647059</v>
      </c>
      <c r="Z22" s="178">
        <f t="shared" si="9"/>
        <v>0</v>
      </c>
      <c r="AA22" s="169">
        <f>IFERROR(VLOOKUP(A22,#REF!,8,FALSE),0)</f>
        <v>0</v>
      </c>
      <c r="AB22" s="40">
        <f t="shared" si="10"/>
        <v>0</v>
      </c>
    </row>
    <row r="23" spans="1:28" s="169" customFormat="1" ht="15" customHeight="1" x14ac:dyDescent="0.3">
      <c r="A23" s="306">
        <v>59360</v>
      </c>
      <c r="B23" s="306">
        <v>59360</v>
      </c>
      <c r="C23" s="307" t="s">
        <v>1179</v>
      </c>
      <c r="D23" s="307" t="s">
        <v>437</v>
      </c>
      <c r="E23" s="307">
        <v>1546459360</v>
      </c>
      <c r="F23" s="308">
        <v>43021</v>
      </c>
      <c r="G23" s="308">
        <v>43023</v>
      </c>
      <c r="H23" s="307">
        <v>2</v>
      </c>
      <c r="I23" s="309"/>
      <c r="J23" s="310"/>
      <c r="K23" s="309">
        <v>145495</v>
      </c>
      <c r="L23" s="309"/>
      <c r="M23" s="309"/>
      <c r="N23" s="309"/>
      <c r="O23" s="309">
        <v>145495</v>
      </c>
      <c r="P23" s="309"/>
      <c r="Q23" s="174">
        <f t="shared" si="2"/>
        <v>0</v>
      </c>
      <c r="R23" s="174">
        <f t="shared" si="3"/>
        <v>290990</v>
      </c>
      <c r="S23" s="172">
        <f>IF(H23=0,(Q23+R23/EERR!$D$2/1.19),(Q23+R23/EERR!$D$2/1.19)/H23)</f>
        <v>194.22510862963136</v>
      </c>
      <c r="T23" s="174">
        <f>R23+Q23*EERR!$D$2</f>
        <v>290990</v>
      </c>
      <c r="U23" s="169">
        <f>IFERROR(VLOOKUP(E23,Booking!$B$2:$R$100,16,FALSE),0)</f>
        <v>2</v>
      </c>
      <c r="V23" s="178">
        <f>SUMIF(Transbank!$A$2:$A$439,B23,Transbank!$L$2:$L$439)+(I23+M23)+(J23+N23)*EERR!$D$2</f>
        <v>290990</v>
      </c>
      <c r="W23" s="178">
        <f>V23/EERR!$D$2</f>
        <v>462.25575853852263</v>
      </c>
      <c r="X23" s="178">
        <f t="shared" si="4"/>
        <v>0</v>
      </c>
      <c r="Y23" s="178">
        <f t="shared" si="8"/>
        <v>122264.70588235295</v>
      </c>
      <c r="Z23" s="178">
        <f t="shared" si="9"/>
        <v>0</v>
      </c>
      <c r="AA23" s="169">
        <f>IFERROR(VLOOKUP(A23,#REF!,8,FALSE),0)</f>
        <v>0</v>
      </c>
      <c r="AB23" s="40">
        <f t="shared" si="10"/>
        <v>0</v>
      </c>
    </row>
    <row r="24" spans="1:28" s="169" customFormat="1" ht="15" customHeight="1" x14ac:dyDescent="0.3">
      <c r="A24" s="306">
        <v>52567</v>
      </c>
      <c r="B24" s="306">
        <v>52567</v>
      </c>
      <c r="C24" s="307" t="s">
        <v>1180</v>
      </c>
      <c r="D24" s="307" t="s">
        <v>437</v>
      </c>
      <c r="E24" s="307">
        <v>1618352567</v>
      </c>
      <c r="F24" s="308">
        <v>43021</v>
      </c>
      <c r="G24" s="308">
        <v>43024</v>
      </c>
      <c r="H24" s="311">
        <v>3</v>
      </c>
      <c r="I24" s="309"/>
      <c r="J24" s="310"/>
      <c r="K24" s="309">
        <v>290990</v>
      </c>
      <c r="L24" s="309"/>
      <c r="M24" s="309"/>
      <c r="N24" s="309"/>
      <c r="O24" s="309">
        <v>144799</v>
      </c>
      <c r="P24" s="309"/>
      <c r="Q24" s="174">
        <f t="shared" si="2"/>
        <v>0</v>
      </c>
      <c r="R24" s="174">
        <f t="shared" si="3"/>
        <v>435789</v>
      </c>
      <c r="S24" s="172">
        <f>IF(H24=0,(Q24+R24/EERR!$D$2/1.19),(Q24+R24/EERR!$D$2/1.19)/H24)</f>
        <v>193.91540571748956</v>
      </c>
      <c r="T24" s="174">
        <f>R24+Q24*EERR!$D$2</f>
        <v>435789</v>
      </c>
      <c r="U24" s="169">
        <f>IFERROR(VLOOKUP(E24,Booking!$B$2:$R$100,16,FALSE),0)</f>
        <v>3</v>
      </c>
      <c r="V24" s="178">
        <f>SUMIF(Transbank!$A$2:$A$439,B24,Transbank!$L$2:$L$439)+(I24+M24)+(J24+N24)*EERR!$D$2</f>
        <v>435789</v>
      </c>
      <c r="W24" s="178">
        <f>V24/EERR!$D$2</f>
        <v>692.27799841143769</v>
      </c>
      <c r="X24" s="178">
        <f t="shared" si="4"/>
        <v>0</v>
      </c>
      <c r="Y24" s="178">
        <f t="shared" si="8"/>
        <v>244529.4117647059</v>
      </c>
      <c r="Z24" s="178">
        <f t="shared" si="9"/>
        <v>0</v>
      </c>
      <c r="AA24" s="169">
        <f>IFERROR(VLOOKUP(A24,#REF!,8,FALSE),0)</f>
        <v>0</v>
      </c>
      <c r="AB24" s="40">
        <f t="shared" si="10"/>
        <v>0</v>
      </c>
    </row>
    <row r="25" spans="1:28" s="169" customFormat="1" ht="15" customHeight="1" x14ac:dyDescent="0.3">
      <c r="A25" s="306">
        <v>98885</v>
      </c>
      <c r="B25" s="306">
        <v>98885</v>
      </c>
      <c r="C25" s="307" t="s">
        <v>1181</v>
      </c>
      <c r="D25" s="307" t="s">
        <v>437</v>
      </c>
      <c r="E25" s="307">
        <v>1213398885</v>
      </c>
      <c r="F25" s="308">
        <v>43021</v>
      </c>
      <c r="G25" s="308">
        <v>43023</v>
      </c>
      <c r="H25" s="307">
        <v>2</v>
      </c>
      <c r="I25" s="309"/>
      <c r="J25" s="310"/>
      <c r="K25" s="309">
        <v>130945</v>
      </c>
      <c r="L25" s="309"/>
      <c r="M25" s="309"/>
      <c r="N25" s="309"/>
      <c r="O25" s="309">
        <v>130945</v>
      </c>
      <c r="P25" s="309"/>
      <c r="Q25" s="174">
        <f t="shared" si="2"/>
        <v>0</v>
      </c>
      <c r="R25" s="174">
        <f t="shared" si="3"/>
        <v>261890</v>
      </c>
      <c r="S25" s="172">
        <f>IF(H25=0,(Q25+R25/EERR!$D$2/1.19),(Q25+R25/EERR!$D$2/1.19)/H25)</f>
        <v>174.80193030349551</v>
      </c>
      <c r="T25" s="174">
        <f>R25+Q25*EERR!$D$2</f>
        <v>261890</v>
      </c>
      <c r="U25" s="169">
        <f>IFERROR(VLOOKUP(E25,Booking!$B$2:$R$100,16,FALSE),0)</f>
        <v>2</v>
      </c>
      <c r="V25" s="178">
        <f>SUMIF(Transbank!$A$2:$A$439,B25,Transbank!$L$2:$L$439)+(I25+M25)+(J25+N25)*EERR!$D$2</f>
        <v>261890</v>
      </c>
      <c r="W25" s="178">
        <f>V25/EERR!$D$2</f>
        <v>416.0285941223193</v>
      </c>
      <c r="X25" s="178">
        <f t="shared" si="4"/>
        <v>0</v>
      </c>
      <c r="Y25" s="178">
        <f t="shared" si="8"/>
        <v>110037.81512605042</v>
      </c>
      <c r="Z25" s="178">
        <f t="shared" si="9"/>
        <v>0</v>
      </c>
      <c r="AA25" s="169">
        <f>IFERROR(VLOOKUP(A25,#REF!,8,FALSE),0)</f>
        <v>0</v>
      </c>
      <c r="AB25" s="40">
        <f t="shared" si="10"/>
        <v>0</v>
      </c>
    </row>
    <row r="26" spans="1:28" s="169" customFormat="1" x14ac:dyDescent="0.3">
      <c r="A26" s="306">
        <v>2661</v>
      </c>
      <c r="B26" s="306">
        <v>1807</v>
      </c>
      <c r="C26" s="307" t="s">
        <v>1182</v>
      </c>
      <c r="D26" s="307" t="s">
        <v>437</v>
      </c>
      <c r="E26" s="307">
        <v>1401301807</v>
      </c>
      <c r="F26" s="308">
        <v>43022</v>
      </c>
      <c r="G26" s="308">
        <v>43025</v>
      </c>
      <c r="H26" s="307">
        <v>6</v>
      </c>
      <c r="I26" s="309"/>
      <c r="J26" s="310"/>
      <c r="K26" s="309"/>
      <c r="L26" s="309">
        <v>702</v>
      </c>
      <c r="M26" s="309"/>
      <c r="N26" s="309"/>
      <c r="O26" s="309"/>
      <c r="P26" s="309">
        <v>351</v>
      </c>
      <c r="Q26" s="174">
        <f t="shared" si="2"/>
        <v>1053</v>
      </c>
      <c r="R26" s="174">
        <f t="shared" si="3"/>
        <v>0</v>
      </c>
      <c r="S26" s="172">
        <f>IF(H26=0,(Q26+R26/EERR!$D$2/1.19),(Q26+R26/EERR!$D$2/1.19)/H26)</f>
        <v>175.5</v>
      </c>
      <c r="T26" s="174">
        <f>R26+Q26*EERR!$D$2</f>
        <v>662863.5</v>
      </c>
      <c r="U26" s="169">
        <f>IFERROR(VLOOKUP(E26,Booking!$B$2:$R$100,16,FALSE),0)</f>
        <v>6</v>
      </c>
      <c r="V26" s="178">
        <f>SUMIF(Transbank!$A$2:$A$439,B26,Transbank!$L$2:$L$439)+(I26+M26)+(J26+N26)*EERR!$D$2</f>
        <v>661473.54</v>
      </c>
      <c r="W26" s="178">
        <f>V26/EERR!$D$2</f>
        <v>1050.7919618745036</v>
      </c>
      <c r="X26" s="178">
        <f t="shared" si="4"/>
        <v>-1389.9599999999627</v>
      </c>
      <c r="Y26" s="178">
        <f t="shared" si="8"/>
        <v>0</v>
      </c>
      <c r="Z26" s="178">
        <f t="shared" si="9"/>
        <v>0</v>
      </c>
      <c r="AA26" s="169">
        <f>IFERROR(VLOOKUP(A26,#REF!,8,FALSE),0)</f>
        <v>0</v>
      </c>
      <c r="AB26" s="40">
        <f t="shared" si="10"/>
        <v>1053</v>
      </c>
    </row>
    <row r="27" spans="1:28" s="169" customFormat="1" ht="15" customHeight="1" x14ac:dyDescent="0.3">
      <c r="A27" s="306">
        <v>91357</v>
      </c>
      <c r="B27" s="306">
        <v>91357</v>
      </c>
      <c r="C27" s="307" t="s">
        <v>1183</v>
      </c>
      <c r="D27" s="307" t="s">
        <v>437</v>
      </c>
      <c r="E27" s="307">
        <v>1917391357</v>
      </c>
      <c r="F27" s="308">
        <v>43024</v>
      </c>
      <c r="G27" s="308">
        <v>43025</v>
      </c>
      <c r="H27" s="307">
        <v>1</v>
      </c>
      <c r="I27" s="309"/>
      <c r="J27" s="310"/>
      <c r="K27" s="309"/>
      <c r="L27" s="309"/>
      <c r="M27" s="309"/>
      <c r="N27" s="309"/>
      <c r="O27" s="309">
        <v>144355</v>
      </c>
      <c r="P27" s="309"/>
      <c r="Q27" s="174">
        <f t="shared" si="2"/>
        <v>0</v>
      </c>
      <c r="R27" s="174">
        <f t="shared" si="3"/>
        <v>144355</v>
      </c>
      <c r="S27" s="172">
        <f>IF(H27=0,(Q27+R27/EERR!$D$2/1.19),(Q27+R27/EERR!$D$2/1.19)/H27)</f>
        <v>192.70329259583102</v>
      </c>
      <c r="T27" s="174">
        <f>R27+Q27*EERR!$D$2</f>
        <v>144355</v>
      </c>
      <c r="U27" s="169">
        <f>IFERROR(VLOOKUP(E27,Booking!$B$2:$R$100,16,FALSE),0)</f>
        <v>1</v>
      </c>
      <c r="V27" s="178">
        <f>SUMIF(Transbank!$A$2:$A$439,B27,Transbank!$L$2:$L$439)+(I27+M27)+(J27+N27)*EERR!$D$2</f>
        <v>144335</v>
      </c>
      <c r="W27" s="178">
        <f>V27/EERR!$D$2</f>
        <v>229.28514694201746</v>
      </c>
      <c r="X27" s="178">
        <f t="shared" si="4"/>
        <v>-20</v>
      </c>
      <c r="Y27" s="178">
        <f t="shared" si="8"/>
        <v>0</v>
      </c>
      <c r="Z27" s="178">
        <f t="shared" si="9"/>
        <v>0</v>
      </c>
      <c r="AA27" s="169">
        <f>IFERROR(VLOOKUP(A27,#REF!,8,FALSE),0)</f>
        <v>0</v>
      </c>
      <c r="AB27" s="40">
        <f t="shared" si="10"/>
        <v>0</v>
      </c>
    </row>
    <row r="28" spans="1:28" s="169" customFormat="1" ht="15" customHeight="1" x14ac:dyDescent="0.3">
      <c r="A28" s="306">
        <v>2667</v>
      </c>
      <c r="B28" s="306">
        <v>49529</v>
      </c>
      <c r="C28" s="307" t="s">
        <v>1184</v>
      </c>
      <c r="D28" s="307" t="s">
        <v>437</v>
      </c>
      <c r="E28" s="307">
        <v>1812649529</v>
      </c>
      <c r="F28" s="308">
        <v>43024</v>
      </c>
      <c r="G28" s="308">
        <v>43029</v>
      </c>
      <c r="H28" s="307">
        <v>5</v>
      </c>
      <c r="I28" s="309"/>
      <c r="J28" s="310"/>
      <c r="K28" s="309"/>
      <c r="L28" s="309">
        <v>975</v>
      </c>
      <c r="M28" s="309"/>
      <c r="N28" s="309"/>
      <c r="O28" s="309"/>
      <c r="P28" s="309"/>
      <c r="Q28" s="174">
        <f t="shared" si="2"/>
        <v>975</v>
      </c>
      <c r="R28" s="174">
        <f t="shared" si="3"/>
        <v>0</v>
      </c>
      <c r="S28" s="172">
        <f>IF(H28=0,(Q28+R28/EERR!$D$2/1.19),(Q28+R28/EERR!$D$2/1.19)/H28)</f>
        <v>195</v>
      </c>
      <c r="T28" s="174">
        <f>R28+Q28*EERR!$D$2</f>
        <v>613762.5</v>
      </c>
      <c r="U28" s="169">
        <f>IFERROR(VLOOKUP(E28,Booking!$B$2:$R$100,16,FALSE),0)</f>
        <v>10</v>
      </c>
      <c r="V28" s="178">
        <f>SUMIF(Transbank!$A$2:$A$439,B28,Transbank!$L$2:$L$439)+(I28+M28)+(J28+N28)*EERR!$D$2</f>
        <v>1226752.8</v>
      </c>
      <c r="W28" s="178">
        <f>V28/EERR!$D$2</f>
        <v>1948.7733121525021</v>
      </c>
      <c r="X28" s="178">
        <f t="shared" si="4"/>
        <v>612990.30000000005</v>
      </c>
      <c r="Y28" s="178">
        <f t="shared" si="8"/>
        <v>0</v>
      </c>
      <c r="Z28" s="178">
        <f t="shared" si="9"/>
        <v>0</v>
      </c>
      <c r="AA28" s="169">
        <f>IFERROR(VLOOKUP(A28,#REF!,8,FALSE),0)</f>
        <v>0</v>
      </c>
      <c r="AB28" s="40">
        <f t="shared" si="10"/>
        <v>975</v>
      </c>
    </row>
    <row r="29" spans="1:28" s="169" customFormat="1" x14ac:dyDescent="0.3">
      <c r="A29" s="306">
        <v>2668</v>
      </c>
      <c r="B29" s="306">
        <v>49529</v>
      </c>
      <c r="C29" s="307" t="s">
        <v>1185</v>
      </c>
      <c r="D29" s="307" t="s">
        <v>437</v>
      </c>
      <c r="E29" s="307">
        <v>1812649529</v>
      </c>
      <c r="F29" s="308">
        <v>43024</v>
      </c>
      <c r="G29" s="308">
        <v>43029</v>
      </c>
      <c r="H29" s="307">
        <v>5</v>
      </c>
      <c r="I29" s="309"/>
      <c r="J29" s="310"/>
      <c r="K29" s="309"/>
      <c r="L29" s="309">
        <v>780</v>
      </c>
      <c r="M29" s="309"/>
      <c r="N29" s="309"/>
      <c r="O29" s="309"/>
      <c r="P29" s="309">
        <v>195</v>
      </c>
      <c r="Q29" s="174">
        <f t="shared" si="2"/>
        <v>975</v>
      </c>
      <c r="R29" s="174">
        <f t="shared" si="3"/>
        <v>0</v>
      </c>
      <c r="S29" s="172">
        <f>IF(H29=0,(Q29+R29/EERR!$D$2/1.19),(Q29+R29/EERR!$D$2/1.19)/H29)</f>
        <v>195</v>
      </c>
      <c r="T29" s="174">
        <f>R29+Q29*EERR!$D$2</f>
        <v>613762.5</v>
      </c>
      <c r="V29" s="178"/>
      <c r="W29" s="178">
        <f>V29/EERR!$D$2</f>
        <v>0</v>
      </c>
      <c r="X29" s="178">
        <f t="shared" si="4"/>
        <v>-613762.5</v>
      </c>
      <c r="Y29" s="178">
        <f t="shared" si="8"/>
        <v>0</v>
      </c>
      <c r="Z29" s="178">
        <f t="shared" si="9"/>
        <v>0</v>
      </c>
      <c r="AA29" s="169">
        <f>IFERROR(VLOOKUP(A29,#REF!,8,FALSE),0)</f>
        <v>0</v>
      </c>
      <c r="AB29" s="40">
        <f t="shared" si="10"/>
        <v>975</v>
      </c>
    </row>
    <row r="30" spans="1:28" s="169" customFormat="1" ht="15" customHeight="1" x14ac:dyDescent="0.3">
      <c r="A30" s="306">
        <v>2663</v>
      </c>
      <c r="B30" s="306">
        <v>77608</v>
      </c>
      <c r="C30" s="307" t="s">
        <v>1186</v>
      </c>
      <c r="D30" s="307" t="s">
        <v>437</v>
      </c>
      <c r="E30" s="307">
        <v>1056077608</v>
      </c>
      <c r="F30" s="308">
        <v>43025</v>
      </c>
      <c r="G30" s="308">
        <v>43026</v>
      </c>
      <c r="H30" s="307">
        <v>1</v>
      </c>
      <c r="I30" s="309"/>
      <c r="J30" s="310"/>
      <c r="K30" s="309"/>
      <c r="L30" s="309"/>
      <c r="M30" s="309"/>
      <c r="N30" s="309"/>
      <c r="O30" s="309"/>
      <c r="P30" s="309">
        <v>195</v>
      </c>
      <c r="Q30" s="174">
        <f t="shared" si="2"/>
        <v>195</v>
      </c>
      <c r="R30" s="174">
        <f t="shared" si="3"/>
        <v>0</v>
      </c>
      <c r="S30" s="172">
        <f>IF(H30=0,(Q30+R30/EERR!$D$2/1.19),(Q30+R30/EERR!$D$2/1.19)/H30)</f>
        <v>195</v>
      </c>
      <c r="T30" s="174">
        <f>R30+Q30*EERR!$D$2</f>
        <v>122752.5</v>
      </c>
      <c r="U30" s="169">
        <f>IFERROR(VLOOKUP(E30,Booking!$B$2:$R$100,16,FALSE),0)</f>
        <v>1</v>
      </c>
      <c r="V30" s="178">
        <f>SUMIF(Transbank!$A$2:$A$439,B30,Transbank!$L$2:$L$439)+(I30+M30)+(J30+N30)*EERR!$D$2</f>
        <v>121980.29999999999</v>
      </c>
      <c r="W30" s="178">
        <f>V30/EERR!$D$2</f>
        <v>193.77331215250197</v>
      </c>
      <c r="X30" s="178">
        <f t="shared" si="4"/>
        <v>-772.20000000001164</v>
      </c>
      <c r="Y30" s="178">
        <f t="shared" si="8"/>
        <v>0</v>
      </c>
      <c r="Z30" s="178">
        <f t="shared" si="9"/>
        <v>0</v>
      </c>
      <c r="AA30" s="169">
        <f>IFERROR(VLOOKUP(A30,#REF!,8,FALSE),0)</f>
        <v>0</v>
      </c>
      <c r="AB30" s="40">
        <f t="shared" si="10"/>
        <v>195</v>
      </c>
    </row>
    <row r="31" spans="1:28" s="169" customFormat="1" x14ac:dyDescent="0.3">
      <c r="A31" s="306">
        <v>2664</v>
      </c>
      <c r="B31" s="306">
        <v>80184</v>
      </c>
      <c r="C31" s="307" t="s">
        <v>1187</v>
      </c>
      <c r="D31" s="307" t="s">
        <v>437</v>
      </c>
      <c r="E31" s="307">
        <v>1670880184</v>
      </c>
      <c r="F31" s="308">
        <v>43025</v>
      </c>
      <c r="G31" s="308">
        <v>43026</v>
      </c>
      <c r="H31" s="307">
        <v>1</v>
      </c>
      <c r="I31" s="309"/>
      <c r="J31" s="310"/>
      <c r="K31" s="309"/>
      <c r="L31" s="309"/>
      <c r="M31" s="309"/>
      <c r="N31" s="309"/>
      <c r="O31" s="309"/>
      <c r="P31" s="309">
        <v>195</v>
      </c>
      <c r="Q31" s="174">
        <f t="shared" si="2"/>
        <v>195</v>
      </c>
      <c r="R31" s="174">
        <f t="shared" si="3"/>
        <v>0</v>
      </c>
      <c r="S31" s="172">
        <f>IF(H31=0,(Q31+R31/EERR!$D$2/1.19),(Q31+R31/EERR!$D$2/1.19)/H31)</f>
        <v>195</v>
      </c>
      <c r="T31" s="174">
        <f>R31+Q31*EERR!$D$2</f>
        <v>122752.5</v>
      </c>
      <c r="U31" s="169">
        <f>IFERROR(VLOOKUP(E31,Booking!$B$2:$R$100,16,FALSE),0)</f>
        <v>1</v>
      </c>
      <c r="V31" s="178">
        <f>SUMIF(Transbank!$A$2:$A$439,B31,Transbank!$L$2:$L$439)+(I31+M31)+(J31+N31)*EERR!$D$2</f>
        <v>121980.29999999999</v>
      </c>
      <c r="W31" s="178">
        <f>V31/EERR!$D$2</f>
        <v>193.77331215250197</v>
      </c>
      <c r="X31" s="178">
        <f t="shared" si="4"/>
        <v>-772.20000000001164</v>
      </c>
      <c r="Y31" s="178">
        <f t="shared" si="8"/>
        <v>0</v>
      </c>
      <c r="Z31" s="178">
        <f t="shared" si="9"/>
        <v>0</v>
      </c>
      <c r="AA31" s="169">
        <f>IFERROR(VLOOKUP(A31,#REF!,8,FALSE),0)</f>
        <v>0</v>
      </c>
      <c r="AB31" s="40">
        <f t="shared" si="10"/>
        <v>195</v>
      </c>
    </row>
    <row r="32" spans="1:28" s="169" customFormat="1" ht="15" customHeight="1" x14ac:dyDescent="0.3">
      <c r="A32" s="306">
        <v>2665</v>
      </c>
      <c r="B32" s="306">
        <v>52559</v>
      </c>
      <c r="C32" s="307" t="s">
        <v>1188</v>
      </c>
      <c r="D32" s="307" t="s">
        <v>437</v>
      </c>
      <c r="E32" s="307">
        <v>1859752559</v>
      </c>
      <c r="F32" s="308">
        <v>43026</v>
      </c>
      <c r="G32" s="308">
        <v>43033</v>
      </c>
      <c r="H32" s="307">
        <v>14</v>
      </c>
      <c r="I32" s="309"/>
      <c r="J32" s="310"/>
      <c r="K32" s="309"/>
      <c r="L32" s="309">
        <v>2205</v>
      </c>
      <c r="M32" s="309"/>
      <c r="N32" s="309"/>
      <c r="O32" s="309"/>
      <c r="P32" s="309">
        <v>390</v>
      </c>
      <c r="Q32" s="174">
        <f t="shared" si="2"/>
        <v>2595</v>
      </c>
      <c r="R32" s="174">
        <f t="shared" si="3"/>
        <v>0</v>
      </c>
      <c r="S32" s="172">
        <f>IF(H32=0,(Q32+R32/EERR!$D$2/1.19),(Q32+R32/EERR!$D$2/1.19)/H32)</f>
        <v>185.35714285714286</v>
      </c>
      <c r="T32" s="174">
        <f>R32+Q32*EERR!$D$2</f>
        <v>1633552.5</v>
      </c>
      <c r="U32" s="169">
        <f>IFERROR(VLOOKUP(E32,Booking!$B$2:$R$100,16,FALSE),0)</f>
        <v>14</v>
      </c>
      <c r="V32" s="178">
        <f>SUMIF(Transbank!$A$2:$A$439,B32,Transbank!$L$2:$L$439)+(I32+M32)+(J32+N32)*EERR!$D$2</f>
        <v>1632008.1</v>
      </c>
      <c r="W32" s="178">
        <f>V32/EERR!$D$2</f>
        <v>2592.5466243050041</v>
      </c>
      <c r="X32" s="178">
        <f t="shared" si="4"/>
        <v>-1544.3999999999069</v>
      </c>
      <c r="Y32" s="178">
        <f t="shared" si="8"/>
        <v>0</v>
      </c>
      <c r="Z32" s="178">
        <f t="shared" si="9"/>
        <v>0</v>
      </c>
      <c r="AA32" s="169">
        <f>IFERROR(VLOOKUP(A32,#REF!,8,FALSE),0)</f>
        <v>0</v>
      </c>
      <c r="AB32" s="40">
        <f t="shared" si="10"/>
        <v>2595</v>
      </c>
    </row>
    <row r="33" spans="1:28" s="169" customFormat="1" ht="15" customHeight="1" x14ac:dyDescent="0.3">
      <c r="A33" s="306">
        <v>2666</v>
      </c>
      <c r="B33" s="306">
        <v>73297</v>
      </c>
      <c r="C33" s="307" t="s">
        <v>1189</v>
      </c>
      <c r="D33" s="307" t="s">
        <v>437</v>
      </c>
      <c r="E33" s="307">
        <v>1663573297</v>
      </c>
      <c r="F33" s="308">
        <v>43026</v>
      </c>
      <c r="G33" s="308">
        <v>43027</v>
      </c>
      <c r="H33" s="307">
        <v>1</v>
      </c>
      <c r="I33" s="309"/>
      <c r="J33" s="310"/>
      <c r="K33" s="309"/>
      <c r="L33" s="309"/>
      <c r="M33" s="309"/>
      <c r="N33" s="309"/>
      <c r="O33" s="309"/>
      <c r="P33" s="309">
        <v>195</v>
      </c>
      <c r="Q33" s="174">
        <f t="shared" si="2"/>
        <v>195</v>
      </c>
      <c r="R33" s="174">
        <f t="shared" si="3"/>
        <v>0</v>
      </c>
      <c r="S33" s="172">
        <f>IF(H33=0,(Q33+R33/EERR!$D$2/1.19),(Q33+R33/EERR!$D$2/1.19)/H33)</f>
        <v>195</v>
      </c>
      <c r="T33" s="174">
        <f>R33+Q33*EERR!$D$2</f>
        <v>122752.5</v>
      </c>
      <c r="U33" s="169">
        <f>IFERROR(VLOOKUP(E33,Booking!$B$2:$R$100,16,FALSE),0)</f>
        <v>1</v>
      </c>
      <c r="V33" s="178">
        <f>SUMIF(Transbank!$A$2:$A$439,B33,Transbank!$L$2:$L$439)+(I33+M33)+(J33+N33)*EERR!$D$2</f>
        <v>122752.5</v>
      </c>
      <c r="W33" s="178">
        <f>V33/EERR!$D$2</f>
        <v>195</v>
      </c>
      <c r="X33" s="178">
        <f t="shared" si="4"/>
        <v>0</v>
      </c>
      <c r="Y33" s="178">
        <f t="shared" si="8"/>
        <v>0</v>
      </c>
      <c r="Z33" s="178">
        <f t="shared" si="9"/>
        <v>0</v>
      </c>
      <c r="AA33" s="169">
        <f>IFERROR(VLOOKUP(A33,#REF!,8,FALSE),0)</f>
        <v>0</v>
      </c>
      <c r="AB33" s="40">
        <f t="shared" si="10"/>
        <v>195</v>
      </c>
    </row>
    <row r="34" spans="1:28" s="169" customFormat="1" x14ac:dyDescent="0.3">
      <c r="A34" s="306">
        <v>2673</v>
      </c>
      <c r="B34" s="306">
        <v>99810</v>
      </c>
      <c r="C34" s="307" t="s">
        <v>1177</v>
      </c>
      <c r="D34" s="307" t="s">
        <v>437</v>
      </c>
      <c r="E34" s="307">
        <v>2083299810</v>
      </c>
      <c r="F34" s="308">
        <v>43027</v>
      </c>
      <c r="G34" s="308">
        <v>43028</v>
      </c>
      <c r="H34" s="307">
        <v>1</v>
      </c>
      <c r="I34" s="309"/>
      <c r="J34" s="310"/>
      <c r="K34" s="309"/>
      <c r="L34" s="309"/>
      <c r="M34" s="309"/>
      <c r="N34" s="309"/>
      <c r="O34" s="309"/>
      <c r="P34" s="309">
        <v>195</v>
      </c>
      <c r="Q34" s="174">
        <f t="shared" si="2"/>
        <v>195</v>
      </c>
      <c r="R34" s="174">
        <f t="shared" si="3"/>
        <v>0</v>
      </c>
      <c r="S34" s="172">
        <f>IF(H34=0,(Q34+R34/EERR!$D$2/1.19),(Q34+R34/EERR!$D$2/1.19)/H34)</f>
        <v>195</v>
      </c>
      <c r="T34" s="174">
        <f>R34+Q34*EERR!$D$2</f>
        <v>122752.5</v>
      </c>
      <c r="U34" s="169">
        <f>IFERROR(VLOOKUP(E34,Booking!$B$2:$R$100,16,FALSE),0)</f>
        <v>1</v>
      </c>
      <c r="V34" s="178">
        <f>SUMIF(Transbank!$A$2:$A$439,B34,Transbank!$L$2:$L$439)+(I34+M34)+(J34+N34)*EERR!$D$2</f>
        <v>121980.29999999999</v>
      </c>
      <c r="W34" s="178">
        <f>V34/EERR!$D$2</f>
        <v>193.77331215250197</v>
      </c>
      <c r="X34" s="178">
        <f t="shared" si="4"/>
        <v>-772.20000000001164</v>
      </c>
      <c r="Y34" s="178">
        <f t="shared" si="8"/>
        <v>0</v>
      </c>
      <c r="Z34" s="178">
        <f t="shared" si="9"/>
        <v>0</v>
      </c>
      <c r="AA34" s="169">
        <f>IFERROR(VLOOKUP(A34,#REF!,8,FALSE),0)</f>
        <v>0</v>
      </c>
      <c r="AB34" s="40">
        <f t="shared" si="10"/>
        <v>195</v>
      </c>
    </row>
    <row r="35" spans="1:28" s="169" customFormat="1" ht="15" customHeight="1" x14ac:dyDescent="0.3">
      <c r="A35" s="306">
        <v>2674</v>
      </c>
      <c r="B35" s="306">
        <v>68732</v>
      </c>
      <c r="C35" s="307" t="s">
        <v>1191</v>
      </c>
      <c r="D35" s="307" t="s">
        <v>437</v>
      </c>
      <c r="E35" s="307">
        <v>1753468732</v>
      </c>
      <c r="F35" s="308">
        <v>43028</v>
      </c>
      <c r="G35" s="308">
        <v>43031</v>
      </c>
      <c r="H35" s="307">
        <v>3</v>
      </c>
      <c r="I35" s="309"/>
      <c r="J35" s="310"/>
      <c r="K35" s="309"/>
      <c r="L35" s="309">
        <v>351</v>
      </c>
      <c r="M35" s="309"/>
      <c r="N35" s="309"/>
      <c r="O35" s="309"/>
      <c r="P35" s="309">
        <v>175.5</v>
      </c>
      <c r="Q35" s="174">
        <f t="shared" si="2"/>
        <v>526.5</v>
      </c>
      <c r="R35" s="174">
        <f t="shared" si="3"/>
        <v>0</v>
      </c>
      <c r="S35" s="172">
        <f>IF(H35=0,(Q35+R35/EERR!$D$2/1.19),(Q35+R35/EERR!$D$2/1.19)/H35)</f>
        <v>175.5</v>
      </c>
      <c r="T35" s="174">
        <f>R35+Q35*EERR!$D$2</f>
        <v>331431.75</v>
      </c>
      <c r="U35" s="169">
        <f>IFERROR(VLOOKUP(E35,Booking!$B$2:$R$100,16,FALSE),0)</f>
        <v>3</v>
      </c>
      <c r="V35" s="178">
        <f>SUMIF(Transbank!$A$2:$A$439,B35,Transbank!$L$2:$L$439)+(I35+M35)+(J35+N35)*EERR!$D$2</f>
        <v>331049.53999999998</v>
      </c>
      <c r="W35" s="178">
        <f>V35/EERR!$D$2</f>
        <v>525.89283558379668</v>
      </c>
      <c r="X35" s="178">
        <f t="shared" si="4"/>
        <v>-382.21000000002095</v>
      </c>
      <c r="Y35" s="178">
        <f t="shared" si="8"/>
        <v>0</v>
      </c>
      <c r="Z35" s="178">
        <f t="shared" si="9"/>
        <v>0</v>
      </c>
      <c r="AA35" s="169">
        <f>IFERROR(VLOOKUP(A35,#REF!,8,FALSE),0)</f>
        <v>0</v>
      </c>
      <c r="AB35" s="40">
        <f t="shared" si="10"/>
        <v>526.5</v>
      </c>
    </row>
    <row r="36" spans="1:28" s="169" customFormat="1" ht="15" customHeight="1" x14ac:dyDescent="0.3">
      <c r="A36" s="306">
        <v>2676</v>
      </c>
      <c r="B36" s="306">
        <v>70278</v>
      </c>
      <c r="C36" s="307" t="s">
        <v>1192</v>
      </c>
      <c r="D36" s="307" t="s">
        <v>437</v>
      </c>
      <c r="E36" s="307">
        <v>1842570278</v>
      </c>
      <c r="F36" s="308">
        <v>43029</v>
      </c>
      <c r="G36" s="308">
        <v>43031</v>
      </c>
      <c r="H36" s="311">
        <v>2</v>
      </c>
      <c r="I36" s="309"/>
      <c r="J36" s="310">
        <v>195</v>
      </c>
      <c r="K36" s="309"/>
      <c r="L36" s="309"/>
      <c r="M36" s="309"/>
      <c r="N36" s="309"/>
      <c r="O36" s="309"/>
      <c r="P36" s="309">
        <v>195</v>
      </c>
      <c r="Q36" s="174">
        <f t="shared" si="2"/>
        <v>390</v>
      </c>
      <c r="R36" s="174">
        <f t="shared" si="3"/>
        <v>0</v>
      </c>
      <c r="S36" s="172">
        <f>IF(H36=0,(Q36+R36/EERR!$D$2/1.19),(Q36+R36/EERR!$D$2/1.19)/H36)</f>
        <v>195</v>
      </c>
      <c r="T36" s="174">
        <f>R36+Q36*EERR!$D$2</f>
        <v>245505</v>
      </c>
      <c r="U36" s="169">
        <f>IFERROR(VLOOKUP(E36,Booking!$B$2:$R$100,16,FALSE),0)</f>
        <v>2</v>
      </c>
      <c r="V36" s="178">
        <f>SUMIF(Transbank!$A$2:$A$439,B36,Transbank!$L$2:$L$439)+(I36+M36)+(J36+N36)*EERR!$D$2</f>
        <v>244732.79999999999</v>
      </c>
      <c r="W36" s="178">
        <f>V36/EERR!$D$2</f>
        <v>388.77331215250194</v>
      </c>
      <c r="X36" s="178">
        <f t="shared" si="4"/>
        <v>-772.20000000001164</v>
      </c>
      <c r="Y36" s="178">
        <f t="shared" si="8"/>
        <v>0</v>
      </c>
      <c r="Z36" s="178">
        <f t="shared" si="9"/>
        <v>0</v>
      </c>
      <c r="AA36" s="169">
        <f>IFERROR(VLOOKUP(A36,#REF!,8,FALSE),0)</f>
        <v>0</v>
      </c>
      <c r="AB36" s="40">
        <f t="shared" si="10"/>
        <v>390</v>
      </c>
    </row>
    <row r="37" spans="1:28" s="169" customFormat="1" ht="15" customHeight="1" x14ac:dyDescent="0.3">
      <c r="A37" s="306">
        <v>2677</v>
      </c>
      <c r="B37" s="306">
        <v>741</v>
      </c>
      <c r="C37" s="307" t="s">
        <v>1193</v>
      </c>
      <c r="D37" s="307" t="s">
        <v>437</v>
      </c>
      <c r="E37" s="307">
        <v>2083400741</v>
      </c>
      <c r="F37" s="308">
        <v>43029</v>
      </c>
      <c r="G37" s="308">
        <v>43035</v>
      </c>
      <c r="H37" s="307">
        <v>6</v>
      </c>
      <c r="I37" s="309"/>
      <c r="J37" s="310">
        <v>1015</v>
      </c>
      <c r="K37" s="309"/>
      <c r="L37" s="309"/>
      <c r="M37" s="309"/>
      <c r="N37" s="309"/>
      <c r="O37" s="309"/>
      <c r="P37" s="309">
        <v>180</v>
      </c>
      <c r="Q37" s="174">
        <f t="shared" si="2"/>
        <v>1195</v>
      </c>
      <c r="R37" s="174">
        <f t="shared" si="3"/>
        <v>0</v>
      </c>
      <c r="S37" s="172">
        <f>IF(H37=0,(Q37+R37/EERR!$D$2/1.19),(Q37+R37/EERR!$D$2/1.19)/H37)</f>
        <v>199.16666666666666</v>
      </c>
      <c r="T37" s="174">
        <f>R37+Q37*EERR!$D$2</f>
        <v>752252.5</v>
      </c>
      <c r="U37" s="169">
        <f>IFERROR(VLOOKUP(E37,Booking!$B$2:$R$100,16,FALSE),0)</f>
        <v>6</v>
      </c>
      <c r="V37" s="320">
        <f>SUMIF(Transbank!$A$2:$A$439,B37,Transbank!$L$2:$L$439)+(I37+M37)+(J37+N37)*EERR!$D$2</f>
        <v>638942.5</v>
      </c>
      <c r="W37" s="178">
        <f>V37/EERR!$D$2</f>
        <v>1015</v>
      </c>
      <c r="X37" s="178">
        <f t="shared" si="4"/>
        <v>-113310</v>
      </c>
      <c r="Y37" s="178">
        <f t="shared" si="8"/>
        <v>0</v>
      </c>
      <c r="Z37" s="178">
        <f t="shared" si="9"/>
        <v>0</v>
      </c>
      <c r="AA37" s="169">
        <f>IFERROR(VLOOKUP(A37,#REF!,8,FALSE),0)</f>
        <v>0</v>
      </c>
      <c r="AB37" s="40">
        <f t="shared" si="10"/>
        <v>1195</v>
      </c>
    </row>
    <row r="38" spans="1:28" s="169" customFormat="1" ht="15" customHeight="1" x14ac:dyDescent="0.3">
      <c r="A38" s="306">
        <v>2678</v>
      </c>
      <c r="B38" s="306">
        <v>79600</v>
      </c>
      <c r="C38" s="307" t="s">
        <v>1194</v>
      </c>
      <c r="D38" s="307" t="s">
        <v>437</v>
      </c>
      <c r="E38" s="307">
        <v>1230079600</v>
      </c>
      <c r="F38" s="308">
        <v>43029</v>
      </c>
      <c r="G38" s="308">
        <v>43035</v>
      </c>
      <c r="H38" s="311">
        <v>6</v>
      </c>
      <c r="I38" s="309"/>
      <c r="J38" s="310">
        <v>1000</v>
      </c>
      <c r="K38" s="309"/>
      <c r="L38" s="309"/>
      <c r="M38" s="309"/>
      <c r="N38" s="309"/>
      <c r="O38" s="309"/>
      <c r="P38" s="309">
        <v>195</v>
      </c>
      <c r="Q38" s="174">
        <f t="shared" si="2"/>
        <v>1195</v>
      </c>
      <c r="R38" s="174">
        <f t="shared" si="3"/>
        <v>0</v>
      </c>
      <c r="S38" s="172">
        <f>IF(H38=0,(Q38+R38/EERR!$D$2/1.19),(Q38+R38/EERR!$D$2/1.19)/H38)</f>
        <v>199.16666666666666</v>
      </c>
      <c r="T38" s="174">
        <f>R38+Q38*EERR!$D$2</f>
        <v>752252.5</v>
      </c>
      <c r="U38" s="169">
        <f>IFERROR(VLOOKUP(E38,Booking!$B$2:$R$100,16,FALSE),0)</f>
        <v>6</v>
      </c>
      <c r="V38" s="178">
        <f>SUMIF(Transbank!$A$2:$A$439,B38,Transbank!$L$2:$L$439)+(I38+M38)+(J38+N38)*EERR!$D$2</f>
        <v>751480.3</v>
      </c>
      <c r="W38" s="178">
        <f>V38/EERR!$D$2</f>
        <v>1193.7733121525021</v>
      </c>
      <c r="X38" s="178">
        <f t="shared" si="4"/>
        <v>-772.19999999995343</v>
      </c>
      <c r="Y38" s="178">
        <f t="shared" si="8"/>
        <v>0</v>
      </c>
      <c r="Z38" s="178">
        <f t="shared" si="9"/>
        <v>0</v>
      </c>
      <c r="AA38" s="169">
        <f>IFERROR(VLOOKUP(A38,#REF!,8,FALSE),0)</f>
        <v>0</v>
      </c>
      <c r="AB38" s="40">
        <f t="shared" si="10"/>
        <v>1195</v>
      </c>
    </row>
    <row r="39" spans="1:28" s="169" customFormat="1" ht="15" customHeight="1" x14ac:dyDescent="0.3">
      <c r="A39" s="306">
        <v>2680</v>
      </c>
      <c r="B39" s="306">
        <v>98635</v>
      </c>
      <c r="C39" s="307" t="s">
        <v>1084</v>
      </c>
      <c r="D39" s="307" t="s">
        <v>437</v>
      </c>
      <c r="E39" s="307">
        <v>1887298635</v>
      </c>
      <c r="F39" s="308">
        <v>43031</v>
      </c>
      <c r="G39" s="308">
        <v>43036</v>
      </c>
      <c r="H39" s="307">
        <v>5</v>
      </c>
      <c r="I39" s="309"/>
      <c r="J39" s="310">
        <v>830</v>
      </c>
      <c r="K39" s="309"/>
      <c r="L39" s="309"/>
      <c r="M39" s="309"/>
      <c r="N39" s="309"/>
      <c r="O39" s="309"/>
      <c r="P39" s="309">
        <v>195</v>
      </c>
      <c r="Q39" s="174">
        <f t="shared" si="2"/>
        <v>1025</v>
      </c>
      <c r="R39" s="174">
        <f t="shared" si="3"/>
        <v>0</v>
      </c>
      <c r="S39" s="172">
        <f>IF(H39=0,(Q39+R39/EERR!$D$2/1.19),(Q39+R39/EERR!$D$2/1.19)/H39)</f>
        <v>205</v>
      </c>
      <c r="T39" s="174">
        <f>R39+Q39*EERR!$D$2</f>
        <v>645237.5</v>
      </c>
      <c r="U39" s="169">
        <f>IFERROR(VLOOKUP(E39,Booking!$B$2:$R$100,16,FALSE),0)</f>
        <v>5</v>
      </c>
      <c r="V39" s="178">
        <f>SUMIF(Transbank!$A$2:$A$439,B39,Transbank!$L$2:$L$439)+(I39+M39)+(J39+N39)*EERR!$D$2</f>
        <v>644465.30000000005</v>
      </c>
      <c r="W39" s="178">
        <f>V39/EERR!$D$2</f>
        <v>1023.7733121525021</v>
      </c>
      <c r="X39" s="178">
        <f t="shared" si="4"/>
        <v>-772.19999999995343</v>
      </c>
      <c r="Y39" s="178">
        <f t="shared" si="8"/>
        <v>0</v>
      </c>
      <c r="Z39" s="178">
        <f t="shared" si="9"/>
        <v>0</v>
      </c>
      <c r="AA39" s="169">
        <f>IFERROR(VLOOKUP(A39,#REF!,8,FALSE),0)</f>
        <v>0</v>
      </c>
      <c r="AB39" s="40">
        <f t="shared" si="10"/>
        <v>1025</v>
      </c>
    </row>
    <row r="40" spans="1:28" s="169" customFormat="1" ht="15" customHeight="1" x14ac:dyDescent="0.3">
      <c r="A40" s="306">
        <v>2681</v>
      </c>
      <c r="B40" s="306">
        <v>29149</v>
      </c>
      <c r="C40" s="307" t="s">
        <v>1195</v>
      </c>
      <c r="D40" s="307" t="s">
        <v>437</v>
      </c>
      <c r="E40" s="307">
        <v>1293329149</v>
      </c>
      <c r="F40" s="308">
        <v>43031</v>
      </c>
      <c r="G40" s="308">
        <v>43036</v>
      </c>
      <c r="H40" s="307">
        <v>5</v>
      </c>
      <c r="I40" s="309"/>
      <c r="J40" s="310">
        <v>830</v>
      </c>
      <c r="K40" s="309"/>
      <c r="L40" s="309"/>
      <c r="M40" s="309"/>
      <c r="N40" s="309"/>
      <c r="O40" s="309"/>
      <c r="P40" s="309">
        <v>195</v>
      </c>
      <c r="Q40" s="174">
        <f t="shared" si="2"/>
        <v>1025</v>
      </c>
      <c r="R40" s="174">
        <f t="shared" si="3"/>
        <v>0</v>
      </c>
      <c r="S40" s="172">
        <f>IF(H40=0,(Q40+R40/EERR!$D$2/1.19),(Q40+R40/EERR!$D$2/1.19)/H40)</f>
        <v>205</v>
      </c>
      <c r="T40" s="174">
        <f>R40+Q40*EERR!$D$2</f>
        <v>645237.5</v>
      </c>
      <c r="U40" s="169">
        <f>IFERROR(VLOOKUP(E40,Booking!$B$2:$R$100,16,FALSE),0)</f>
        <v>5</v>
      </c>
      <c r="V40" s="178">
        <f>SUMIF(Transbank!$A$2:$A$439,B40,Transbank!$L$2:$L$439)+(I40+M40)+(J40+N40)*EERR!$D$2</f>
        <v>644465.30000000005</v>
      </c>
      <c r="W40" s="178">
        <f>V40/EERR!$D$2</f>
        <v>1023.7733121525021</v>
      </c>
      <c r="X40" s="178">
        <f t="shared" si="4"/>
        <v>-772.19999999995343</v>
      </c>
      <c r="Y40" s="178">
        <f t="shared" si="8"/>
        <v>0</v>
      </c>
      <c r="Z40" s="178">
        <f t="shared" si="9"/>
        <v>0</v>
      </c>
      <c r="AA40" s="169">
        <f>IFERROR(VLOOKUP(A40,#REF!,8,FALSE),0)</f>
        <v>0</v>
      </c>
      <c r="AB40" s="40">
        <f t="shared" si="10"/>
        <v>1025</v>
      </c>
    </row>
    <row r="41" spans="1:28" s="169" customFormat="1" x14ac:dyDescent="0.3">
      <c r="A41" s="306">
        <v>2682</v>
      </c>
      <c r="B41" s="306">
        <v>48056</v>
      </c>
      <c r="C41" s="307" t="s">
        <v>1196</v>
      </c>
      <c r="D41" s="307" t="s">
        <v>437</v>
      </c>
      <c r="E41" s="307">
        <v>1643048056</v>
      </c>
      <c r="F41" s="308">
        <v>43033</v>
      </c>
      <c r="G41" s="308">
        <v>43038</v>
      </c>
      <c r="H41" s="307">
        <v>5</v>
      </c>
      <c r="I41" s="309"/>
      <c r="J41" s="310"/>
      <c r="K41" s="309"/>
      <c r="L41" s="309">
        <v>855</v>
      </c>
      <c r="M41" s="309"/>
      <c r="N41" s="309"/>
      <c r="O41" s="309"/>
      <c r="P41" s="309">
        <v>195</v>
      </c>
      <c r="Q41" s="174">
        <f t="shared" si="2"/>
        <v>1050</v>
      </c>
      <c r="R41" s="174">
        <f t="shared" si="3"/>
        <v>0</v>
      </c>
      <c r="S41" s="172">
        <f>IF(H41=0,(Q41+R41/EERR!$D$2/1.19),(Q41+R41/EERR!$D$2/1.19)/H41)</f>
        <v>210</v>
      </c>
      <c r="T41" s="174">
        <f>R41+Q41*EERR!$D$2</f>
        <v>660975</v>
      </c>
      <c r="U41" s="169">
        <f>IFERROR(VLOOKUP(E41,Booking!$B$2:$R$100,16,FALSE),0)</f>
        <v>5</v>
      </c>
      <c r="V41" s="178">
        <f>SUMIF(Transbank!$A$2:$A$439,B41,Transbank!$L$2:$L$439)+(I41+M41)+(J41+N41)*EERR!$D$2</f>
        <v>660202.80000000005</v>
      </c>
      <c r="W41" s="178">
        <f>V41/EERR!$D$2</f>
        <v>1048.7733121525021</v>
      </c>
      <c r="X41" s="178">
        <f t="shared" si="4"/>
        <v>-772.19999999995343</v>
      </c>
      <c r="Y41" s="178">
        <f t="shared" si="8"/>
        <v>0</v>
      </c>
      <c r="Z41" s="178">
        <f t="shared" si="9"/>
        <v>0</v>
      </c>
      <c r="AA41" s="169">
        <f>IFERROR(VLOOKUP(A41,#REF!,8,FALSE),0)</f>
        <v>0</v>
      </c>
      <c r="AB41" s="40">
        <f t="shared" si="10"/>
        <v>1050</v>
      </c>
    </row>
    <row r="42" spans="1:28" s="169" customFormat="1" ht="15" customHeight="1" x14ac:dyDescent="0.3">
      <c r="A42" s="306">
        <v>37786</v>
      </c>
      <c r="B42" s="306">
        <v>37786</v>
      </c>
      <c r="C42" s="307" t="s">
        <v>1099</v>
      </c>
      <c r="D42" s="307" t="s">
        <v>437</v>
      </c>
      <c r="E42" s="307">
        <v>1650037786</v>
      </c>
      <c r="F42" s="308">
        <v>43034</v>
      </c>
      <c r="G42" s="308">
        <v>43037</v>
      </c>
      <c r="H42" s="307">
        <v>3</v>
      </c>
      <c r="I42" s="309"/>
      <c r="J42" s="310"/>
      <c r="K42" s="309">
        <v>330392</v>
      </c>
      <c r="L42" s="309"/>
      <c r="M42" s="309"/>
      <c r="N42" s="309"/>
      <c r="O42" s="309">
        <v>173573</v>
      </c>
      <c r="P42" s="309"/>
      <c r="Q42" s="174">
        <f t="shared" si="2"/>
        <v>0</v>
      </c>
      <c r="R42" s="174">
        <f t="shared" si="3"/>
        <v>503965</v>
      </c>
      <c r="S42" s="172">
        <f>IF(H42=0,(Q42+R42/EERR!$D$2/1.19),(Q42+R42/EERR!$D$2/1.19)/H42)</f>
        <v>224.25205189303679</v>
      </c>
      <c r="T42" s="174">
        <f>R42+Q42*EERR!$D$2</f>
        <v>503965</v>
      </c>
      <c r="U42" s="169">
        <f>IFERROR(VLOOKUP(E42,Booking!$B$2:$R$100,16,FALSE),0)</f>
        <v>3</v>
      </c>
      <c r="V42" s="178">
        <f>SUMIF(Transbank!$A$2:$A$439,B42,Transbank!$L$2:$L$439)+(I42+M42)+(J42+N42)*EERR!$D$2</f>
        <v>503965</v>
      </c>
      <c r="W42" s="178">
        <f>V42/EERR!$D$2</f>
        <v>800.57982525814134</v>
      </c>
      <c r="X42" s="178">
        <f t="shared" si="4"/>
        <v>0</v>
      </c>
      <c r="Y42" s="178">
        <f t="shared" si="8"/>
        <v>277640.33613445377</v>
      </c>
      <c r="Z42" s="178">
        <f t="shared" si="9"/>
        <v>0</v>
      </c>
      <c r="AA42" s="169">
        <f>IFERROR(VLOOKUP(A42,#REF!,8,FALSE),0)</f>
        <v>0</v>
      </c>
      <c r="AB42" s="40">
        <f t="shared" si="10"/>
        <v>0</v>
      </c>
    </row>
    <row r="43" spans="1:28" s="169" customFormat="1" ht="15" customHeight="1" x14ac:dyDescent="0.3">
      <c r="A43" s="306">
        <v>14148</v>
      </c>
      <c r="B43" s="306">
        <v>14148</v>
      </c>
      <c r="C43" s="307" t="s">
        <v>1197</v>
      </c>
      <c r="D43" s="307" t="s">
        <v>437</v>
      </c>
      <c r="E43" s="307">
        <v>1730014148</v>
      </c>
      <c r="F43" s="308">
        <v>43034</v>
      </c>
      <c r="G43" s="308">
        <v>43037</v>
      </c>
      <c r="H43" s="307">
        <v>3</v>
      </c>
      <c r="I43" s="309"/>
      <c r="J43" s="310"/>
      <c r="K43" s="309">
        <v>330392</v>
      </c>
      <c r="L43" s="309"/>
      <c r="M43" s="309"/>
      <c r="N43" s="309"/>
      <c r="O43" s="309">
        <v>167028</v>
      </c>
      <c r="P43" s="309"/>
      <c r="Q43" s="174">
        <f t="shared" si="2"/>
        <v>0</v>
      </c>
      <c r="R43" s="174">
        <f t="shared" si="3"/>
        <v>497420</v>
      </c>
      <c r="S43" s="172">
        <f>IF(H43=0,(Q43+R43/EERR!$D$2/1.19),(Q43+R43/EERR!$D$2/1.19)/H43)</f>
        <v>221.33968758273764</v>
      </c>
      <c r="T43" s="174">
        <f>R43+Q43*EERR!$D$2</f>
        <v>497420</v>
      </c>
      <c r="U43" s="169">
        <f>IFERROR(VLOOKUP(E43,Booking!$B$2:$R$100,16,FALSE),0)</f>
        <v>3</v>
      </c>
      <c r="V43" s="178">
        <f>SUMIF(Transbank!$A$2:$A$439,B43,Transbank!$L$2:$L$439)+(I43+M43)+(J43+N43)*EERR!$D$2</f>
        <v>497420</v>
      </c>
      <c r="W43" s="178">
        <f>V43/EERR!$D$2</f>
        <v>790.18268467037331</v>
      </c>
      <c r="X43" s="178">
        <f t="shared" si="4"/>
        <v>0</v>
      </c>
      <c r="Y43" s="178">
        <f t="shared" si="8"/>
        <v>277640.33613445377</v>
      </c>
      <c r="Z43" s="178">
        <f t="shared" si="9"/>
        <v>0</v>
      </c>
      <c r="AA43" s="169">
        <f>IFERROR(VLOOKUP(A43,#REF!,8,FALSE),0)</f>
        <v>0</v>
      </c>
      <c r="AB43" s="40">
        <f t="shared" si="10"/>
        <v>0</v>
      </c>
    </row>
    <row r="44" spans="1:28" s="169" customFormat="1" ht="15" customHeight="1" x14ac:dyDescent="0.3">
      <c r="A44" s="306">
        <v>49324</v>
      </c>
      <c r="B44" s="306">
        <v>49324</v>
      </c>
      <c r="C44" s="307" t="s">
        <v>1198</v>
      </c>
      <c r="D44" s="307" t="s">
        <v>437</v>
      </c>
      <c r="E44" s="307">
        <v>1553949324</v>
      </c>
      <c r="F44" s="308">
        <v>43034</v>
      </c>
      <c r="G44" s="308">
        <v>43037</v>
      </c>
      <c r="H44" s="307">
        <v>3</v>
      </c>
      <c r="I44" s="309"/>
      <c r="J44" s="310"/>
      <c r="K44" s="309">
        <v>330392</v>
      </c>
      <c r="L44" s="309"/>
      <c r="M44" s="309"/>
      <c r="N44" s="309"/>
      <c r="O44" s="309">
        <v>173573</v>
      </c>
      <c r="P44" s="309"/>
      <c r="Q44" s="174">
        <f t="shared" si="2"/>
        <v>0</v>
      </c>
      <c r="R44" s="174">
        <f t="shared" si="3"/>
        <v>503965</v>
      </c>
      <c r="S44" s="172">
        <f>IF(H44=0,(Q44+R44/EERR!$D$2/1.19),(Q44+R44/EERR!$D$2/1.19)/H44)</f>
        <v>224.25205189303679</v>
      </c>
      <c r="T44" s="174">
        <f>R44+Q44*EERR!$D$2</f>
        <v>503965</v>
      </c>
      <c r="U44" s="169">
        <f>IFERROR(VLOOKUP(E44,Booking!$B$2:$R$100,16,FALSE),0)</f>
        <v>3</v>
      </c>
      <c r="V44" s="178">
        <f>SUMIF(Transbank!$A$2:$A$439,B44,Transbank!$L$2:$L$439)+(I44+M44)+(J44+N44)*EERR!$D$2</f>
        <v>503965</v>
      </c>
      <c r="W44" s="178">
        <f>V44/EERR!$D$2</f>
        <v>800.57982525814134</v>
      </c>
      <c r="X44" s="178">
        <f t="shared" si="4"/>
        <v>0</v>
      </c>
      <c r="Y44" s="178">
        <f t="shared" si="8"/>
        <v>277640.33613445377</v>
      </c>
      <c r="Z44" s="178">
        <f t="shared" si="9"/>
        <v>0</v>
      </c>
      <c r="AA44" s="169">
        <f>IFERROR(VLOOKUP(A44,#REF!,8,FALSE),0)</f>
        <v>0</v>
      </c>
      <c r="AB44" s="40">
        <f t="shared" si="10"/>
        <v>0</v>
      </c>
    </row>
    <row r="45" spans="1:28" s="169" customFormat="1" ht="15" customHeight="1" x14ac:dyDescent="0.3">
      <c r="A45" s="306">
        <v>2684</v>
      </c>
      <c r="B45" s="306">
        <v>33337</v>
      </c>
      <c r="C45" s="307" t="s">
        <v>1199</v>
      </c>
      <c r="D45" s="307" t="s">
        <v>437</v>
      </c>
      <c r="E45" s="307">
        <v>1712533337</v>
      </c>
      <c r="F45" s="308">
        <v>43035</v>
      </c>
      <c r="G45" s="308">
        <v>43038</v>
      </c>
      <c r="H45" s="307">
        <v>3</v>
      </c>
      <c r="I45" s="309"/>
      <c r="J45" s="310"/>
      <c r="K45" s="309"/>
      <c r="L45" s="309"/>
      <c r="M45" s="309"/>
      <c r="N45" s="309"/>
      <c r="O45" s="309"/>
      <c r="P45" s="309">
        <v>635</v>
      </c>
      <c r="Q45" s="174">
        <f t="shared" si="2"/>
        <v>635</v>
      </c>
      <c r="R45" s="174">
        <f t="shared" si="3"/>
        <v>0</v>
      </c>
      <c r="S45" s="172">
        <f>IF(H45=0,(Q45+R45/EERR!$D$2/1.19),(Q45+R45/EERR!$D$2/1.19)/H45)</f>
        <v>211.66666666666666</v>
      </c>
      <c r="T45" s="174">
        <f>R45+Q45*EERR!$D$2</f>
        <v>399732.5</v>
      </c>
      <c r="U45" s="169">
        <f>IFERROR(VLOOKUP(E45,Booking!$B$2:$R$100,16,FALSE),0)</f>
        <v>3</v>
      </c>
      <c r="V45" s="178">
        <f>SUMIF(Transbank!$A$2:$A$439,B45,Transbank!$L$2:$L$439)+(I45+M45)+(J45+N45)*EERR!$D$2</f>
        <v>398861.3</v>
      </c>
      <c r="W45" s="178">
        <f>V45/EERR!$D$2</f>
        <v>633.61604447974582</v>
      </c>
      <c r="X45" s="178">
        <f t="shared" si="4"/>
        <v>-871.20000000001164</v>
      </c>
      <c r="Y45" s="178">
        <f t="shared" si="8"/>
        <v>0</v>
      </c>
      <c r="Z45" s="178">
        <f t="shared" si="9"/>
        <v>0</v>
      </c>
      <c r="AA45" s="169">
        <f>IFERROR(VLOOKUP(A45,#REF!,8,FALSE),0)</f>
        <v>0</v>
      </c>
      <c r="AB45" s="40">
        <f t="shared" si="10"/>
        <v>635</v>
      </c>
    </row>
    <row r="46" spans="1:28" s="169" customFormat="1" x14ac:dyDescent="0.3">
      <c r="A46" s="306">
        <v>2685</v>
      </c>
      <c r="B46" s="306">
        <v>60068</v>
      </c>
      <c r="C46" s="307" t="s">
        <v>1200</v>
      </c>
      <c r="D46" s="307" t="s">
        <v>437</v>
      </c>
      <c r="E46" s="307">
        <v>1969660068</v>
      </c>
      <c r="F46" s="308">
        <v>43035</v>
      </c>
      <c r="G46" s="308">
        <v>43038</v>
      </c>
      <c r="H46" s="307">
        <v>3</v>
      </c>
      <c r="I46" s="309"/>
      <c r="J46" s="310"/>
      <c r="K46" s="309"/>
      <c r="L46" s="309">
        <v>373.5</v>
      </c>
      <c r="M46" s="309"/>
      <c r="N46" s="309"/>
      <c r="O46" s="309"/>
      <c r="P46" s="309">
        <v>198</v>
      </c>
      <c r="Q46" s="174">
        <f t="shared" si="2"/>
        <v>571.5</v>
      </c>
      <c r="R46" s="174">
        <f t="shared" si="3"/>
        <v>0</v>
      </c>
      <c r="S46" s="172">
        <f>IF(H46=0,(Q46+R46/EERR!$D$2/1.19),(Q46+R46/EERR!$D$2/1.19)/H46)</f>
        <v>190.5</v>
      </c>
      <c r="T46" s="174">
        <f>R46+Q46*EERR!$D$2</f>
        <v>359759.25</v>
      </c>
      <c r="U46" s="169">
        <f>IFERROR(VLOOKUP(E46,Booking!$B$2:$R$100,16,FALSE),0)</f>
        <v>3</v>
      </c>
      <c r="V46" s="178">
        <f>SUMIF(Transbank!$A$2:$A$439,B46,Transbank!$L$2:$L$439)+(I46+M46)+(J46+N46)*EERR!$D$2</f>
        <v>358975.17</v>
      </c>
      <c r="W46" s="178">
        <f>V46/EERR!$D$2</f>
        <v>570.2544400317712</v>
      </c>
      <c r="X46" s="178">
        <f t="shared" si="4"/>
        <v>-784.0800000000163</v>
      </c>
      <c r="Y46" s="178">
        <f t="shared" si="8"/>
        <v>0</v>
      </c>
      <c r="Z46" s="178">
        <f t="shared" si="9"/>
        <v>0</v>
      </c>
      <c r="AA46" s="169">
        <f>IFERROR(VLOOKUP(A46,#REF!,8,FALSE),0)</f>
        <v>0</v>
      </c>
      <c r="AB46" s="40">
        <f t="shared" si="10"/>
        <v>571.5</v>
      </c>
    </row>
    <row r="47" spans="1:28" s="169" customFormat="1" x14ac:dyDescent="0.3">
      <c r="A47" s="306">
        <v>30193</v>
      </c>
      <c r="B47" s="306">
        <v>30193</v>
      </c>
      <c r="C47" s="307" t="s">
        <v>1201</v>
      </c>
      <c r="D47" s="307" t="s">
        <v>437</v>
      </c>
      <c r="E47" s="307">
        <v>1191330193</v>
      </c>
      <c r="F47" s="308">
        <v>43036</v>
      </c>
      <c r="G47" s="308">
        <v>43039</v>
      </c>
      <c r="H47" s="311">
        <v>3</v>
      </c>
      <c r="I47" s="309"/>
      <c r="J47" s="310"/>
      <c r="K47" s="309">
        <v>292383</v>
      </c>
      <c r="L47" s="309"/>
      <c r="M47" s="309"/>
      <c r="N47" s="309"/>
      <c r="O47" s="309">
        <v>167028</v>
      </c>
      <c r="P47" s="309"/>
      <c r="Q47" s="174">
        <f t="shared" si="2"/>
        <v>0</v>
      </c>
      <c r="R47" s="174">
        <f t="shared" si="3"/>
        <v>459411</v>
      </c>
      <c r="S47" s="172">
        <f>IF(H47=0,(Q47+R47/EERR!$D$2/1.19),(Q47+R47/EERR!$D$2/1.19)/H47)</f>
        <v>204.42661576147535</v>
      </c>
      <c r="T47" s="174">
        <f>R47+Q47*EERR!$D$2</f>
        <v>459411</v>
      </c>
      <c r="U47" s="169">
        <f>IFERROR(VLOOKUP(E47,Booking!$B$2:$R$100,16,FALSE),0)</f>
        <v>3</v>
      </c>
      <c r="V47" s="178">
        <f>SUMIF(Transbank!$A$2:$A$439,B47,Transbank!$L$2:$L$439)+(I47+M47)+(J47+N47)*EERR!$D$2</f>
        <v>459411</v>
      </c>
      <c r="W47" s="178">
        <f>V47/EERR!$D$2</f>
        <v>729.80301826846699</v>
      </c>
      <c r="X47" s="178">
        <f t="shared" si="4"/>
        <v>0</v>
      </c>
      <c r="Y47" s="178">
        <f t="shared" ref="Y47:Y51" si="11">(I47+K47+M47)/1.19</f>
        <v>245700</v>
      </c>
      <c r="Z47" s="178">
        <f t="shared" ref="Z47:Z51" si="12">IF(AA47="b",(I47+K47+M47)*0.19,0)</f>
        <v>0</v>
      </c>
      <c r="AA47" s="169">
        <f>IFERROR(VLOOKUP(A47,#REF!,8,FALSE),0)</f>
        <v>0</v>
      </c>
      <c r="AB47" s="40">
        <f t="shared" si="10"/>
        <v>0</v>
      </c>
    </row>
    <row r="48" spans="1:28" s="169" customFormat="1" x14ac:dyDescent="0.3">
      <c r="A48" s="306">
        <v>2686</v>
      </c>
      <c r="B48" s="306">
        <v>36898</v>
      </c>
      <c r="C48" s="307" t="s">
        <v>1202</v>
      </c>
      <c r="D48" s="307" t="s">
        <v>437</v>
      </c>
      <c r="E48" s="307">
        <v>1485336898</v>
      </c>
      <c r="F48" s="308">
        <v>43036</v>
      </c>
      <c r="G48" s="308">
        <v>43038</v>
      </c>
      <c r="H48" s="307">
        <v>2</v>
      </c>
      <c r="I48" s="309"/>
      <c r="J48" s="310"/>
      <c r="K48" s="309"/>
      <c r="L48" s="309">
        <v>195</v>
      </c>
      <c r="M48" s="309"/>
      <c r="N48" s="309"/>
      <c r="O48" s="309"/>
      <c r="P48" s="309">
        <v>220</v>
      </c>
      <c r="Q48" s="174">
        <f t="shared" si="2"/>
        <v>415</v>
      </c>
      <c r="R48" s="174">
        <f t="shared" si="3"/>
        <v>0</v>
      </c>
      <c r="S48" s="172">
        <f>IF(H48=0,(Q48+R48/EERR!$D$2/1.19),(Q48+R48/EERR!$D$2/1.19)/H48)</f>
        <v>207.5</v>
      </c>
      <c r="T48" s="174">
        <f>R48+Q48*EERR!$D$2</f>
        <v>261242.5</v>
      </c>
      <c r="U48" s="169">
        <f>IFERROR(VLOOKUP(E48,Booking!$B$2:$R$100,16,FALSE),0)</f>
        <v>2</v>
      </c>
      <c r="V48" s="178">
        <f>SUMIF(Transbank!$A$2:$A$439,B48,Transbank!$L$2:$L$439)+(I48+M48)+(J48+N48)*EERR!$D$2</f>
        <v>261242.5</v>
      </c>
      <c r="W48" s="178">
        <f>V48/EERR!$D$2</f>
        <v>415</v>
      </c>
      <c r="X48" s="178">
        <f t="shared" si="4"/>
        <v>0</v>
      </c>
      <c r="Y48" s="178">
        <f t="shared" si="11"/>
        <v>0</v>
      </c>
      <c r="Z48" s="178">
        <f t="shared" si="12"/>
        <v>0</v>
      </c>
      <c r="AA48" s="169">
        <f>IFERROR(VLOOKUP(A48,#REF!,8,FALSE),0)</f>
        <v>0</v>
      </c>
      <c r="AB48" s="40">
        <f t="shared" si="7"/>
        <v>415</v>
      </c>
    </row>
    <row r="49" spans="1:28" s="169" customFormat="1" x14ac:dyDescent="0.3">
      <c r="A49" s="306">
        <v>2687</v>
      </c>
      <c r="B49" s="306">
        <v>49685</v>
      </c>
      <c r="C49" s="307" t="s">
        <v>1203</v>
      </c>
      <c r="D49" s="307" t="s">
        <v>437</v>
      </c>
      <c r="E49" s="307">
        <v>1761349685</v>
      </c>
      <c r="F49" s="308">
        <v>43036</v>
      </c>
      <c r="G49" s="308">
        <v>43038</v>
      </c>
      <c r="H49" s="307">
        <v>2</v>
      </c>
      <c r="I49" s="309"/>
      <c r="J49" s="310"/>
      <c r="K49" s="309"/>
      <c r="L49" s="309">
        <v>175.5</v>
      </c>
      <c r="M49" s="309"/>
      <c r="N49" s="309"/>
      <c r="O49" s="309"/>
      <c r="P49" s="309">
        <v>198</v>
      </c>
      <c r="Q49" s="174">
        <f t="shared" si="2"/>
        <v>373.5</v>
      </c>
      <c r="R49" s="174">
        <f t="shared" si="3"/>
        <v>0</v>
      </c>
      <c r="S49" s="172">
        <f>IF(H49=0,(Q49+R49/EERR!$D$2/1.19),(Q49+R49/EERR!$D$2/1.19)/H49)</f>
        <v>186.75</v>
      </c>
      <c r="T49" s="174">
        <f>R49+Q49*EERR!$D$2</f>
        <v>235118.25</v>
      </c>
      <c r="U49" s="169">
        <f>IFERROR(VLOOKUP(E49,Booking!$B$2:$R$100,16,FALSE),0)</f>
        <v>2</v>
      </c>
      <c r="V49" s="178">
        <f>SUMIF(Transbank!$A$2:$A$439,B49,Transbank!$L$2:$L$439)+(I49+M49)+(J49+N49)*EERR!$D$2</f>
        <v>234334.16999999998</v>
      </c>
      <c r="W49" s="178">
        <f>V49/EERR!$D$2</f>
        <v>372.2544400317712</v>
      </c>
      <c r="X49" s="178">
        <f t="shared" si="4"/>
        <v>-784.0800000000163</v>
      </c>
      <c r="Y49" s="178">
        <f t="shared" si="11"/>
        <v>0</v>
      </c>
      <c r="Z49" s="178">
        <f t="shared" si="12"/>
        <v>0</v>
      </c>
      <c r="AA49" s="169">
        <f>IFERROR(VLOOKUP(A49,#REF!,8,FALSE),0)</f>
        <v>0</v>
      </c>
      <c r="AB49" s="40">
        <f t="shared" si="7"/>
        <v>373.5</v>
      </c>
    </row>
    <row r="50" spans="1:28" s="169" customFormat="1" x14ac:dyDescent="0.3">
      <c r="A50" s="306">
        <v>2689</v>
      </c>
      <c r="B50" s="306">
        <v>29193</v>
      </c>
      <c r="C50" s="307" t="s">
        <v>1204</v>
      </c>
      <c r="D50" s="307" t="s">
        <v>437</v>
      </c>
      <c r="E50" s="307">
        <v>1673429193</v>
      </c>
      <c r="F50" s="308">
        <v>43039</v>
      </c>
      <c r="G50" s="308">
        <v>43040</v>
      </c>
      <c r="H50" s="307">
        <v>9</v>
      </c>
      <c r="I50" s="309"/>
      <c r="J50" s="310"/>
      <c r="K50" s="309"/>
      <c r="L50" s="309">
        <v>858</v>
      </c>
      <c r="M50" s="309"/>
      <c r="N50" s="309"/>
      <c r="O50" s="309"/>
      <c r="P50" s="309">
        <v>858</v>
      </c>
      <c r="Q50" s="174">
        <f t="shared" si="2"/>
        <v>1716</v>
      </c>
      <c r="R50" s="174">
        <f t="shared" si="3"/>
        <v>0</v>
      </c>
      <c r="S50" s="172">
        <f>IF(H50=0,(Q50+R50/EERR!$D$2/1.19),(Q50+R50/EERR!$D$2/1.19)/H50)</f>
        <v>190.66666666666666</v>
      </c>
      <c r="T50" s="174">
        <f>R50+Q50*EERR!$D$2</f>
        <v>1080222</v>
      </c>
      <c r="U50" s="169">
        <f>IFERROR(VLOOKUP(E50,Booking!$B$2:$R$100,16,FALSE),0)</f>
        <v>9</v>
      </c>
      <c r="V50" s="320">
        <f>SUMIF(Transbank!$A$2:$A$439,B50,Transbank!$L$2:$L$439)+(I50+M50)+(J50+N50)*EERR!$D$2</f>
        <v>540111</v>
      </c>
      <c r="W50" s="178">
        <f>V50/EERR!$D$2</f>
        <v>858</v>
      </c>
      <c r="X50" s="178">
        <f t="shared" si="4"/>
        <v>-540111</v>
      </c>
      <c r="Y50" s="178">
        <f t="shared" si="11"/>
        <v>0</v>
      </c>
      <c r="Z50" s="178">
        <f t="shared" si="12"/>
        <v>0</v>
      </c>
      <c r="AA50" s="169">
        <f>IFERROR(VLOOKUP(A50,#REF!,8,FALSE),0)</f>
        <v>0</v>
      </c>
      <c r="AB50" s="40">
        <f t="shared" si="7"/>
        <v>1716</v>
      </c>
    </row>
    <row r="51" spans="1:28" s="169" customFormat="1" x14ac:dyDescent="0.3">
      <c r="A51" s="306">
        <v>2692</v>
      </c>
      <c r="B51" s="306">
        <v>26576</v>
      </c>
      <c r="C51" s="307" t="s">
        <v>1204</v>
      </c>
      <c r="D51" s="307" t="s">
        <v>437</v>
      </c>
      <c r="E51" s="307">
        <v>1295026576</v>
      </c>
      <c r="F51" s="308">
        <v>43039</v>
      </c>
      <c r="G51" s="308">
        <v>43040</v>
      </c>
      <c r="H51" s="307">
        <v>1</v>
      </c>
      <c r="I51" s="309"/>
      <c r="J51" s="310"/>
      <c r="K51" s="309"/>
      <c r="L51" s="309"/>
      <c r="M51" s="309"/>
      <c r="N51" s="309"/>
      <c r="O51" s="309"/>
      <c r="P51" s="309">
        <v>175.5</v>
      </c>
      <c r="Q51" s="174">
        <f t="shared" si="2"/>
        <v>175.5</v>
      </c>
      <c r="R51" s="174">
        <f t="shared" si="3"/>
        <v>0</v>
      </c>
      <c r="S51" s="172">
        <f>IF(H51=0,(Q51+R51/EERR!$D$2/1.19),(Q51+R51/EERR!$D$2/1.19)/H51)</f>
        <v>175.5</v>
      </c>
      <c r="T51" s="174">
        <f>R51+Q51*EERR!$D$2</f>
        <v>110477.25</v>
      </c>
      <c r="U51" s="169">
        <f>IFERROR(VLOOKUP(E51,Booking!$B$2:$R$100,16,FALSE),0)</f>
        <v>1</v>
      </c>
      <c r="V51" s="320">
        <f>SUMIF(Transbank!$A$2:$A$439,B51,Transbank!$L$2:$L$439)+(I51+M51)+(J51+N51)*EERR!$D$2</f>
        <v>110792</v>
      </c>
      <c r="W51" s="178">
        <f>V51/EERR!$D$2</f>
        <v>176</v>
      </c>
      <c r="X51" s="178">
        <f t="shared" si="4"/>
        <v>314.75</v>
      </c>
      <c r="Y51" s="178">
        <f t="shared" si="11"/>
        <v>0</v>
      </c>
      <c r="Z51" s="178">
        <f t="shared" si="12"/>
        <v>0</v>
      </c>
      <c r="AA51" s="169">
        <f>IFERROR(VLOOKUP(A51,#REF!,8,FALSE),0)</f>
        <v>0</v>
      </c>
      <c r="AB51" s="40">
        <f t="shared" si="7"/>
        <v>175.5</v>
      </c>
    </row>
    <row r="52" spans="1:28" x14ac:dyDescent="0.3">
      <c r="A52" s="290"/>
      <c r="B52" s="290"/>
      <c r="C52" s="290"/>
      <c r="D52" s="290"/>
      <c r="E52" s="290"/>
      <c r="F52" s="295"/>
      <c r="G52" s="295"/>
      <c r="H52" s="296">
        <f t="shared" ref="H52:N52" si="13">SUM(H3:H51)</f>
        <v>188</v>
      </c>
      <c r="I52" s="296">
        <f t="shared" si="13"/>
        <v>0</v>
      </c>
      <c r="J52" s="296">
        <f t="shared" si="13"/>
        <v>6675</v>
      </c>
      <c r="K52" s="296">
        <f t="shared" si="13"/>
        <v>2949185</v>
      </c>
      <c r="L52" s="296">
        <f t="shared" si="13"/>
        <v>15172</v>
      </c>
      <c r="M52" s="296">
        <f t="shared" si="13"/>
        <v>0</v>
      </c>
      <c r="N52" s="296">
        <f t="shared" si="13"/>
        <v>0</v>
      </c>
      <c r="O52" s="296"/>
      <c r="P52" s="296"/>
      <c r="Q52" s="296">
        <f>SUM(Q3:Q51)</f>
        <v>31088.5</v>
      </c>
      <c r="R52" s="296">
        <f>SUM(R3:R51)</f>
        <v>4665407</v>
      </c>
      <c r="S52" s="296">
        <f>IF(H52=0,(Q52+R52/EERR!$D$2/1.19),(Q52+R52/EERR!$D$2/1.19)/H52)</f>
        <v>198.49188678986712</v>
      </c>
      <c r="T52" s="296">
        <f>SUM(T3:T51)</f>
        <v>24235617.75</v>
      </c>
      <c r="U52" s="296"/>
      <c r="V52" s="296">
        <f>SUM(V3:V51)</f>
        <v>23589612.960000012</v>
      </c>
      <c r="W52" s="296"/>
      <c r="X52" s="178">
        <f t="shared" ref="X52:X105" si="14">+V52-T52</f>
        <v>-646004.78999998793</v>
      </c>
      <c r="Y52" s="184"/>
      <c r="Z52" s="184"/>
      <c r="AA52" s="169"/>
      <c r="AB52" s="40"/>
    </row>
    <row r="53" spans="1:28" s="142" customFormat="1" x14ac:dyDescent="0.3">
      <c r="A53" s="306">
        <v>2634</v>
      </c>
      <c r="B53" s="306">
        <v>9324</v>
      </c>
      <c r="C53" s="307" t="s">
        <v>1205</v>
      </c>
      <c r="D53" s="307" t="s">
        <v>359</v>
      </c>
      <c r="E53" s="307">
        <v>1909324</v>
      </c>
      <c r="F53" s="308">
        <v>43010</v>
      </c>
      <c r="G53" s="308">
        <v>43011</v>
      </c>
      <c r="H53" s="307">
        <v>1</v>
      </c>
      <c r="I53" s="309"/>
      <c r="J53" s="310">
        <v>185.25</v>
      </c>
      <c r="K53" s="309"/>
      <c r="L53" s="309"/>
      <c r="M53" s="309"/>
      <c r="N53" s="309"/>
      <c r="O53" s="309"/>
      <c r="P53" s="309"/>
      <c r="Q53" s="174">
        <f t="shared" ref="Q53" si="15">J53+L53+N53+P53</f>
        <v>185.25</v>
      </c>
      <c r="R53" s="174">
        <f t="shared" ref="R53" si="16">K53+M53+I53+O53</f>
        <v>0</v>
      </c>
      <c r="S53" s="172">
        <f>IF(H53=0,(Q53+R53/EERR!$D$2/1.19),(Q53+R53/EERR!$D$2/1.19)/H53)</f>
        <v>185.25</v>
      </c>
      <c r="T53" s="174">
        <f>R53+Q53*EERR!$D$2</f>
        <v>116614.875</v>
      </c>
      <c r="U53" s="169">
        <f>IFERROR(VLOOKUP(E53,Buuteeq!$A$2:$L$49,12,FALSE),0)</f>
        <v>1</v>
      </c>
      <c r="V53" s="178">
        <f>SUMIF(Transbank!$A$2:$A$439,B53,Transbank!$L$2:$L$439)+(I53+M53)+(J53+N53)*EERR!$D$2</f>
        <v>116614.875</v>
      </c>
      <c r="W53" s="184">
        <f>V53/EERR!$D$2</f>
        <v>185.25</v>
      </c>
      <c r="X53" s="178">
        <f t="shared" ref="X53" si="17">+V53-T53</f>
        <v>0</v>
      </c>
      <c r="Y53" s="184">
        <f t="shared" ref="Y53:Y67" si="18">(I53+K53+M53)/1.19</f>
        <v>0</v>
      </c>
      <c r="Z53" s="184">
        <f t="shared" ref="Z53:Z67" si="19">IF(AA53="b",(I53+K53+M53)*0.19,0)</f>
        <v>0</v>
      </c>
      <c r="AA53" s="169">
        <f>IFERROR(VLOOKUP(A53,#REF!,8,FALSE),0)</f>
        <v>0</v>
      </c>
      <c r="AB53" s="40">
        <f t="shared" ref="AB53:AB67" si="20">Q53-AA53</f>
        <v>185.25</v>
      </c>
    </row>
    <row r="54" spans="1:28" s="169" customFormat="1" x14ac:dyDescent="0.3">
      <c r="A54" s="306">
        <v>2637</v>
      </c>
      <c r="B54" s="306">
        <v>94716</v>
      </c>
      <c r="C54" s="307" t="s">
        <v>1206</v>
      </c>
      <c r="D54" s="307" t="s">
        <v>359</v>
      </c>
      <c r="E54" s="307">
        <v>1794716</v>
      </c>
      <c r="F54" s="308">
        <v>43011</v>
      </c>
      <c r="G54" s="308">
        <v>43014</v>
      </c>
      <c r="H54" s="307">
        <v>3</v>
      </c>
      <c r="I54" s="309"/>
      <c r="J54" s="310"/>
      <c r="K54" s="309"/>
      <c r="L54" s="309">
        <v>370.5</v>
      </c>
      <c r="M54" s="309"/>
      <c r="N54" s="309"/>
      <c r="O54" s="309"/>
      <c r="P54" s="309">
        <v>185.25</v>
      </c>
      <c r="Q54" s="174">
        <f t="shared" ref="Q54:Q67" si="21">J54+L54+N54+P54</f>
        <v>555.75</v>
      </c>
      <c r="R54" s="174">
        <f t="shared" ref="R54:R67" si="22">K54+M54+I54+O54</f>
        <v>0</v>
      </c>
      <c r="S54" s="172">
        <f>IF(H54=0,(Q54+R54/EERR!$D$2/1.19),(Q54+R54/EERR!$D$2/1.19)/H54)</f>
        <v>185.25</v>
      </c>
      <c r="T54" s="174">
        <f>R54+Q54*EERR!$D$2</f>
        <v>349844.625</v>
      </c>
      <c r="U54" s="169">
        <v>3</v>
      </c>
      <c r="V54" s="178">
        <f>SUMIF(Transbank!$A$2:$A$439,B54,Transbank!$L$2:$L$439)+(I54+M54)+(J54+N54)*EERR!$D$2</f>
        <v>348954.65</v>
      </c>
      <c r="W54" s="184">
        <f>V54/EERR!$D$2</f>
        <v>554.33621922160444</v>
      </c>
      <c r="X54" s="178">
        <f t="shared" ref="X54:X67" si="23">+V54-T54</f>
        <v>-889.97499999997672</v>
      </c>
      <c r="Y54" s="184">
        <f t="shared" si="18"/>
        <v>0</v>
      </c>
      <c r="Z54" s="184">
        <f t="shared" si="19"/>
        <v>0</v>
      </c>
      <c r="AA54" s="169">
        <f>IFERROR(VLOOKUP(A54,#REF!,8,FALSE),0)</f>
        <v>0</v>
      </c>
      <c r="AB54" s="40">
        <f t="shared" si="20"/>
        <v>555.75</v>
      </c>
    </row>
    <row r="55" spans="1:28" s="169" customFormat="1" x14ac:dyDescent="0.3">
      <c r="A55" s="306">
        <v>2640</v>
      </c>
      <c r="B55" s="306">
        <v>6776</v>
      </c>
      <c r="C55" s="307" t="s">
        <v>1207</v>
      </c>
      <c r="D55" s="307" t="s">
        <v>359</v>
      </c>
      <c r="E55" s="307">
        <v>1906776</v>
      </c>
      <c r="F55" s="308">
        <v>43011</v>
      </c>
      <c r="G55" s="308">
        <v>43014</v>
      </c>
      <c r="H55" s="307">
        <v>3</v>
      </c>
      <c r="I55" s="309"/>
      <c r="J55" s="310"/>
      <c r="K55" s="309"/>
      <c r="L55" s="309">
        <v>370</v>
      </c>
      <c r="M55" s="309"/>
      <c r="N55" s="309"/>
      <c r="O55" s="309"/>
      <c r="P55" s="309">
        <v>185.25</v>
      </c>
      <c r="Q55" s="174">
        <f t="shared" si="21"/>
        <v>555.25</v>
      </c>
      <c r="R55" s="174">
        <f t="shared" si="22"/>
        <v>0</v>
      </c>
      <c r="S55" s="172">
        <f>IF(H55=0,(Q55+R55/EERR!$D$2/1.19),(Q55+R55/EERR!$D$2/1.19)/H55)</f>
        <v>185.08333333333334</v>
      </c>
      <c r="T55" s="174">
        <f>R55+Q55*EERR!$D$2</f>
        <v>349529.875</v>
      </c>
      <c r="U55" s="169">
        <f>IFERROR(VLOOKUP(E55,Buuteeq!$A$2:$L$49,12,FALSE),0)</f>
        <v>3</v>
      </c>
      <c r="V55" s="178">
        <f>SUMIF(Transbank!$A$2:$A$439,B55,Transbank!$L$2:$L$439)+(I55+M55)+(J55+N55)*EERR!$D$2</f>
        <v>350263.46500000003</v>
      </c>
      <c r="W55" s="184">
        <f>V55/EERR!$D$2</f>
        <v>556.41535345512318</v>
      </c>
      <c r="X55" s="178">
        <f t="shared" si="23"/>
        <v>733.59000000002561</v>
      </c>
      <c r="Y55" s="184">
        <f t="shared" ref="Y55:Y64" si="24">(I55+K55+M55)/1.19</f>
        <v>0</v>
      </c>
      <c r="Z55" s="184">
        <f t="shared" ref="Z55:Z64" si="25">IF(AA55="b",(I55+K55+M55)*0.19,0)</f>
        <v>0</v>
      </c>
      <c r="AA55" s="169">
        <f>IFERROR(VLOOKUP(A55,#REF!,8,FALSE),0)</f>
        <v>0</v>
      </c>
      <c r="AB55" s="40">
        <f t="shared" ref="AB55:AB64" si="26">Q55-AA55</f>
        <v>555.25</v>
      </c>
    </row>
    <row r="56" spans="1:28" s="169" customFormat="1" x14ac:dyDescent="0.3">
      <c r="A56" s="306">
        <v>2641</v>
      </c>
      <c r="B56" s="306">
        <v>12996</v>
      </c>
      <c r="C56" s="307" t="s">
        <v>1207</v>
      </c>
      <c r="D56" s="307" t="s">
        <v>359</v>
      </c>
      <c r="E56" s="307">
        <v>1912996</v>
      </c>
      <c r="F56" s="308">
        <v>43014</v>
      </c>
      <c r="G56" s="308">
        <v>43015</v>
      </c>
      <c r="H56" s="307">
        <v>1</v>
      </c>
      <c r="I56" s="309"/>
      <c r="J56" s="310"/>
      <c r="K56" s="309"/>
      <c r="L56" s="309"/>
      <c r="M56" s="309"/>
      <c r="N56" s="309"/>
      <c r="O56" s="309"/>
      <c r="P56" s="309">
        <v>209</v>
      </c>
      <c r="Q56" s="174">
        <f t="shared" si="21"/>
        <v>209</v>
      </c>
      <c r="R56" s="174">
        <f t="shared" si="22"/>
        <v>0</v>
      </c>
      <c r="S56" s="172">
        <f>IF(H56=0,(Q56+R56/EERR!$D$2/1.19),(Q56+R56/EERR!$D$2/1.19)/H56)</f>
        <v>209</v>
      </c>
      <c r="T56" s="174">
        <f>R56+Q56*EERR!$D$2</f>
        <v>131565.5</v>
      </c>
      <c r="U56" s="169">
        <f>IFERROR(VLOOKUP(E56,Buuteeq!$A$2:$L$49,12,FALSE),0)</f>
        <v>1</v>
      </c>
      <c r="V56" s="178">
        <f>SUMIF(Transbank!$A$2:$A$439,B56,Transbank!$L$2:$L$439)+(I56+M56)+(J56+N56)*EERR!$D$2</f>
        <v>131565.5</v>
      </c>
      <c r="W56" s="184">
        <f>V56/EERR!$D$2</f>
        <v>209</v>
      </c>
      <c r="X56" s="178">
        <f t="shared" si="23"/>
        <v>0</v>
      </c>
      <c r="Y56" s="184">
        <f t="shared" ref="Y56:Y62" si="27">(I56+K56+M56)/1.19</f>
        <v>0</v>
      </c>
      <c r="Z56" s="184">
        <f t="shared" ref="Z56:Z62" si="28">IF(AA56="b",(I56+K56+M56)*0.19,0)</f>
        <v>0</v>
      </c>
      <c r="AA56" s="169">
        <f>IFERROR(VLOOKUP(A56,#REF!,8,FALSE),0)</f>
        <v>0</v>
      </c>
      <c r="AB56" s="40"/>
    </row>
    <row r="57" spans="1:28" s="169" customFormat="1" x14ac:dyDescent="0.3">
      <c r="A57" s="306">
        <v>2662</v>
      </c>
      <c r="B57" s="306">
        <v>2656</v>
      </c>
      <c r="C57" s="307" t="s">
        <v>1208</v>
      </c>
      <c r="D57" s="307" t="s">
        <v>359</v>
      </c>
      <c r="E57" s="307">
        <v>1902656</v>
      </c>
      <c r="F57" s="308">
        <v>43022</v>
      </c>
      <c r="G57" s="308">
        <v>43025</v>
      </c>
      <c r="H57" s="307">
        <v>3</v>
      </c>
      <c r="I57" s="309"/>
      <c r="J57" s="310"/>
      <c r="K57" s="309"/>
      <c r="L57" s="309">
        <v>555.75</v>
      </c>
      <c r="M57" s="309"/>
      <c r="N57" s="309"/>
      <c r="O57" s="309"/>
      <c r="P57" s="309"/>
      <c r="Q57" s="174">
        <f t="shared" si="21"/>
        <v>555.75</v>
      </c>
      <c r="R57" s="174">
        <f t="shared" si="22"/>
        <v>0</v>
      </c>
      <c r="S57" s="172">
        <f>IF(H57=0,(Q57+R57/EERR!$D$2/1.19),(Q57+R57/EERR!$D$2/1.19)/H57)</f>
        <v>185.25</v>
      </c>
      <c r="T57" s="174">
        <f>R57+Q57*EERR!$D$2</f>
        <v>349844.625</v>
      </c>
      <c r="U57" s="169">
        <f>IFERROR(VLOOKUP(E57,Buuteeq!$A$2:$L$49,12,FALSE),0)</f>
        <v>3</v>
      </c>
      <c r="V57" s="320">
        <f>SUMIF(Transbank!$A$2:$A$439,B57,Transbank!$L$2:$L$439)+(I57+M57)+(J57+N57)*EERR!$D$2</f>
        <v>490269.625</v>
      </c>
      <c r="W57" s="184">
        <f>V57/EERR!$D$2</f>
        <v>778.82386814932488</v>
      </c>
      <c r="X57" s="178">
        <f t="shared" si="23"/>
        <v>140425</v>
      </c>
      <c r="Y57" s="184">
        <f t="shared" si="27"/>
        <v>0</v>
      </c>
      <c r="Z57" s="184">
        <f t="shared" si="28"/>
        <v>0</v>
      </c>
      <c r="AA57" s="169">
        <f>IFERROR(VLOOKUP(A57,#REF!,8,FALSE),0)</f>
        <v>0</v>
      </c>
      <c r="AB57" s="40"/>
    </row>
    <row r="58" spans="1:28" s="169" customFormat="1" x14ac:dyDescent="0.3">
      <c r="A58" s="306">
        <v>2660</v>
      </c>
      <c r="B58" s="306">
        <v>28909</v>
      </c>
      <c r="C58" s="307" t="s">
        <v>1209</v>
      </c>
      <c r="D58" s="307" t="s">
        <v>359</v>
      </c>
      <c r="E58" s="307">
        <v>1928909</v>
      </c>
      <c r="F58" s="308">
        <v>43024</v>
      </c>
      <c r="G58" s="308">
        <v>43027</v>
      </c>
      <c r="H58" s="307">
        <v>3</v>
      </c>
      <c r="I58" s="309"/>
      <c r="J58" s="310"/>
      <c r="K58" s="309"/>
      <c r="L58" s="309">
        <v>555.75</v>
      </c>
      <c r="M58" s="309"/>
      <c r="N58" s="309"/>
      <c r="O58" s="309"/>
      <c r="P58" s="309"/>
      <c r="Q58" s="174">
        <f t="shared" si="21"/>
        <v>555.75</v>
      </c>
      <c r="R58" s="174">
        <f t="shared" si="22"/>
        <v>0</v>
      </c>
      <c r="S58" s="172">
        <f>IF(H58=0,(Q58+R58/EERR!$D$2/1.19),(Q58+R58/EERR!$D$2/1.19)/H58)</f>
        <v>185.25</v>
      </c>
      <c r="T58" s="174">
        <f>R58+Q58*EERR!$D$2</f>
        <v>349844.625</v>
      </c>
      <c r="U58" s="169">
        <f>IFERROR(VLOOKUP(E58,Buuteeq!$A$2:$L$49,12,FALSE),0)</f>
        <v>3</v>
      </c>
      <c r="V58" s="178">
        <f>SUMIF(Transbank!$A$2:$A$439,B58,Transbank!$L$2:$L$439)+(I58+M58)+(J58+N58)*EERR!$D$2</f>
        <v>349844.625</v>
      </c>
      <c r="W58" s="184">
        <f>V58/EERR!$D$2</f>
        <v>555.75</v>
      </c>
      <c r="X58" s="178">
        <f t="shared" si="23"/>
        <v>0</v>
      </c>
      <c r="Y58" s="184">
        <f t="shared" si="27"/>
        <v>0</v>
      </c>
      <c r="Z58" s="184">
        <f t="shared" si="28"/>
        <v>0</v>
      </c>
      <c r="AA58" s="169">
        <f>IFERROR(VLOOKUP(A58,#REF!,8,FALSE),0)</f>
        <v>0</v>
      </c>
      <c r="AB58" s="40"/>
    </row>
    <row r="59" spans="1:28" s="169" customFormat="1" x14ac:dyDescent="0.3">
      <c r="A59" s="306">
        <v>2675</v>
      </c>
      <c r="B59" s="306">
        <v>10879</v>
      </c>
      <c r="C59" s="307" t="s">
        <v>1210</v>
      </c>
      <c r="D59" s="307" t="s">
        <v>359</v>
      </c>
      <c r="E59" s="307">
        <v>1810879</v>
      </c>
      <c r="F59" s="308">
        <v>43025</v>
      </c>
      <c r="G59" s="308">
        <v>43028</v>
      </c>
      <c r="H59" s="307">
        <v>3</v>
      </c>
      <c r="I59" s="309"/>
      <c r="J59" s="310"/>
      <c r="K59" s="309"/>
      <c r="L59" s="309">
        <v>370.5</v>
      </c>
      <c r="M59" s="309"/>
      <c r="N59" s="309"/>
      <c r="O59" s="309"/>
      <c r="P59" s="309">
        <v>185.25</v>
      </c>
      <c r="Q59" s="174">
        <f t="shared" si="21"/>
        <v>555.75</v>
      </c>
      <c r="R59" s="174">
        <f t="shared" si="22"/>
        <v>0</v>
      </c>
      <c r="S59" s="172">
        <f>IF(H59=0,(Q59+R59/EERR!$D$2/1.19),(Q59+R59/EERR!$D$2/1.19)/H59)</f>
        <v>185.25</v>
      </c>
      <c r="T59" s="174">
        <f>R59+Q59*EERR!$D$2</f>
        <v>349844.625</v>
      </c>
      <c r="U59" s="169">
        <f>IFERROR(VLOOKUP(E59,Buuteeq!$A$2:$L$49,12,FALSE),0)</f>
        <v>3</v>
      </c>
      <c r="V59" s="178">
        <f>SUMIF(Transbank!$A$2:$A$439,B59,Transbank!$L$2:$L$439)+(I59+M59)+(J59+N59)*EERR!$D$2</f>
        <v>348954.65</v>
      </c>
      <c r="W59" s="184">
        <f>V59/EERR!$D$2</f>
        <v>554.33621922160444</v>
      </c>
      <c r="X59" s="178">
        <f t="shared" si="23"/>
        <v>-889.97499999997672</v>
      </c>
      <c r="Y59" s="184">
        <f t="shared" si="27"/>
        <v>0</v>
      </c>
      <c r="Z59" s="184">
        <f t="shared" si="28"/>
        <v>0</v>
      </c>
      <c r="AA59" s="169">
        <f>IFERROR(VLOOKUP(A59,#REF!,8,FALSE),0)</f>
        <v>0</v>
      </c>
      <c r="AB59" s="40"/>
    </row>
    <row r="60" spans="1:28" s="169" customFormat="1" x14ac:dyDescent="0.3">
      <c r="A60" s="306">
        <v>2659</v>
      </c>
      <c r="B60" s="306">
        <v>31010</v>
      </c>
      <c r="C60" s="307" t="s">
        <v>1211</v>
      </c>
      <c r="D60" s="307" t="s">
        <v>359</v>
      </c>
      <c r="E60" s="307">
        <v>1931010</v>
      </c>
      <c r="F60" s="308">
        <v>43026</v>
      </c>
      <c r="G60" s="308">
        <v>43027</v>
      </c>
      <c r="H60" s="307">
        <v>1</v>
      </c>
      <c r="I60" s="309"/>
      <c r="J60" s="310">
        <v>185.25</v>
      </c>
      <c r="K60" s="309"/>
      <c r="L60" s="309"/>
      <c r="M60" s="309"/>
      <c r="N60" s="309"/>
      <c r="O60" s="309"/>
      <c r="P60" s="309"/>
      <c r="Q60" s="174">
        <f t="shared" si="21"/>
        <v>185.25</v>
      </c>
      <c r="R60" s="174">
        <f t="shared" si="22"/>
        <v>0</v>
      </c>
      <c r="S60" s="172">
        <f>IF(H60=0,(Q60+R60/EERR!$D$2/1.19),(Q60+R60/EERR!$D$2/1.19)/H60)</f>
        <v>185.25</v>
      </c>
      <c r="T60" s="174">
        <f>R60+Q60*EERR!$D$2</f>
        <v>116614.875</v>
      </c>
      <c r="U60" s="169">
        <f>IFERROR(VLOOKUP(E60,Buuteeq!$A$2:$L$49,12,FALSE),0)</f>
        <v>1</v>
      </c>
      <c r="V60" s="178">
        <f>SUMIF(Transbank!$A$2:$A$439,B60,Transbank!$L$2:$L$439)+(I60+M60)+(J60+N60)*EERR!$D$2</f>
        <v>116614.875</v>
      </c>
      <c r="W60" s="184">
        <f>V60/EERR!$D$2</f>
        <v>185.25</v>
      </c>
      <c r="X60" s="178">
        <f t="shared" si="23"/>
        <v>0</v>
      </c>
      <c r="Y60" s="184">
        <f t="shared" si="27"/>
        <v>0</v>
      </c>
      <c r="Z60" s="184">
        <f t="shared" si="28"/>
        <v>0</v>
      </c>
      <c r="AA60" s="169">
        <f>IFERROR(VLOOKUP(A60,#REF!,8,FALSE),0)</f>
        <v>0</v>
      </c>
      <c r="AB60" s="40"/>
    </row>
    <row r="61" spans="1:28" s="169" customFormat="1" x14ac:dyDescent="0.3">
      <c r="A61" s="306">
        <v>2658</v>
      </c>
      <c r="B61" s="306">
        <v>31007</v>
      </c>
      <c r="C61" s="307" t="s">
        <v>1211</v>
      </c>
      <c r="D61" s="307" t="s">
        <v>359</v>
      </c>
      <c r="E61" s="307">
        <v>1931007</v>
      </c>
      <c r="F61" s="308">
        <v>43027</v>
      </c>
      <c r="G61" s="308">
        <v>43028</v>
      </c>
      <c r="H61" s="307">
        <v>1</v>
      </c>
      <c r="I61" s="309"/>
      <c r="J61" s="310">
        <v>185.25</v>
      </c>
      <c r="K61" s="309"/>
      <c r="L61" s="309"/>
      <c r="M61" s="309"/>
      <c r="N61" s="309"/>
      <c r="O61" s="309"/>
      <c r="P61" s="309"/>
      <c r="Q61" s="174">
        <f t="shared" si="21"/>
        <v>185.25</v>
      </c>
      <c r="R61" s="174">
        <f t="shared" si="22"/>
        <v>0</v>
      </c>
      <c r="S61" s="172">
        <f>IF(H61=0,(Q61+R61/EERR!$D$2/1.19),(Q61+R61/EERR!$D$2/1.19)/H61)</f>
        <v>185.25</v>
      </c>
      <c r="T61" s="174">
        <f>R61+Q61*EERR!$D$2</f>
        <v>116614.875</v>
      </c>
      <c r="U61" s="169">
        <f>IFERROR(VLOOKUP(E61,Buuteeq!$A$2:$L$49,12,FALSE),0)</f>
        <v>1</v>
      </c>
      <c r="V61" s="178">
        <f>SUMIF(Transbank!$A$2:$A$439,B61,Transbank!$L$2:$L$439)+(I61+M61)+(J61+N61)*EERR!$D$2</f>
        <v>116614.875</v>
      </c>
      <c r="W61" s="184">
        <f>V61/EERR!$D$2</f>
        <v>185.25</v>
      </c>
      <c r="X61" s="178">
        <f t="shared" si="23"/>
        <v>0</v>
      </c>
      <c r="Y61" s="184">
        <f t="shared" si="27"/>
        <v>0</v>
      </c>
      <c r="Z61" s="184">
        <f t="shared" si="28"/>
        <v>0</v>
      </c>
      <c r="AA61" s="169">
        <f>IFERROR(VLOOKUP(A61,#REF!,8,FALSE),0)</f>
        <v>0</v>
      </c>
      <c r="AB61" s="40"/>
    </row>
    <row r="62" spans="1:28" s="169" customFormat="1" x14ac:dyDescent="0.3">
      <c r="A62" s="306">
        <v>2679</v>
      </c>
      <c r="B62" s="306">
        <v>66238</v>
      </c>
      <c r="C62" s="307" t="s">
        <v>1212</v>
      </c>
      <c r="D62" s="307" t="s">
        <v>359</v>
      </c>
      <c r="E62" s="307">
        <v>1466238</v>
      </c>
      <c r="F62" s="308">
        <v>43030</v>
      </c>
      <c r="G62" s="308">
        <v>43034</v>
      </c>
      <c r="H62" s="307">
        <v>4</v>
      </c>
      <c r="I62" s="309"/>
      <c r="J62" s="310"/>
      <c r="K62" s="309"/>
      <c r="L62" s="309">
        <v>555.75</v>
      </c>
      <c r="M62" s="309"/>
      <c r="N62" s="309"/>
      <c r="O62" s="309"/>
      <c r="P62" s="309">
        <v>185.25</v>
      </c>
      <c r="Q62" s="174">
        <f t="shared" si="21"/>
        <v>741</v>
      </c>
      <c r="R62" s="174">
        <f t="shared" si="22"/>
        <v>0</v>
      </c>
      <c r="S62" s="172">
        <f>IF(H62=0,(Q62+R62/EERR!$D$2/1.19),(Q62+R62/EERR!$D$2/1.19)/H62)</f>
        <v>185.25</v>
      </c>
      <c r="T62" s="174">
        <f>R62+Q62*EERR!$D$2</f>
        <v>466459.5</v>
      </c>
      <c r="U62" s="169">
        <f>IFERROR(VLOOKUP(E62,Buuteeq!$A$2:$L$49,12,FALSE),0)</f>
        <v>4</v>
      </c>
      <c r="V62" s="178">
        <f>SUMIF(Transbank!$A$2:$A$439,B62,Transbank!$L$2:$L$439)+(I62+M62)+(J62+N62)*EERR!$D$2</f>
        <v>465569.52500000002</v>
      </c>
      <c r="W62" s="184">
        <f>V62/EERR!$D$2</f>
        <v>739.58621922160444</v>
      </c>
      <c r="X62" s="178">
        <f t="shared" si="23"/>
        <v>-889.97499999997672</v>
      </c>
      <c r="Y62" s="184">
        <f t="shared" si="27"/>
        <v>0</v>
      </c>
      <c r="Z62" s="184">
        <f t="shared" si="28"/>
        <v>0</v>
      </c>
      <c r="AA62" s="169">
        <f>IFERROR(VLOOKUP(A62,#REF!,8,FALSE),0)</f>
        <v>0</v>
      </c>
      <c r="AB62" s="40"/>
    </row>
    <row r="63" spans="1:28" s="169" customFormat="1" x14ac:dyDescent="0.3">
      <c r="A63" s="306">
        <v>2688</v>
      </c>
      <c r="B63" s="306">
        <v>66239</v>
      </c>
      <c r="C63" s="307" t="s">
        <v>1212</v>
      </c>
      <c r="D63" s="307" t="s">
        <v>359</v>
      </c>
      <c r="E63" s="307">
        <v>1466239</v>
      </c>
      <c r="F63" s="308">
        <v>43037</v>
      </c>
      <c r="G63" s="308">
        <v>43038</v>
      </c>
      <c r="H63" s="307">
        <v>1</v>
      </c>
      <c r="I63" s="309"/>
      <c r="J63" s="310"/>
      <c r="K63" s="309"/>
      <c r="L63" s="309"/>
      <c r="M63" s="309"/>
      <c r="N63" s="309"/>
      <c r="O63" s="309"/>
      <c r="P63" s="309">
        <v>185.25</v>
      </c>
      <c r="Q63" s="174">
        <f t="shared" si="21"/>
        <v>185.25</v>
      </c>
      <c r="R63" s="174">
        <f t="shared" si="22"/>
        <v>0</v>
      </c>
      <c r="S63" s="172">
        <f>IF(H63=0,(Q63+R63/EERR!$D$2/1.19),(Q63+R63/EERR!$D$2/1.19)/H63)</f>
        <v>185.25</v>
      </c>
      <c r="T63" s="174">
        <f>R63+Q63*EERR!$D$2</f>
        <v>116614.875</v>
      </c>
      <c r="U63" s="169">
        <f>IFERROR(VLOOKUP(E63,Buuteeq!$A$2:$L$49,12,FALSE),0)</f>
        <v>1</v>
      </c>
      <c r="V63" s="178">
        <f>SUMIF(Transbank!$A$2:$A$439,B63,Transbank!$L$2:$L$439)+(I63+M63)+(J63+N63)*EERR!$D$2</f>
        <v>115724.9</v>
      </c>
      <c r="W63" s="184">
        <f>V63/EERR!$D$2</f>
        <v>183.83621922160444</v>
      </c>
      <c r="X63" s="178">
        <f t="shared" si="23"/>
        <v>-889.97500000000582</v>
      </c>
      <c r="Y63" s="184">
        <f t="shared" si="24"/>
        <v>0</v>
      </c>
      <c r="Z63" s="184">
        <f t="shared" si="25"/>
        <v>0</v>
      </c>
      <c r="AA63" s="169">
        <f>IFERROR(VLOOKUP(A63,#REF!,8,FALSE),0)</f>
        <v>0</v>
      </c>
      <c r="AB63" s="40">
        <f t="shared" si="26"/>
        <v>185.25</v>
      </c>
    </row>
    <row r="64" spans="1:28" s="169" customFormat="1" x14ac:dyDescent="0.3">
      <c r="A64" s="306">
        <v>18243</v>
      </c>
      <c r="B64" s="306">
        <v>18243</v>
      </c>
      <c r="C64" s="307" t="s">
        <v>1167</v>
      </c>
      <c r="D64" s="307" t="s">
        <v>359</v>
      </c>
      <c r="E64" s="307">
        <v>1818243</v>
      </c>
      <c r="F64" s="308">
        <v>43014</v>
      </c>
      <c r="G64" s="308">
        <v>43019</v>
      </c>
      <c r="H64" s="307">
        <v>5</v>
      </c>
      <c r="I64" s="309"/>
      <c r="J64" s="310"/>
      <c r="K64" s="309">
        <v>592076</v>
      </c>
      <c r="L64" s="309"/>
      <c r="M64" s="309"/>
      <c r="N64" s="309"/>
      <c r="O64" s="309">
        <v>154449</v>
      </c>
      <c r="P64" s="309"/>
      <c r="Q64" s="174">
        <f t="shared" si="21"/>
        <v>0</v>
      </c>
      <c r="R64" s="174">
        <f t="shared" si="22"/>
        <v>746525</v>
      </c>
      <c r="S64" s="172">
        <f>IF(H64=0,(Q64+R64/EERR!$D$2/1.19),(Q64+R64/EERR!$D$2/1.19)/H64)</f>
        <v>199.31117800575353</v>
      </c>
      <c r="T64" s="174">
        <f>R64+Q64*EERR!$D$2</f>
        <v>746525</v>
      </c>
      <c r="U64" s="169">
        <f>IFERROR(VLOOKUP(E64,Buuteeq!$A$2:$L$49,12,FALSE),0)</f>
        <v>5</v>
      </c>
      <c r="V64" s="178">
        <f>SUMIF(Transbank!$A$2:$A$439,B64,Transbank!$L$2:$L$439)+(I64+M64)+(J64+N64)*EERR!$D$2</f>
        <v>746525</v>
      </c>
      <c r="W64" s="184">
        <f>V64/EERR!$D$2</f>
        <v>1185.9015091342335</v>
      </c>
      <c r="X64" s="178">
        <f t="shared" si="23"/>
        <v>0</v>
      </c>
      <c r="Y64" s="184">
        <f t="shared" si="24"/>
        <v>497542.85714285716</v>
      </c>
      <c r="Z64" s="184">
        <f t="shared" si="25"/>
        <v>0</v>
      </c>
      <c r="AA64" s="169">
        <f>IFERROR(VLOOKUP(A64,#REF!,8,FALSE),0)</f>
        <v>0</v>
      </c>
      <c r="AB64" s="40">
        <f t="shared" si="26"/>
        <v>0</v>
      </c>
    </row>
    <row r="65" spans="1:28" s="169" customFormat="1" x14ac:dyDescent="0.3">
      <c r="A65" s="306">
        <v>2653</v>
      </c>
      <c r="B65" s="306">
        <v>84347</v>
      </c>
      <c r="C65" s="307" t="s">
        <v>1176</v>
      </c>
      <c r="D65" s="307" t="s">
        <v>359</v>
      </c>
      <c r="E65" s="307">
        <v>1584347</v>
      </c>
      <c r="F65" s="308">
        <v>43018</v>
      </c>
      <c r="G65" s="308">
        <v>43021</v>
      </c>
      <c r="H65" s="307">
        <v>12</v>
      </c>
      <c r="I65" s="309"/>
      <c r="J65" s="310"/>
      <c r="K65" s="309"/>
      <c r="L65" s="309">
        <v>1667.25</v>
      </c>
      <c r="M65" s="309"/>
      <c r="N65" s="309"/>
      <c r="O65" s="309"/>
      <c r="P65" s="309">
        <v>555.75</v>
      </c>
      <c r="Q65" s="174">
        <f t="shared" si="21"/>
        <v>2223</v>
      </c>
      <c r="R65" s="174">
        <f t="shared" si="22"/>
        <v>0</v>
      </c>
      <c r="S65" s="172">
        <f>IF(H65=0,(Q65+R65/EERR!$D$2/1.19),(Q65+R65/EERR!$D$2/1.19)/H65)</f>
        <v>185.25</v>
      </c>
      <c r="T65" s="174">
        <f>R65+Q65*EERR!$D$2</f>
        <v>1399378.5</v>
      </c>
      <c r="U65" s="169">
        <f>IFERROR(VLOOKUP(E65,Buuteeq!$A$2:$L$49,12,FALSE),0)</f>
        <v>12</v>
      </c>
      <c r="V65" s="178">
        <f>SUMIF(Transbank!$A$2:$A$439,B65,Transbank!$L$2:$L$439)+(I65+M65)+(J65+N65)*EERR!$D$2</f>
        <v>1390575.42</v>
      </c>
      <c r="W65" s="184">
        <f>V65/EERR!$D$2</f>
        <v>2209.0157585385227</v>
      </c>
      <c r="X65" s="178">
        <f t="shared" si="23"/>
        <v>-8803.0800000000745</v>
      </c>
      <c r="Y65" s="184">
        <f t="shared" si="18"/>
        <v>0</v>
      </c>
      <c r="Z65" s="184">
        <f t="shared" si="19"/>
        <v>0</v>
      </c>
      <c r="AA65" s="169">
        <f>IFERROR(VLOOKUP(A65,#REF!,8,FALSE),0)</f>
        <v>0</v>
      </c>
      <c r="AB65" s="40">
        <f t="shared" si="20"/>
        <v>2223</v>
      </c>
    </row>
    <row r="66" spans="1:28" s="169" customFormat="1" x14ac:dyDescent="0.3">
      <c r="A66" s="306"/>
      <c r="B66" s="306"/>
      <c r="C66" s="307"/>
      <c r="D66" s="307"/>
      <c r="E66" s="307"/>
      <c r="F66" s="308"/>
      <c r="G66" s="308"/>
      <c r="H66" s="307"/>
      <c r="I66" s="309"/>
      <c r="J66" s="310"/>
      <c r="K66" s="309"/>
      <c r="L66" s="309"/>
      <c r="M66" s="309"/>
      <c r="N66" s="309"/>
      <c r="O66" s="309"/>
      <c r="P66" s="309"/>
      <c r="Q66" s="174">
        <f t="shared" si="21"/>
        <v>0</v>
      </c>
      <c r="R66" s="174">
        <f t="shared" si="22"/>
        <v>0</v>
      </c>
      <c r="S66" s="172">
        <f>IF(H66=0,(Q66+R66/EERR!$D$2/1.19),(Q66+R66/EERR!$D$2/1.19)/H66)</f>
        <v>0</v>
      </c>
      <c r="T66" s="174">
        <f>R66+Q66*EERR!$D$2</f>
        <v>0</v>
      </c>
      <c r="U66" s="169">
        <f>IFERROR(VLOOKUP(E66,Buuteeq!$A$2:$L$49,12,FALSE),0)</f>
        <v>0</v>
      </c>
      <c r="V66" s="178">
        <f>SUMIF(Transbank!$A$2:$A$439,B66,Transbank!$L$2:$L$439)+(I66+M66)+(J66+N66)*EERR!$D$2</f>
        <v>0</v>
      </c>
      <c r="W66" s="184">
        <f>V66/EERR!$D$2</f>
        <v>0</v>
      </c>
      <c r="X66" s="178">
        <f t="shared" si="23"/>
        <v>0</v>
      </c>
      <c r="Y66" s="184">
        <f t="shared" si="18"/>
        <v>0</v>
      </c>
      <c r="Z66" s="184">
        <f t="shared" si="19"/>
        <v>0</v>
      </c>
      <c r="AA66" s="169">
        <f>IFERROR(VLOOKUP(A66,#REF!,8,FALSE),0)</f>
        <v>0</v>
      </c>
      <c r="AB66" s="40">
        <f t="shared" si="20"/>
        <v>0</v>
      </c>
    </row>
    <row r="67" spans="1:28" s="169" customFormat="1" x14ac:dyDescent="0.3">
      <c r="A67" s="306"/>
      <c r="B67" s="306"/>
      <c r="C67" s="307"/>
      <c r="D67" s="307"/>
      <c r="E67" s="307"/>
      <c r="F67" s="308"/>
      <c r="G67" s="308"/>
      <c r="H67" s="307"/>
      <c r="I67" s="309"/>
      <c r="J67" s="310"/>
      <c r="K67" s="309"/>
      <c r="L67" s="309"/>
      <c r="M67" s="309"/>
      <c r="N67" s="309"/>
      <c r="O67" s="309"/>
      <c r="P67" s="309"/>
      <c r="Q67" s="174">
        <f t="shared" si="21"/>
        <v>0</v>
      </c>
      <c r="R67" s="174">
        <f t="shared" si="22"/>
        <v>0</v>
      </c>
      <c r="S67" s="172">
        <f>IF(H67=0,(Q67+R67/EERR!$D$2/1.19),(Q67+R67/EERR!$D$2/1.19)/H67)</f>
        <v>0</v>
      </c>
      <c r="T67" s="174">
        <f>R67+Q67*EERR!$D$2</f>
        <v>0</v>
      </c>
      <c r="U67" s="169">
        <f>IFERROR(VLOOKUP(E67,Buuteeq!$A$2:$L$49,12,FALSE),0)</f>
        <v>0</v>
      </c>
      <c r="V67" s="178">
        <f>SUMIF(Transbank!$A$2:$A$439,B67,Transbank!$L$2:$L$439)+(I67+M67)+(J67+N67)*EERR!$D$2</f>
        <v>0</v>
      </c>
      <c r="W67" s="184">
        <f>V67/EERR!$D$2</f>
        <v>0</v>
      </c>
      <c r="X67" s="178">
        <f t="shared" si="23"/>
        <v>0</v>
      </c>
      <c r="Y67" s="184">
        <f t="shared" si="18"/>
        <v>0</v>
      </c>
      <c r="Z67" s="184">
        <f t="shared" si="19"/>
        <v>0</v>
      </c>
      <c r="AA67" s="169">
        <f>IFERROR(VLOOKUP(A67,#REF!,8,FALSE),0)</f>
        <v>0</v>
      </c>
      <c r="AB67" s="40">
        <f t="shared" si="20"/>
        <v>0</v>
      </c>
    </row>
    <row r="68" spans="1:28" x14ac:dyDescent="0.3">
      <c r="A68" s="290"/>
      <c r="B68" s="290"/>
      <c r="C68" s="290"/>
      <c r="D68" s="290"/>
      <c r="E68" s="290"/>
      <c r="F68" s="295"/>
      <c r="G68" s="295"/>
      <c r="H68" s="296">
        <f t="shared" ref="H68:R68" si="29">SUM(H53:H67)</f>
        <v>41</v>
      </c>
      <c r="I68" s="296">
        <f t="shared" si="29"/>
        <v>0</v>
      </c>
      <c r="J68" s="296">
        <f t="shared" si="29"/>
        <v>555.75</v>
      </c>
      <c r="K68" s="296">
        <f t="shared" si="29"/>
        <v>592076</v>
      </c>
      <c r="L68" s="296">
        <f t="shared" si="29"/>
        <v>4445.5</v>
      </c>
      <c r="M68" s="296">
        <f t="shared" si="29"/>
        <v>0</v>
      </c>
      <c r="N68" s="296">
        <f t="shared" si="29"/>
        <v>0</v>
      </c>
      <c r="O68" s="296">
        <f t="shared" si="29"/>
        <v>154449</v>
      </c>
      <c r="P68" s="296">
        <f t="shared" si="29"/>
        <v>1691</v>
      </c>
      <c r="Q68" s="296">
        <f t="shared" si="29"/>
        <v>6692.25</v>
      </c>
      <c r="R68" s="296">
        <f t="shared" si="29"/>
        <v>746525</v>
      </c>
      <c r="S68" s="296">
        <f>IF(H68=0,(Q68+R68/EERR!$D$2/1.19),(Q68+R68/EERR!$D$2/1.19)/H68)</f>
        <v>187.5318509763114</v>
      </c>
      <c r="T68" s="296">
        <f>SUM(T53:T67)</f>
        <v>4959296.375</v>
      </c>
      <c r="U68" s="296"/>
      <c r="V68" s="296">
        <f>SUM(V53:V67)</f>
        <v>5088091.9849999994</v>
      </c>
      <c r="W68" s="296"/>
      <c r="X68" s="178">
        <f t="shared" si="14"/>
        <v>128795.6099999994</v>
      </c>
      <c r="Y68" s="184"/>
      <c r="Z68" s="184"/>
      <c r="AA68" s="169"/>
      <c r="AB68" s="40"/>
    </row>
    <row r="69" spans="1:28" x14ac:dyDescent="0.3">
      <c r="A69" s="306">
        <v>2644</v>
      </c>
      <c r="B69" s="306">
        <v>76656</v>
      </c>
      <c r="C69" s="307" t="s">
        <v>1213</v>
      </c>
      <c r="D69" s="307" t="s">
        <v>369</v>
      </c>
      <c r="E69" s="307">
        <v>860076656</v>
      </c>
      <c r="F69" s="308">
        <v>43014</v>
      </c>
      <c r="G69" s="308">
        <v>43015</v>
      </c>
      <c r="H69" s="307">
        <v>1</v>
      </c>
      <c r="I69" s="309"/>
      <c r="J69" s="310"/>
      <c r="K69" s="309"/>
      <c r="L69" s="309"/>
      <c r="M69" s="309"/>
      <c r="N69" s="309"/>
      <c r="O69" s="309"/>
      <c r="P69" s="309">
        <v>220</v>
      </c>
      <c r="Q69" s="174">
        <f t="shared" ref="Q69" si="30">J69+L69+N69+P69</f>
        <v>220</v>
      </c>
      <c r="R69" s="174">
        <f t="shared" ref="R69" si="31">K69+M69+I69+O69</f>
        <v>0</v>
      </c>
      <c r="S69" s="172">
        <f>IF(H69=0,(Q69+R69/EERR!$D$2/1.19),(Q69+R69/EERR!$D$2/1.19)/H69)</f>
        <v>220</v>
      </c>
      <c r="T69" s="174">
        <f>R69+Q69*EERR!$D$2</f>
        <v>138490</v>
      </c>
      <c r="U69" s="169">
        <f>IFERROR(VLOOKUP(E69,Expedia!$A$5:$J$25,9,FALSE),0)</f>
        <v>1</v>
      </c>
      <c r="V69" s="284">
        <f>SUMIF(Transbank!$A$2:$A$439,B69,Transbank!$L$2:$L$439)+(I69+M69)+(J69+N69)*EERR!$D$2</f>
        <v>137618.79999999999</v>
      </c>
      <c r="W69" s="178">
        <f>V69/EERR!$D$2</f>
        <v>218.61604447974582</v>
      </c>
      <c r="X69" s="178">
        <f t="shared" si="14"/>
        <v>-871.20000000001164</v>
      </c>
      <c r="Y69" s="178">
        <f t="shared" ref="Y69" si="32">(I69+K69+M69)/1.19</f>
        <v>0</v>
      </c>
      <c r="Z69" s="178">
        <f t="shared" ref="Z69" si="33">IF(AA69="b",(I69+K69+M69)*0.19,0)</f>
        <v>0</v>
      </c>
      <c r="AA69" s="169">
        <f>IFERROR(VLOOKUP(A69,#REF!,8,FALSE),0)</f>
        <v>0</v>
      </c>
      <c r="AB69" s="40">
        <f t="shared" ref="AB69" si="34">Q69-AA69</f>
        <v>220</v>
      </c>
    </row>
    <row r="70" spans="1:28" s="169" customFormat="1" x14ac:dyDescent="0.3">
      <c r="A70" s="306">
        <v>2655</v>
      </c>
      <c r="B70" s="306">
        <v>52958</v>
      </c>
      <c r="C70" s="307" t="s">
        <v>1214</v>
      </c>
      <c r="D70" s="307" t="s">
        <v>369</v>
      </c>
      <c r="E70" s="307">
        <v>894952958</v>
      </c>
      <c r="F70" s="308">
        <v>43020</v>
      </c>
      <c r="G70" s="308">
        <v>43024</v>
      </c>
      <c r="H70" s="307">
        <v>4</v>
      </c>
      <c r="I70" s="309"/>
      <c r="J70" s="310"/>
      <c r="K70" s="309"/>
      <c r="L70" s="309">
        <v>585</v>
      </c>
      <c r="M70" s="309"/>
      <c r="N70" s="309"/>
      <c r="O70" s="309"/>
      <c r="P70" s="309">
        <v>195</v>
      </c>
      <c r="Q70" s="174">
        <f t="shared" ref="Q70:Q83" si="35">J70+L70+N70+P70</f>
        <v>780</v>
      </c>
      <c r="R70" s="174">
        <f t="shared" ref="R70:R83" si="36">K70+M70+I70+O70</f>
        <v>0</v>
      </c>
      <c r="S70" s="172">
        <f>IF(H70=0,(Q70+R70/EERR!$D$2/1.19),(Q70+R70/EERR!$D$2/1.19)/H70)</f>
        <v>195</v>
      </c>
      <c r="T70" s="174">
        <f>R70+Q70*EERR!$D$2</f>
        <v>491010</v>
      </c>
      <c r="U70" s="169">
        <f>IFERROR(VLOOKUP(E70,Expedia!$A$5:$J$25,9,FALSE),0)</f>
        <v>4</v>
      </c>
      <c r="V70" s="284">
        <f>SUMIF(Transbank!$A$2:$A$439,B70,Transbank!$L$2:$L$439)+(I70+M70)+(J70+N70)*EERR!$D$2</f>
        <v>490237.8</v>
      </c>
      <c r="W70" s="178">
        <f>V70/EERR!$D$2</f>
        <v>778.77331215250194</v>
      </c>
      <c r="X70" s="178">
        <f t="shared" ref="X70:X83" si="37">+V70-T70</f>
        <v>-772.20000000001164</v>
      </c>
      <c r="Y70" s="178"/>
      <c r="Z70" s="178"/>
      <c r="AB70" s="40"/>
    </row>
    <row r="71" spans="1:28" s="169" customFormat="1" x14ac:dyDescent="0.3">
      <c r="A71" s="306">
        <v>52253</v>
      </c>
      <c r="B71" s="306">
        <v>52253</v>
      </c>
      <c r="C71" s="307" t="s">
        <v>1215</v>
      </c>
      <c r="D71" s="307" t="s">
        <v>369</v>
      </c>
      <c r="E71" s="307">
        <v>914152253</v>
      </c>
      <c r="F71" s="308">
        <v>43022</v>
      </c>
      <c r="G71" s="308">
        <v>43024</v>
      </c>
      <c r="H71" s="307">
        <v>2</v>
      </c>
      <c r="I71" s="309"/>
      <c r="J71" s="310"/>
      <c r="K71" s="309">
        <v>145031</v>
      </c>
      <c r="L71" s="309"/>
      <c r="M71" s="309"/>
      <c r="N71" s="309"/>
      <c r="O71" s="309">
        <v>144799</v>
      </c>
      <c r="P71" s="309"/>
      <c r="Q71" s="174">
        <f t="shared" si="35"/>
        <v>0</v>
      </c>
      <c r="R71" s="174">
        <f t="shared" si="36"/>
        <v>289830</v>
      </c>
      <c r="S71" s="172">
        <f>IF(H71=0,(Q71+R71/EERR!$D$2/1.19),(Q71+R71/EERR!$D$2/1.19)/H71)</f>
        <v>193.4508513492768</v>
      </c>
      <c r="T71" s="174">
        <f>R71+Q71*EERR!$D$2</f>
        <v>289830</v>
      </c>
      <c r="U71" s="169">
        <f>IFERROR(VLOOKUP(E71,Expedia!$A$5:$J$25,9,FALSE),0)</f>
        <v>2</v>
      </c>
      <c r="V71" s="284">
        <f>SUMIF(Transbank!$A$2:$A$439,B71,Transbank!$L$2:$L$439)+(I71+M71)+(J71+N71)*EERR!$D$2</f>
        <v>289830</v>
      </c>
      <c r="W71" s="178">
        <f>V71/EERR!$D$2</f>
        <v>460.4130262112788</v>
      </c>
      <c r="X71" s="178">
        <f t="shared" si="37"/>
        <v>0</v>
      </c>
      <c r="Y71" s="178"/>
      <c r="Z71" s="178"/>
      <c r="AB71" s="40"/>
    </row>
    <row r="72" spans="1:28" s="169" customFormat="1" x14ac:dyDescent="0.3">
      <c r="A72" s="306">
        <v>2656</v>
      </c>
      <c r="B72" s="306">
        <v>59084</v>
      </c>
      <c r="C72" s="307" t="s">
        <v>1211</v>
      </c>
      <c r="D72" s="307" t="s">
        <v>369</v>
      </c>
      <c r="E72" s="307">
        <v>911359084</v>
      </c>
      <c r="F72" s="308">
        <v>43023</v>
      </c>
      <c r="G72" s="308">
        <v>43026</v>
      </c>
      <c r="H72" s="307">
        <v>3</v>
      </c>
      <c r="I72" s="309"/>
      <c r="J72" s="310">
        <v>390</v>
      </c>
      <c r="K72" s="309"/>
      <c r="L72" s="309"/>
      <c r="M72" s="309"/>
      <c r="N72" s="309"/>
      <c r="O72" s="309"/>
      <c r="P72" s="309">
        <v>195</v>
      </c>
      <c r="Q72" s="174">
        <f t="shared" si="35"/>
        <v>585</v>
      </c>
      <c r="R72" s="174">
        <f t="shared" si="36"/>
        <v>0</v>
      </c>
      <c r="S72" s="172">
        <f>IF(H72=0,(Q72+R72/EERR!$D$2/1.19),(Q72+R72/EERR!$D$2/1.19)/H72)</f>
        <v>195</v>
      </c>
      <c r="T72" s="174">
        <f>R72+Q72*EERR!$D$2</f>
        <v>368257.5</v>
      </c>
      <c r="U72" s="169">
        <f>IFERROR(VLOOKUP(E72,Expedia!$A$5:$J$25,9,FALSE),0)</f>
        <v>3</v>
      </c>
      <c r="V72" s="284">
        <f>SUMIF(Transbank!$A$2:$A$439,B72,Transbank!$L$2:$L$439)+(I72+M72)+(J72+N72)*EERR!$D$2</f>
        <v>367485.3</v>
      </c>
      <c r="W72" s="178">
        <f>V72/EERR!$D$2</f>
        <v>583.77331215250194</v>
      </c>
      <c r="X72" s="178">
        <f t="shared" si="37"/>
        <v>-772.20000000001164</v>
      </c>
      <c r="Y72" s="178"/>
      <c r="Z72" s="178"/>
      <c r="AB72" s="40"/>
    </row>
    <row r="73" spans="1:28" s="169" customFormat="1" x14ac:dyDescent="0.3">
      <c r="A73" s="306">
        <v>2669</v>
      </c>
      <c r="B73" s="306">
        <v>5315</v>
      </c>
      <c r="C73" s="307" t="s">
        <v>1216</v>
      </c>
      <c r="D73" s="307" t="s">
        <v>369</v>
      </c>
      <c r="E73" s="307">
        <v>817505315</v>
      </c>
      <c r="F73" s="308">
        <v>43023</v>
      </c>
      <c r="G73" s="308">
        <v>43027</v>
      </c>
      <c r="H73" s="307">
        <v>4</v>
      </c>
      <c r="I73" s="309"/>
      <c r="J73" s="310">
        <v>526.5</v>
      </c>
      <c r="K73" s="309"/>
      <c r="L73" s="309"/>
      <c r="M73" s="309"/>
      <c r="N73" s="309"/>
      <c r="O73" s="309"/>
      <c r="P73" s="309">
        <v>175.5</v>
      </c>
      <c r="Q73" s="174">
        <f t="shared" si="35"/>
        <v>702</v>
      </c>
      <c r="R73" s="174">
        <f t="shared" si="36"/>
        <v>0</v>
      </c>
      <c r="S73" s="172">
        <f>IF(H73=0,(Q73+R73/EERR!$D$2/1.19),(Q73+R73/EERR!$D$2/1.19)/H73)</f>
        <v>175.5</v>
      </c>
      <c r="T73" s="174">
        <f>R73+Q73*EERR!$D$2</f>
        <v>441909</v>
      </c>
      <c r="U73" s="169">
        <f>IFERROR(VLOOKUP(E73,Expedia!$A$5:$J$25,9,FALSE),0)</f>
        <v>4</v>
      </c>
      <c r="V73" s="284">
        <f>SUMIF(Transbank!$A$2:$A$439,B73,Transbank!$L$2:$L$439)+(I73+M73)+(J73+N73)*EERR!$D$2</f>
        <v>441526.79</v>
      </c>
      <c r="W73" s="178">
        <f>V73/EERR!$D$2</f>
        <v>701.39283558379668</v>
      </c>
      <c r="X73" s="178">
        <f t="shared" si="37"/>
        <v>-382.21000000002095</v>
      </c>
      <c r="Y73" s="178"/>
      <c r="Z73" s="178"/>
      <c r="AB73" s="40"/>
    </row>
    <row r="74" spans="1:28" s="169" customFormat="1" x14ac:dyDescent="0.3">
      <c r="A74" s="306">
        <v>2671</v>
      </c>
      <c r="B74" s="306">
        <v>98518</v>
      </c>
      <c r="C74" s="307" t="s">
        <v>1217</v>
      </c>
      <c r="D74" s="307" t="s">
        <v>369</v>
      </c>
      <c r="E74" s="307">
        <v>807798518</v>
      </c>
      <c r="F74" s="308">
        <v>43027</v>
      </c>
      <c r="G74" s="308">
        <v>43033</v>
      </c>
      <c r="H74" s="307">
        <v>6</v>
      </c>
      <c r="I74" s="309"/>
      <c r="J74" s="310"/>
      <c r="K74" s="309"/>
      <c r="L74" s="309">
        <v>975</v>
      </c>
      <c r="M74" s="309"/>
      <c r="N74" s="309"/>
      <c r="O74" s="309"/>
      <c r="P74" s="309">
        <v>195</v>
      </c>
      <c r="Q74" s="174">
        <f t="shared" si="35"/>
        <v>1170</v>
      </c>
      <c r="R74" s="174">
        <f t="shared" si="36"/>
        <v>0</v>
      </c>
      <c r="S74" s="172">
        <f>IF(H74=0,(Q74+R74/EERR!$D$2/1.19),(Q74+R74/EERR!$D$2/1.19)/H74)</f>
        <v>195</v>
      </c>
      <c r="T74" s="174">
        <f>R74+Q74*EERR!$D$2</f>
        <v>736515</v>
      </c>
      <c r="U74" s="169">
        <f>IFERROR(VLOOKUP(E74,Expedia!$A$5:$J$25,9,FALSE),0)</f>
        <v>6</v>
      </c>
      <c r="V74" s="321">
        <f>SUMIF(Transbank!$A$2:$A$439,B74,Transbank!$L$2:$L$439)+(I74+M74)+(J74+N74)*EERR!$D$2</f>
        <v>857723.10000000009</v>
      </c>
      <c r="W74" s="178">
        <f>V74/EERR!$D$2</f>
        <v>1362.5466243050041</v>
      </c>
      <c r="X74" s="178">
        <f t="shared" si="37"/>
        <v>121208.10000000009</v>
      </c>
      <c r="Y74" s="178"/>
      <c r="Z74" s="178">
        <v>1961</v>
      </c>
      <c r="AB74" s="40"/>
    </row>
    <row r="75" spans="1:28" s="169" customFormat="1" x14ac:dyDescent="0.3">
      <c r="A75" s="306">
        <v>2672</v>
      </c>
      <c r="B75" s="306">
        <v>4524</v>
      </c>
      <c r="C75" s="307" t="s">
        <v>1218</v>
      </c>
      <c r="D75" s="307" t="s">
        <v>369</v>
      </c>
      <c r="E75" s="307">
        <v>807804524</v>
      </c>
      <c r="F75" s="308">
        <v>43027</v>
      </c>
      <c r="G75" s="308">
        <v>43033</v>
      </c>
      <c r="H75" s="307">
        <v>6</v>
      </c>
      <c r="I75" s="309"/>
      <c r="J75" s="310">
        <v>975</v>
      </c>
      <c r="K75" s="309"/>
      <c r="L75" s="309"/>
      <c r="M75" s="309"/>
      <c r="N75" s="309"/>
      <c r="O75" s="309"/>
      <c r="P75" s="309">
        <v>195</v>
      </c>
      <c r="Q75" s="174">
        <f t="shared" si="35"/>
        <v>1170</v>
      </c>
      <c r="R75" s="174">
        <f t="shared" si="36"/>
        <v>0</v>
      </c>
      <c r="S75" s="172">
        <f>IF(H75=0,(Q75+R75/EERR!$D$2/1.19),(Q75+R75/EERR!$D$2/1.19)/H75)</f>
        <v>195</v>
      </c>
      <c r="T75" s="174">
        <f>R75+Q75*EERR!$D$2</f>
        <v>736515</v>
      </c>
      <c r="U75" s="169">
        <f>IFERROR(VLOOKUP(E75,Expedia!$A$5:$J$25,9,FALSE),0)</f>
        <v>6</v>
      </c>
      <c r="V75" s="284">
        <f>SUMIF(Transbank!$A$2:$A$439,B75,Transbank!$L$2:$L$439)+(I75+M75)+(J75+N75)*EERR!$D$2</f>
        <v>736515</v>
      </c>
      <c r="W75" s="178">
        <f>V75/EERR!$D$2</f>
        <v>1170</v>
      </c>
      <c r="X75" s="178">
        <f t="shared" si="37"/>
        <v>0</v>
      </c>
      <c r="Y75" s="178"/>
      <c r="Z75" s="178">
        <v>3744</v>
      </c>
      <c r="AB75" s="40"/>
    </row>
    <row r="76" spans="1:28" s="169" customFormat="1" x14ac:dyDescent="0.3">
      <c r="A76" s="306">
        <v>2657</v>
      </c>
      <c r="B76" s="306">
        <v>60390</v>
      </c>
      <c r="C76" s="307" t="s">
        <v>1211</v>
      </c>
      <c r="D76" s="307" t="s">
        <v>369</v>
      </c>
      <c r="E76" s="307">
        <v>911360390</v>
      </c>
      <c r="F76" s="308">
        <v>43028</v>
      </c>
      <c r="G76" s="308">
        <v>43030</v>
      </c>
      <c r="H76" s="307">
        <v>2</v>
      </c>
      <c r="I76" s="309"/>
      <c r="J76" s="310">
        <v>390</v>
      </c>
      <c r="K76" s="309"/>
      <c r="L76" s="309"/>
      <c r="M76" s="309"/>
      <c r="N76" s="309"/>
      <c r="O76" s="309"/>
      <c r="P76" s="309"/>
      <c r="Q76" s="174">
        <f t="shared" si="35"/>
        <v>390</v>
      </c>
      <c r="R76" s="174">
        <f t="shared" si="36"/>
        <v>0</v>
      </c>
      <c r="S76" s="172">
        <f>IF(H76=0,(Q76+R76/EERR!$D$2/1.19),(Q76+R76/EERR!$D$2/1.19)/H76)</f>
        <v>195</v>
      </c>
      <c r="T76" s="174">
        <f>R76+Q76*EERR!$D$2</f>
        <v>245505</v>
      </c>
      <c r="U76" s="169">
        <f>IFERROR(VLOOKUP(E76,Expedia!$A$5:$J$25,9,FALSE),0)</f>
        <v>2</v>
      </c>
      <c r="V76" s="284">
        <f>SUMIF(Transbank!$A$2:$A$439,B76,Transbank!$L$2:$L$439)+(I76+M76)+(J76+N76)*EERR!$D$2</f>
        <v>245505</v>
      </c>
      <c r="W76" s="178">
        <f>V76/EERR!$D$2</f>
        <v>390</v>
      </c>
      <c r="X76" s="178">
        <f t="shared" si="37"/>
        <v>0</v>
      </c>
      <c r="Y76" s="178"/>
      <c r="Z76" s="178">
        <f>+Z75-Z74</f>
        <v>1783</v>
      </c>
      <c r="AB76" s="40"/>
    </row>
    <row r="77" spans="1:28" s="169" customFormat="1" x14ac:dyDescent="0.3">
      <c r="A77" s="306">
        <v>2683</v>
      </c>
      <c r="B77" s="306">
        <v>62881</v>
      </c>
      <c r="C77" s="307" t="s">
        <v>1219</v>
      </c>
      <c r="D77" s="307" t="s">
        <v>369</v>
      </c>
      <c r="E77" s="307">
        <v>910862881</v>
      </c>
      <c r="F77" s="308">
        <v>43033</v>
      </c>
      <c r="G77" s="308">
        <v>43036</v>
      </c>
      <c r="H77" s="307">
        <v>3</v>
      </c>
      <c r="I77" s="309"/>
      <c r="J77" s="310"/>
      <c r="K77" s="309"/>
      <c r="L77" s="309"/>
      <c r="M77" s="309"/>
      <c r="N77" s="309"/>
      <c r="O77" s="309"/>
      <c r="P77" s="309">
        <v>635</v>
      </c>
      <c r="Q77" s="174">
        <f t="shared" si="35"/>
        <v>635</v>
      </c>
      <c r="R77" s="174">
        <f t="shared" si="36"/>
        <v>0</v>
      </c>
      <c r="S77" s="172">
        <f>IF(H77=0,(Q77+R77/EERR!$D$2/1.19),(Q77+R77/EERR!$D$2/1.19)/H77)</f>
        <v>211.66666666666666</v>
      </c>
      <c r="T77" s="174">
        <f>R77+Q77*EERR!$D$2</f>
        <v>399732.5</v>
      </c>
      <c r="U77" s="169">
        <f>IFERROR(VLOOKUP(E77,Expedia!$A$5:$J$25,9,FALSE),0)</f>
        <v>3</v>
      </c>
      <c r="V77" s="284">
        <f>SUMIF(Transbank!$A$2:$A$439,B77,Transbank!$L$2:$L$439)+(I77+M77)+(J77+N77)*EERR!$D$2</f>
        <v>397217.89999999997</v>
      </c>
      <c r="W77" s="178">
        <f>V77/EERR!$D$2</f>
        <v>631.00540111199359</v>
      </c>
      <c r="X77" s="178">
        <f t="shared" si="37"/>
        <v>-2514.6000000000349</v>
      </c>
      <c r="Y77" s="178"/>
      <c r="Z77" s="178"/>
      <c r="AB77" s="40"/>
    </row>
    <row r="78" spans="1:28" s="169" customFormat="1" x14ac:dyDescent="0.3">
      <c r="A78" s="306">
        <v>81492</v>
      </c>
      <c r="B78" s="306">
        <v>81492</v>
      </c>
      <c r="C78" s="307" t="s">
        <v>1220</v>
      </c>
      <c r="D78" s="307" t="s">
        <v>369</v>
      </c>
      <c r="E78" s="307">
        <v>906981492</v>
      </c>
      <c r="F78" s="308">
        <v>43035</v>
      </c>
      <c r="G78" s="308">
        <v>43038</v>
      </c>
      <c r="H78" s="307">
        <v>3</v>
      </c>
      <c r="I78" s="309"/>
      <c r="J78" s="310"/>
      <c r="K78" s="309">
        <v>311619</v>
      </c>
      <c r="L78" s="309"/>
      <c r="M78" s="309"/>
      <c r="N78" s="309"/>
      <c r="O78" s="309">
        <v>166767</v>
      </c>
      <c r="P78" s="309"/>
      <c r="Q78" s="174">
        <f t="shared" si="35"/>
        <v>0</v>
      </c>
      <c r="R78" s="174">
        <f t="shared" si="36"/>
        <v>478386</v>
      </c>
      <c r="S78" s="172">
        <f>IF(H78=0,(Q78+R78/EERR!$D$2/1.19),(Q78+R78/EERR!$D$2/1.19)/H78)</f>
        <v>212.87002489637635</v>
      </c>
      <c r="T78" s="174">
        <f>R78+Q78*EERR!$D$2</f>
        <v>478386</v>
      </c>
      <c r="U78" s="169">
        <f>IFERROR(VLOOKUP(E78,Expedia!$A$5:$J$25,9,FALSE),0)</f>
        <v>3</v>
      </c>
      <c r="V78" s="284">
        <f>SUMIF(Transbank!$A$2:$A$439,B78,Transbank!$L$2:$L$439)+(I78+M78)+(J78+N78)*EERR!$D$2</f>
        <v>478386</v>
      </c>
      <c r="W78" s="178">
        <f>V78/EERR!$D$2</f>
        <v>759.94598888006351</v>
      </c>
      <c r="X78" s="178">
        <f t="shared" si="37"/>
        <v>0</v>
      </c>
      <c r="Y78" s="178"/>
      <c r="Z78" s="178"/>
      <c r="AB78" s="40"/>
    </row>
    <row r="79" spans="1:28" s="169" customFormat="1" x14ac:dyDescent="0.3">
      <c r="A79" s="312">
        <v>2670</v>
      </c>
      <c r="B79" s="312">
        <v>22231</v>
      </c>
      <c r="C79" s="311" t="s">
        <v>1190</v>
      </c>
      <c r="D79" s="311" t="s">
        <v>437</v>
      </c>
      <c r="E79" s="311">
        <v>917822231</v>
      </c>
      <c r="F79" s="313">
        <v>43027</v>
      </c>
      <c r="G79" s="313">
        <v>43030</v>
      </c>
      <c r="H79" s="311">
        <v>3</v>
      </c>
      <c r="I79" s="309"/>
      <c r="J79" s="310"/>
      <c r="K79" s="309"/>
      <c r="L79" s="309">
        <v>390</v>
      </c>
      <c r="M79" s="309"/>
      <c r="N79" s="309"/>
      <c r="O79" s="309"/>
      <c r="P79" s="309">
        <v>195</v>
      </c>
      <c r="Q79" s="174">
        <f t="shared" si="35"/>
        <v>585</v>
      </c>
      <c r="R79" s="174">
        <f t="shared" si="36"/>
        <v>0</v>
      </c>
      <c r="S79" s="172">
        <f>IF(H79=0,(Q79+R79/EERR!$D$2/1.19),(Q79+R79/EERR!$D$2/1.19)/H79)</f>
        <v>195</v>
      </c>
      <c r="T79" s="174">
        <f>R79+Q79*EERR!$D$2</f>
        <v>368257.5</v>
      </c>
      <c r="U79" s="169">
        <f>IFERROR(VLOOKUP(E79,Expedia!$A$5:$J$25,9,FALSE),0)</f>
        <v>3</v>
      </c>
      <c r="V79" s="284">
        <f>SUMIF(Transbank!$A$2:$A$439,B79,Transbank!$L$2:$L$439)+(I79+M79)+(J79+N79)*EERR!$D$2</f>
        <v>368257.5</v>
      </c>
      <c r="W79" s="178">
        <f>V79/EERR!$D$2</f>
        <v>585</v>
      </c>
      <c r="X79" s="178">
        <f t="shared" si="37"/>
        <v>0</v>
      </c>
      <c r="Y79" s="178"/>
      <c r="Z79" s="178"/>
      <c r="AB79" s="40"/>
    </row>
    <row r="80" spans="1:28" s="169" customFormat="1" x14ac:dyDescent="0.3">
      <c r="A80" s="306"/>
      <c r="B80" s="306"/>
      <c r="C80" s="307"/>
      <c r="D80" s="307"/>
      <c r="E80" s="307"/>
      <c r="F80" s="308"/>
      <c r="G80" s="308"/>
      <c r="H80" s="307"/>
      <c r="I80" s="309"/>
      <c r="J80" s="310"/>
      <c r="K80" s="309"/>
      <c r="L80" s="309"/>
      <c r="M80" s="309"/>
      <c r="N80" s="309"/>
      <c r="O80" s="309"/>
      <c r="P80" s="309"/>
      <c r="Q80" s="174">
        <f t="shared" si="35"/>
        <v>0</v>
      </c>
      <c r="R80" s="174">
        <f t="shared" si="36"/>
        <v>0</v>
      </c>
      <c r="S80" s="172">
        <f>IF(H80=0,(Q80+R80/EERR!$D$2/1.19),(Q80+R80/EERR!$D$2/1.19)/H80)</f>
        <v>0</v>
      </c>
      <c r="T80" s="174">
        <f>R80+Q80*EERR!$D$2</f>
        <v>0</v>
      </c>
      <c r="U80" s="169">
        <f>IFERROR(VLOOKUP(E80,Expedia!$A$5:$J$25,9,FALSE),0)</f>
        <v>0</v>
      </c>
      <c r="V80" s="284">
        <f>SUMIF(Transbank!$A$2:$A$439,B80,Transbank!$L$2:$L$439)+(I80+M80)+(J80+N80)*EERR!$D$2</f>
        <v>0</v>
      </c>
      <c r="W80" s="178">
        <f>V80/EERR!$D$2</f>
        <v>0</v>
      </c>
      <c r="X80" s="178">
        <f t="shared" si="37"/>
        <v>0</v>
      </c>
      <c r="Y80" s="178"/>
      <c r="Z80" s="178"/>
      <c r="AB80" s="40"/>
    </row>
    <row r="81" spans="1:28" s="169" customFormat="1" x14ac:dyDescent="0.3">
      <c r="A81" s="306"/>
      <c r="B81" s="306"/>
      <c r="C81" s="307"/>
      <c r="D81" s="307"/>
      <c r="E81" s="307"/>
      <c r="F81" s="308"/>
      <c r="G81" s="308"/>
      <c r="H81" s="307"/>
      <c r="I81" s="309"/>
      <c r="J81" s="310"/>
      <c r="K81" s="309"/>
      <c r="L81" s="309"/>
      <c r="M81" s="309"/>
      <c r="N81" s="309"/>
      <c r="O81" s="309"/>
      <c r="P81" s="309"/>
      <c r="Q81" s="174">
        <f t="shared" si="35"/>
        <v>0</v>
      </c>
      <c r="R81" s="174">
        <f t="shared" si="36"/>
        <v>0</v>
      </c>
      <c r="S81" s="172">
        <f>IF(H81=0,(Q81+R81/EERR!$D$2/1.19),(Q81+R81/EERR!$D$2/1.19)/H81)</f>
        <v>0</v>
      </c>
      <c r="T81" s="174">
        <f>R81+Q81*EERR!$D$2</f>
        <v>0</v>
      </c>
      <c r="U81" s="169">
        <f>IFERROR(VLOOKUP(E81,Expedia!$A$5:$J$25,9,FALSE),0)</f>
        <v>0</v>
      </c>
      <c r="V81" s="284">
        <f>SUMIF(Transbank!$A$2:$A$439,B81,Transbank!$L$2:$L$439)+(I81+M81)+(J81+N81)*EERR!$D$2</f>
        <v>0</v>
      </c>
      <c r="W81" s="178">
        <f>V81/EERR!$D$2</f>
        <v>0</v>
      </c>
      <c r="X81" s="178">
        <f t="shared" si="37"/>
        <v>0</v>
      </c>
      <c r="Y81" s="178"/>
      <c r="Z81" s="178"/>
      <c r="AB81" s="40"/>
    </row>
    <row r="82" spans="1:28" s="169" customFormat="1" x14ac:dyDescent="0.3">
      <c r="A82" s="306"/>
      <c r="B82" s="306"/>
      <c r="C82" s="307"/>
      <c r="D82" s="307"/>
      <c r="E82" s="307"/>
      <c r="F82" s="308"/>
      <c r="G82" s="308"/>
      <c r="H82" s="307"/>
      <c r="I82" s="309"/>
      <c r="J82" s="310"/>
      <c r="K82" s="309"/>
      <c r="L82" s="309"/>
      <c r="M82" s="309"/>
      <c r="N82" s="309"/>
      <c r="O82" s="309"/>
      <c r="P82" s="309"/>
      <c r="Q82" s="174">
        <f t="shared" si="35"/>
        <v>0</v>
      </c>
      <c r="R82" s="174">
        <f t="shared" si="36"/>
        <v>0</v>
      </c>
      <c r="S82" s="172">
        <f>IF(H82=0,(Q82+R82/EERR!$D$2/1.19),(Q82+R82/EERR!$D$2/1.19)/H82)</f>
        <v>0</v>
      </c>
      <c r="T82" s="174">
        <f>R82+Q82*EERR!$D$2</f>
        <v>0</v>
      </c>
      <c r="U82" s="169">
        <f>IFERROR(VLOOKUP(E82,Expedia!$A$5:$J$25,9,FALSE),0)</f>
        <v>0</v>
      </c>
      <c r="V82" s="284">
        <f>SUMIF(Transbank!$A$2:$A$439,B82,Transbank!$L$2:$L$439)+(I82+M82)+(J82+N82)*EERR!$D$2</f>
        <v>0</v>
      </c>
      <c r="W82" s="178">
        <f>V82/EERR!$D$2</f>
        <v>0</v>
      </c>
      <c r="X82" s="178">
        <f t="shared" si="37"/>
        <v>0</v>
      </c>
      <c r="Y82" s="178"/>
      <c r="Z82" s="178"/>
      <c r="AB82" s="40"/>
    </row>
    <row r="83" spans="1:28" s="169" customFormat="1" x14ac:dyDescent="0.3">
      <c r="A83" s="306"/>
      <c r="B83" s="306"/>
      <c r="C83" s="307"/>
      <c r="D83" s="307"/>
      <c r="E83" s="307"/>
      <c r="F83" s="308"/>
      <c r="G83" s="308"/>
      <c r="H83" s="307"/>
      <c r="I83" s="309"/>
      <c r="J83" s="310"/>
      <c r="K83" s="309"/>
      <c r="L83" s="309"/>
      <c r="M83" s="309"/>
      <c r="N83" s="309"/>
      <c r="O83" s="309"/>
      <c r="P83" s="309"/>
      <c r="Q83" s="174">
        <f t="shared" si="35"/>
        <v>0</v>
      </c>
      <c r="R83" s="174">
        <f t="shared" si="36"/>
        <v>0</v>
      </c>
      <c r="S83" s="172">
        <f>IF(H83=0,(Q83+R83/EERR!$D$2/1.19),(Q83+R83/EERR!$D$2/1.19)/H83)</f>
        <v>0</v>
      </c>
      <c r="T83" s="174">
        <f>R83+Q83*EERR!$D$2</f>
        <v>0</v>
      </c>
      <c r="U83" s="169">
        <f>IFERROR(VLOOKUP(E83,Expedia!$A$5:$J$25,9,FALSE),0)</f>
        <v>0</v>
      </c>
      <c r="V83" s="284">
        <f>SUMIF(Transbank!$A$2:$A$439,B83,Transbank!$L$2:$L$439)+(I83+M83)+(J83+N83)*EERR!$D$2</f>
        <v>0</v>
      </c>
      <c r="W83" s="178">
        <f>V83/EERR!$D$2</f>
        <v>0</v>
      </c>
      <c r="X83" s="178">
        <f t="shared" si="37"/>
        <v>0</v>
      </c>
      <c r="Y83" s="178">
        <f t="shared" ref="Y83" si="38">(I83+K83+M83)/1.19</f>
        <v>0</v>
      </c>
      <c r="Z83" s="178">
        <f t="shared" ref="Z83" si="39">IF(AA83="b",(I83+K83+M83)*0.19,0)</f>
        <v>0</v>
      </c>
      <c r="AA83" s="169">
        <f>IFERROR(VLOOKUP(A83,#REF!,8,FALSE),0)</f>
        <v>0</v>
      </c>
      <c r="AB83" s="40"/>
    </row>
    <row r="84" spans="1:28" x14ac:dyDescent="0.3">
      <c r="A84" s="290"/>
      <c r="B84" s="290"/>
      <c r="C84" s="290"/>
      <c r="D84" s="290"/>
      <c r="E84" s="290"/>
      <c r="F84" s="291"/>
      <c r="G84" s="291"/>
      <c r="H84" s="290">
        <f t="shared" ref="H84:N84" si="40">SUM(H69:H83)</f>
        <v>37</v>
      </c>
      <c r="I84" s="290">
        <f t="shared" si="40"/>
        <v>0</v>
      </c>
      <c r="J84" s="290">
        <f t="shared" si="40"/>
        <v>2281.5</v>
      </c>
      <c r="K84" s="290">
        <f t="shared" si="40"/>
        <v>456650</v>
      </c>
      <c r="L84" s="290">
        <f t="shared" si="40"/>
        <v>1950</v>
      </c>
      <c r="M84" s="290">
        <f t="shared" si="40"/>
        <v>0</v>
      </c>
      <c r="N84" s="290">
        <f t="shared" si="40"/>
        <v>0</v>
      </c>
      <c r="O84" s="290"/>
      <c r="P84" s="290"/>
      <c r="Q84" s="296">
        <f>SUM(Q69:Q83)</f>
        <v>6237</v>
      </c>
      <c r="R84" s="296">
        <f>SUM(R69:R83)</f>
        <v>768216</v>
      </c>
      <c r="S84" s="296">
        <f>IF(H84=0,(Q84+R84/EERR!$D$2/1.19),(Q84+R84/EERR!$D$2/1.19)/H84)</f>
        <v>196.28410209155899</v>
      </c>
      <c r="T84" s="296">
        <f>SUM(T69:T83)</f>
        <v>4694407.5</v>
      </c>
      <c r="U84" s="296"/>
      <c r="V84" s="296">
        <f>SUM(V69:V83)</f>
        <v>4810303.1899999995</v>
      </c>
      <c r="W84" s="296"/>
      <c r="X84" s="178">
        <f t="shared" si="14"/>
        <v>115895.68999999948</v>
      </c>
      <c r="Y84" s="178"/>
      <c r="Z84" s="178"/>
      <c r="AA84" s="169"/>
      <c r="AB84" s="169"/>
    </row>
    <row r="85" spans="1:28" s="169" customFormat="1" x14ac:dyDescent="0.3">
      <c r="A85" s="170"/>
      <c r="B85" s="170"/>
      <c r="C85" s="170"/>
      <c r="D85" s="170"/>
      <c r="E85" s="170"/>
      <c r="F85" s="171"/>
      <c r="G85" s="171"/>
      <c r="H85" s="170"/>
      <c r="I85" s="172"/>
      <c r="J85" s="173"/>
      <c r="K85" s="172"/>
      <c r="L85" s="172"/>
      <c r="M85" s="172"/>
      <c r="N85" s="172"/>
      <c r="O85" s="172"/>
      <c r="P85" s="172"/>
      <c r="Q85" s="174"/>
      <c r="R85" s="174"/>
      <c r="S85" s="172">
        <f>IF(H85=0,(Q85+R85/EERR!$D$2/1.19),(Q85+R85/EERR!$D$2/1.19)/H85)</f>
        <v>0</v>
      </c>
      <c r="T85" s="170"/>
      <c r="V85" s="178"/>
      <c r="W85" s="178"/>
      <c r="X85" s="178">
        <f t="shared" si="14"/>
        <v>0</v>
      </c>
      <c r="Y85" s="178"/>
      <c r="Z85" s="178"/>
    </row>
    <row r="86" spans="1:28" x14ac:dyDescent="0.3">
      <c r="A86" s="297"/>
      <c r="B86" s="297"/>
      <c r="C86" s="297" t="s">
        <v>1238</v>
      </c>
      <c r="D86" s="297"/>
      <c r="E86" s="297"/>
      <c r="F86" s="298"/>
      <c r="G86" s="298"/>
      <c r="H86" s="297"/>
      <c r="I86" s="299"/>
      <c r="J86" s="300">
        <v>2000</v>
      </c>
      <c r="K86" s="299"/>
      <c r="L86" s="299"/>
      <c r="M86" s="299"/>
      <c r="N86" s="299"/>
      <c r="O86" s="299"/>
      <c r="P86" s="299"/>
      <c r="Q86" s="301"/>
      <c r="R86" s="301">
        <f t="shared" ref="R86" si="41">K86+M86+I86</f>
        <v>0</v>
      </c>
      <c r="S86" s="299">
        <f>IF(H86=0,(Q86+R86/EERR!$D$2/1.19),(Q86+R86/EERR!$D$2/1.19)/H86)</f>
        <v>0</v>
      </c>
      <c r="T86" s="297"/>
      <c r="V86" s="178">
        <f>IF((K86+L86)&gt;0,SUMIF(Transbank!$A$2:$A$220,Oct!A86,Transbank!$L$2:$L$220),I86+(J86+Oct!N86)*EERR!$D$2+Oct!M86)</f>
        <v>1259000</v>
      </c>
      <c r="W86" s="178">
        <f>V86/EERR!$D$2</f>
        <v>2000</v>
      </c>
      <c r="X86" s="178">
        <f t="shared" si="14"/>
        <v>1259000</v>
      </c>
      <c r="Y86" s="178">
        <f t="shared" ref="Y86" si="42">(I86+K86+M86)/1.19</f>
        <v>0</v>
      </c>
      <c r="Z86" s="178">
        <f t="shared" ref="Z86" si="43">IF(AA86="b",(I86+K86+M86)*0.19,0)</f>
        <v>0</v>
      </c>
      <c r="AA86" s="169"/>
      <c r="AB86" s="169"/>
    </row>
    <row r="87" spans="1:28" x14ac:dyDescent="0.3">
      <c r="A87" s="290"/>
      <c r="B87" s="290"/>
      <c r="C87" s="290"/>
      <c r="D87" s="290"/>
      <c r="E87" s="290"/>
      <c r="F87" s="291"/>
      <c r="G87" s="291"/>
      <c r="H87" s="296">
        <f t="shared" ref="H87:R87" si="44">SUM(H86:H86)</f>
        <v>0</v>
      </c>
      <c r="I87" s="296">
        <f t="shared" si="44"/>
        <v>0</v>
      </c>
      <c r="J87" s="296">
        <f t="shared" si="44"/>
        <v>2000</v>
      </c>
      <c r="K87" s="296">
        <f t="shared" si="44"/>
        <v>0</v>
      </c>
      <c r="L87" s="296">
        <f>SUM(L85:L86)</f>
        <v>0</v>
      </c>
      <c r="M87" s="296">
        <f t="shared" si="44"/>
        <v>0</v>
      </c>
      <c r="N87" s="296">
        <f t="shared" si="44"/>
        <v>0</v>
      </c>
      <c r="O87" s="296"/>
      <c r="P87" s="296"/>
      <c r="Q87" s="296">
        <f t="shared" si="44"/>
        <v>0</v>
      </c>
      <c r="R87" s="296">
        <f t="shared" si="44"/>
        <v>0</v>
      </c>
      <c r="S87" s="302"/>
      <c r="T87" s="296"/>
      <c r="U87" s="290"/>
      <c r="V87" s="303"/>
      <c r="W87" s="303"/>
      <c r="X87" s="178">
        <f t="shared" si="14"/>
        <v>0</v>
      </c>
      <c r="Y87" s="178"/>
      <c r="Z87" s="178"/>
      <c r="AA87" s="169"/>
      <c r="AB87" s="169"/>
    </row>
    <row r="88" spans="1:28" x14ac:dyDescent="0.3">
      <c r="A88" s="290"/>
      <c r="B88" s="290"/>
      <c r="C88" s="304"/>
      <c r="D88" s="304"/>
      <c r="E88" s="304"/>
      <c r="F88" s="305">
        <f>F52+F68+F84</f>
        <v>0</v>
      </c>
      <c r="G88" s="305">
        <f>G52+G68+G84</f>
        <v>0</v>
      </c>
      <c r="H88" s="305">
        <f t="shared" ref="H88:Q88" si="45">H52+H68+H84+H87</f>
        <v>266</v>
      </c>
      <c r="I88" s="305">
        <f t="shared" si="45"/>
        <v>0</v>
      </c>
      <c r="J88" s="305">
        <f t="shared" si="45"/>
        <v>11512.25</v>
      </c>
      <c r="K88" s="305">
        <f t="shared" si="45"/>
        <v>3997911</v>
      </c>
      <c r="L88" s="305">
        <f t="shared" si="45"/>
        <v>21567.5</v>
      </c>
      <c r="M88" s="305">
        <f t="shared" si="45"/>
        <v>0</v>
      </c>
      <c r="N88" s="305">
        <f t="shared" si="45"/>
        <v>0</v>
      </c>
      <c r="O88" s="305">
        <f t="shared" si="45"/>
        <v>154449</v>
      </c>
      <c r="P88" s="305">
        <f t="shared" si="45"/>
        <v>1691</v>
      </c>
      <c r="Q88" s="305">
        <f t="shared" si="45"/>
        <v>44017.75</v>
      </c>
      <c r="R88" s="305">
        <f>(R52+R68+R84+R87)/1.19</f>
        <v>5193401.6806722693</v>
      </c>
      <c r="S88" s="305">
        <f>(S52*H52+S68*H68+S84*H84)/H88</f>
        <v>196.49546008989273</v>
      </c>
      <c r="T88" s="305">
        <f>T52+T68+T84</f>
        <v>33889321.625</v>
      </c>
      <c r="U88" s="290"/>
      <c r="V88" s="303">
        <f>V52+V68+V84</f>
        <v>33488008.135000013</v>
      </c>
      <c r="W88" s="303"/>
      <c r="X88" s="178">
        <f t="shared" si="14"/>
        <v>-401313.48999998719</v>
      </c>
      <c r="Y88" s="178"/>
      <c r="Z88" s="178"/>
      <c r="AA88" s="169"/>
      <c r="AB88" s="169"/>
    </row>
    <row r="89" spans="1:28" x14ac:dyDescent="0.3">
      <c r="A89" s="290"/>
      <c r="B89" s="290"/>
      <c r="C89" s="290"/>
      <c r="D89" s="290"/>
      <c r="E89" s="290"/>
      <c r="F89" s="296"/>
      <c r="G89" s="296"/>
      <c r="H89" s="296"/>
      <c r="I89" s="296">
        <f>(I88)/EERR!$D$2</f>
        <v>0</v>
      </c>
      <c r="J89" s="296">
        <f>J88</f>
        <v>11512.25</v>
      </c>
      <c r="K89" s="296">
        <f>(K88)/EERR!$D$2</f>
        <v>6350.930897537728</v>
      </c>
      <c r="L89" s="296">
        <f>L88</f>
        <v>21567.5</v>
      </c>
      <c r="M89" s="296">
        <f>(M88)/EERR!$D$2</f>
        <v>0</v>
      </c>
      <c r="N89" s="296">
        <f>(N88)/EERR!$D$2</f>
        <v>0</v>
      </c>
      <c r="O89" s="296"/>
      <c r="P89" s="296"/>
      <c r="Q89" s="296">
        <f>Q88+Q87</f>
        <v>44017.75</v>
      </c>
      <c r="R89" s="296">
        <f>(R88)/EERR!D2</f>
        <v>8250.0423839114683</v>
      </c>
      <c r="S89" s="296">
        <f>S88+S87</f>
        <v>196.49546008989273</v>
      </c>
      <c r="T89" s="296">
        <f>T88+T87</f>
        <v>33889321.625</v>
      </c>
      <c r="U89" s="296">
        <f>SUM(I89:T89)</f>
        <v>33981216.593741536</v>
      </c>
      <c r="V89" s="290"/>
      <c r="W89" s="290"/>
      <c r="X89" s="178">
        <f t="shared" si="14"/>
        <v>-33889321.625</v>
      </c>
      <c r="Y89" s="169"/>
      <c r="Z89" s="169"/>
      <c r="AA89" s="169"/>
      <c r="AB89" s="169"/>
    </row>
    <row r="90" spans="1:28" x14ac:dyDescent="0.3">
      <c r="H90" s="273">
        <f>H88/310</f>
        <v>0.85806451612903223</v>
      </c>
      <c r="J90" s="39"/>
      <c r="Q90" s="331">
        <f>SUM(Q89:R89)</f>
        <v>52267.792383911466</v>
      </c>
      <c r="R90" s="331"/>
      <c r="X90" s="178">
        <f t="shared" si="14"/>
        <v>0</v>
      </c>
      <c r="Y90" s="169"/>
      <c r="Z90" s="169"/>
      <c r="AA90" s="169"/>
      <c r="AB90" s="169"/>
    </row>
    <row r="91" spans="1:28" x14ac:dyDescent="0.3">
      <c r="J91" s="36"/>
      <c r="Q91" s="332">
        <f>Q90*EERR!D2</f>
        <v>32902575.305672269</v>
      </c>
      <c r="R91" s="332">
        <f>Q90*EERR!D2</f>
        <v>32902575.305672269</v>
      </c>
      <c r="X91" s="178">
        <f t="shared" si="14"/>
        <v>0</v>
      </c>
      <c r="Y91" s="169"/>
      <c r="Z91" s="169"/>
      <c r="AA91" s="169"/>
      <c r="AB91" s="169"/>
    </row>
    <row r="92" spans="1:28" x14ac:dyDescent="0.3">
      <c r="I92" s="115">
        <f>I88/1.19</f>
        <v>0</v>
      </c>
      <c r="J92" s="36"/>
      <c r="W92" s="169">
        <f>36000*620</f>
        <v>22320000</v>
      </c>
      <c r="X92" s="178">
        <f t="shared" si="14"/>
        <v>0</v>
      </c>
      <c r="Y92" s="169"/>
      <c r="Z92" s="169"/>
      <c r="AA92" s="169"/>
      <c r="AB92" s="169"/>
    </row>
    <row r="93" spans="1:28" x14ac:dyDescent="0.3">
      <c r="E93" s="37" t="s">
        <v>276</v>
      </c>
      <c r="F93" s="37" t="s">
        <v>277</v>
      </c>
      <c r="G93" s="37" t="s">
        <v>6</v>
      </c>
      <c r="H93" s="37" t="s">
        <v>68</v>
      </c>
      <c r="I93" s="37" t="s">
        <v>69</v>
      </c>
      <c r="J93" s="36"/>
      <c r="Q93" s="40">
        <f>Q88*689</f>
        <v>30328229.75</v>
      </c>
      <c r="R93" s="40">
        <f>R88*0.19</f>
        <v>986746.31932773115</v>
      </c>
      <c r="X93" s="178">
        <f t="shared" si="14"/>
        <v>0</v>
      </c>
    </row>
    <row r="94" spans="1:28" x14ac:dyDescent="0.3">
      <c r="C94" s="30" t="s">
        <v>66</v>
      </c>
      <c r="D94" s="30"/>
      <c r="E94" s="31">
        <f>'BCI '!H177</f>
        <v>-313959</v>
      </c>
      <c r="F94" s="272">
        <f>'BCI '!H178</f>
        <v>-11851</v>
      </c>
      <c r="G94" s="38"/>
      <c r="H94" s="31">
        <f>(I89+J89)*EERR!D2</f>
        <v>7246961.375</v>
      </c>
      <c r="I94" s="42">
        <f>H94/EERR!$D$2</f>
        <v>11512.25</v>
      </c>
      <c r="J94" s="36"/>
      <c r="X94" s="178">
        <f t="shared" si="14"/>
        <v>0</v>
      </c>
    </row>
    <row r="95" spans="1:28" x14ac:dyDescent="0.3">
      <c r="C95" s="30" t="s">
        <v>65</v>
      </c>
      <c r="D95" s="30"/>
      <c r="E95" s="30"/>
      <c r="F95" s="31"/>
      <c r="G95" s="38"/>
      <c r="H95" s="31">
        <f>+M89*EERR!D2</f>
        <v>0</v>
      </c>
      <c r="I95" s="42">
        <f>H95/EERR!$D$2</f>
        <v>0</v>
      </c>
      <c r="J95" s="36"/>
      <c r="X95" s="178">
        <f t="shared" si="14"/>
        <v>0</v>
      </c>
    </row>
    <row r="96" spans="1:28" x14ac:dyDescent="0.3">
      <c r="C96" s="30" t="s">
        <v>67</v>
      </c>
      <c r="D96" s="30"/>
      <c r="E96" s="30"/>
      <c r="F96" s="31"/>
      <c r="G96" s="38"/>
      <c r="H96" s="31"/>
      <c r="I96" s="42">
        <f>H96*EERR!$D$2</f>
        <v>0</v>
      </c>
      <c r="J96" s="36"/>
      <c r="X96" s="178">
        <f t="shared" si="14"/>
        <v>0</v>
      </c>
    </row>
    <row r="97" spans="3:24" x14ac:dyDescent="0.3">
      <c r="C97" s="79" t="s">
        <v>116</v>
      </c>
      <c r="D97" s="79"/>
      <c r="E97" s="79"/>
      <c r="F97" s="81"/>
      <c r="G97" s="81">
        <f>(G99+G100)*EERR!D2+G102+G103</f>
        <v>26242175.75</v>
      </c>
      <c r="H97" s="81">
        <f>(K89+L89)*EERR!D2</f>
        <v>17574652.25</v>
      </c>
      <c r="I97" s="82"/>
      <c r="J97" s="36"/>
      <c r="W97" s="169">
        <f>635/190</f>
        <v>3.3421052631578947</v>
      </c>
      <c r="X97" s="178">
        <f t="shared" si="14"/>
        <v>0</v>
      </c>
    </row>
    <row r="98" spans="3:24" x14ac:dyDescent="0.3">
      <c r="C98" s="79"/>
      <c r="D98" s="79"/>
      <c r="E98" s="79"/>
      <c r="F98" s="81"/>
      <c r="G98" s="81">
        <f>SUM(G94:G97)</f>
        <v>26242175.75</v>
      </c>
      <c r="H98" s="81">
        <f>SUM(H94:H97)</f>
        <v>24821613.625</v>
      </c>
      <c r="I98" s="81">
        <f>SUM(I94:I97)</f>
        <v>11512.25</v>
      </c>
      <c r="J98" s="36"/>
      <c r="X98" s="178">
        <f t="shared" si="14"/>
        <v>0</v>
      </c>
    </row>
    <row r="99" spans="3:24" x14ac:dyDescent="0.3">
      <c r="C99" s="35" t="s">
        <v>114</v>
      </c>
      <c r="D99" s="35"/>
      <c r="E99" s="35"/>
      <c r="F99" s="31"/>
      <c r="G99" s="38">
        <f>Transbank!J435</f>
        <v>31342.5</v>
      </c>
      <c r="H99" s="31"/>
      <c r="I99" s="42"/>
      <c r="J99" s="36"/>
      <c r="X99" s="178">
        <f t="shared" si="14"/>
        <v>0</v>
      </c>
    </row>
    <row r="100" spans="3:24" x14ac:dyDescent="0.3">
      <c r="C100" s="35" t="s">
        <v>117</v>
      </c>
      <c r="D100" s="35"/>
      <c r="E100" s="35"/>
      <c r="F100" s="43"/>
      <c r="G100" s="38">
        <f>[1]Transbank!J83</f>
        <v>0</v>
      </c>
      <c r="H100" s="35"/>
      <c r="I100" s="54"/>
      <c r="J100" s="34"/>
      <c r="T100" s="34">
        <f>SUMIF(Transbank!$A$2:$A$439,B67,Transbank!$L$2:$L$439)</f>
        <v>0</v>
      </c>
      <c r="X100" s="178">
        <f t="shared" si="14"/>
        <v>0</v>
      </c>
    </row>
    <row r="101" spans="3:24" x14ac:dyDescent="0.3">
      <c r="C101" s="79" t="s">
        <v>118</v>
      </c>
      <c r="D101" s="79"/>
      <c r="E101" s="79"/>
      <c r="F101" s="80"/>
      <c r="G101" s="80">
        <f>SUM(G99:G100)</f>
        <v>31342.5</v>
      </c>
      <c r="H101" s="80">
        <f>L88</f>
        <v>21567.5</v>
      </c>
      <c r="I101" s="80">
        <f t="shared" ref="I101" si="46">SUM(I99:I100)</f>
        <v>0</v>
      </c>
      <c r="J101" s="34"/>
      <c r="X101" s="178">
        <f t="shared" si="14"/>
        <v>0</v>
      </c>
    </row>
    <row r="102" spans="3:24" x14ac:dyDescent="0.3">
      <c r="C102" s="35" t="s">
        <v>115</v>
      </c>
      <c r="D102" s="92"/>
      <c r="E102" s="92"/>
      <c r="F102" s="83"/>
      <c r="G102" s="84">
        <f>Transbank!I435</f>
        <v>6512072</v>
      </c>
      <c r="H102" s="84"/>
      <c r="I102" s="85">
        <f>H97/EERR!$D$2</f>
        <v>27918.430897537728</v>
      </c>
      <c r="J102" s="34"/>
      <c r="X102" s="178">
        <f t="shared" si="14"/>
        <v>0</v>
      </c>
    </row>
    <row r="103" spans="3:24" x14ac:dyDescent="0.3">
      <c r="C103" s="35" t="s">
        <v>119</v>
      </c>
      <c r="D103" s="35"/>
      <c r="E103" s="35"/>
      <c r="F103" s="43"/>
      <c r="G103" s="38">
        <f>[1]Transbank!I83</f>
        <v>0</v>
      </c>
      <c r="H103" s="35"/>
      <c r="I103" s="54"/>
      <c r="J103" s="34"/>
      <c r="W103" s="40">
        <f>SUM(W69:W82)</f>
        <v>7641.4665448768874</v>
      </c>
      <c r="X103" s="178">
        <f t="shared" si="14"/>
        <v>0</v>
      </c>
    </row>
    <row r="104" spans="3:24" ht="15" thickBot="1" x14ac:dyDescent="0.35">
      <c r="C104" s="138" t="s">
        <v>120</v>
      </c>
      <c r="D104" s="138"/>
      <c r="E104" s="79"/>
      <c r="F104" s="80"/>
      <c r="G104" s="80">
        <f>SUM(G102:G103)</f>
        <v>6512072</v>
      </c>
      <c r="H104" s="80">
        <f>K88</f>
        <v>3997911</v>
      </c>
      <c r="I104" s="80">
        <f t="shared" ref="I104" si="47">SUM(I102:I103)</f>
        <v>27918.430897537728</v>
      </c>
      <c r="J104" s="34"/>
      <c r="W104" s="169">
        <f>+W103*0.15</f>
        <v>1146.2199817315332</v>
      </c>
      <c r="X104" s="178">
        <f t="shared" si="14"/>
        <v>0</v>
      </c>
    </row>
    <row r="105" spans="3:24" ht="16.2" thickBot="1" x14ac:dyDescent="0.35">
      <c r="C105" s="139" t="s">
        <v>138</v>
      </c>
      <c r="D105" s="140">
        <f>(I88+K88)*0.19</f>
        <v>759603.09</v>
      </c>
      <c r="H105" s="37"/>
      <c r="I105" s="40"/>
      <c r="J105" s="34"/>
      <c r="X105" s="178">
        <f t="shared" si="14"/>
        <v>0</v>
      </c>
    </row>
    <row r="106" spans="3:24" ht="13.8" x14ac:dyDescent="0.3">
      <c r="J106" s="34"/>
    </row>
    <row r="107" spans="3:24" ht="13.8" x14ac:dyDescent="0.3">
      <c r="J107" s="34"/>
    </row>
    <row r="108" spans="3:24" ht="13.8" x14ac:dyDescent="0.3">
      <c r="J108" s="34"/>
    </row>
    <row r="109" spans="3:24" ht="13.8" x14ac:dyDescent="0.3">
      <c r="J109" s="34"/>
    </row>
    <row r="110" spans="3:24" ht="13.8" x14ac:dyDescent="0.3">
      <c r="J110" s="34"/>
    </row>
    <row r="111" spans="3:24" ht="13.8" x14ac:dyDescent="0.3">
      <c r="J111" s="34"/>
    </row>
    <row r="112" spans="3:24" ht="13.8" x14ac:dyDescent="0.3">
      <c r="J112" s="34"/>
    </row>
    <row r="113" spans="10:10" ht="13.8" x14ac:dyDescent="0.3">
      <c r="J113" s="34"/>
    </row>
    <row r="114" spans="10:10" ht="13.8" x14ac:dyDescent="0.3">
      <c r="J114" s="34"/>
    </row>
    <row r="115" spans="10:10" ht="13.8" x14ac:dyDescent="0.3">
      <c r="J115" s="34"/>
    </row>
    <row r="116" spans="10:10" ht="13.8" x14ac:dyDescent="0.3">
      <c r="J116" s="34"/>
    </row>
    <row r="117" spans="10:10" ht="13.8" x14ac:dyDescent="0.3">
      <c r="J117" s="34"/>
    </row>
    <row r="118" spans="10:10" ht="13.8" x14ac:dyDescent="0.3">
      <c r="J118" s="34"/>
    </row>
    <row r="119" spans="10:10" ht="13.8" x14ac:dyDescent="0.3">
      <c r="J119" s="34"/>
    </row>
    <row r="120" spans="10:10" ht="13.8" x14ac:dyDescent="0.3">
      <c r="J120" s="34"/>
    </row>
    <row r="121" spans="10:10" ht="13.8" x14ac:dyDescent="0.3">
      <c r="J121" s="34"/>
    </row>
    <row r="122" spans="10:10" ht="13.8" x14ac:dyDescent="0.3">
      <c r="J122" s="34"/>
    </row>
    <row r="123" spans="10:10" ht="13.8" x14ac:dyDescent="0.3">
      <c r="J123" s="34"/>
    </row>
    <row r="124" spans="10:10" ht="13.8" x14ac:dyDescent="0.3">
      <c r="J124" s="34"/>
    </row>
    <row r="125" spans="10:10" ht="13.8" x14ac:dyDescent="0.3">
      <c r="J125" s="34"/>
    </row>
    <row r="126" spans="10:10" ht="13.8" x14ac:dyDescent="0.3">
      <c r="J126" s="34"/>
    </row>
    <row r="127" spans="10:10" ht="13.8" x14ac:dyDescent="0.3">
      <c r="J127" s="34"/>
    </row>
    <row r="128" spans="10:10" ht="13.8" x14ac:dyDescent="0.3">
      <c r="J128" s="34"/>
    </row>
    <row r="129" spans="10:10" ht="13.8" x14ac:dyDescent="0.3">
      <c r="J129" s="34"/>
    </row>
    <row r="130" spans="10:10" ht="13.8" x14ac:dyDescent="0.3">
      <c r="J130" s="34"/>
    </row>
    <row r="131" spans="10:10" ht="13.8" x14ac:dyDescent="0.3">
      <c r="J131" s="34"/>
    </row>
    <row r="132" spans="10:10" ht="13.8" x14ac:dyDescent="0.3">
      <c r="J132" s="34"/>
    </row>
    <row r="133" spans="10:10" ht="13.8" x14ac:dyDescent="0.3">
      <c r="J133" s="34"/>
    </row>
    <row r="134" spans="10:10" ht="13.8" x14ac:dyDescent="0.3">
      <c r="J134" s="34"/>
    </row>
    <row r="135" spans="10:10" ht="13.8" x14ac:dyDescent="0.3">
      <c r="J135" s="34"/>
    </row>
    <row r="136" spans="10:10" ht="13.8" x14ac:dyDescent="0.3">
      <c r="J136" s="34"/>
    </row>
    <row r="137" spans="10:10" ht="13.8" x14ac:dyDescent="0.3">
      <c r="J137" s="34"/>
    </row>
    <row r="138" spans="10:10" ht="13.8" x14ac:dyDescent="0.3">
      <c r="J138" s="34"/>
    </row>
    <row r="139" spans="10:10" ht="13.8" x14ac:dyDescent="0.3">
      <c r="J139" s="34"/>
    </row>
    <row r="140" spans="10:10" ht="13.8" x14ac:dyDescent="0.3">
      <c r="J140" s="34"/>
    </row>
    <row r="141" spans="10:10" ht="13.8" x14ac:dyDescent="0.3">
      <c r="J141" s="34"/>
    </row>
    <row r="142" spans="10:10" ht="13.8" x14ac:dyDescent="0.3">
      <c r="J142" s="34"/>
    </row>
    <row r="143" spans="10:10" ht="13.8" x14ac:dyDescent="0.3">
      <c r="J143" s="34"/>
    </row>
    <row r="144" spans="10:10" ht="13.8" x14ac:dyDescent="0.3">
      <c r="J144" s="34"/>
    </row>
    <row r="145" spans="10:10" ht="13.8" x14ac:dyDescent="0.3">
      <c r="J145" s="34"/>
    </row>
    <row r="146" spans="10:10" ht="13.8" x14ac:dyDescent="0.3">
      <c r="J146" s="34"/>
    </row>
    <row r="147" spans="10:10" ht="13.8" x14ac:dyDescent="0.3">
      <c r="J147" s="34"/>
    </row>
    <row r="148" spans="10:10" ht="13.8" x14ac:dyDescent="0.3">
      <c r="J148" s="34"/>
    </row>
    <row r="149" spans="10:10" ht="13.8" x14ac:dyDescent="0.3">
      <c r="J149" s="34"/>
    </row>
    <row r="150" spans="10:10" ht="13.8" x14ac:dyDescent="0.3">
      <c r="J150" s="34"/>
    </row>
    <row r="151" spans="10:10" ht="13.8" x14ac:dyDescent="0.3">
      <c r="J151" s="34"/>
    </row>
    <row r="152" spans="10:10" ht="13.8" x14ac:dyDescent="0.3">
      <c r="J152" s="34"/>
    </row>
    <row r="153" spans="10:10" ht="13.8" x14ac:dyDescent="0.3">
      <c r="J153" s="34"/>
    </row>
    <row r="154" spans="10:10" ht="13.8" x14ac:dyDescent="0.3">
      <c r="J154" s="34"/>
    </row>
    <row r="155" spans="10:10" ht="13.8" x14ac:dyDescent="0.3">
      <c r="J155" s="34"/>
    </row>
    <row r="156" spans="10:10" ht="13.8" x14ac:dyDescent="0.3">
      <c r="J156" s="34"/>
    </row>
    <row r="157" spans="10:10" ht="13.8" x14ac:dyDescent="0.3">
      <c r="J157" s="34"/>
    </row>
    <row r="158" spans="10:10" ht="13.8" x14ac:dyDescent="0.3">
      <c r="J158" s="34"/>
    </row>
    <row r="159" spans="10:10" ht="13.8" x14ac:dyDescent="0.3">
      <c r="J159" s="34"/>
    </row>
    <row r="160" spans="10:10" ht="13.8" x14ac:dyDescent="0.3">
      <c r="J160" s="34"/>
    </row>
    <row r="161" spans="10:10" ht="13.8" x14ac:dyDescent="0.3">
      <c r="J161" s="34"/>
    </row>
    <row r="162" spans="10:10" ht="13.8" x14ac:dyDescent="0.3">
      <c r="J162" s="34"/>
    </row>
    <row r="163" spans="10:10" ht="13.8" x14ac:dyDescent="0.3">
      <c r="J163" s="34"/>
    </row>
    <row r="164" spans="10:10" ht="13.8" x14ac:dyDescent="0.3">
      <c r="J164" s="34"/>
    </row>
    <row r="165" spans="10:10" ht="13.8" x14ac:dyDescent="0.3">
      <c r="J165" s="34"/>
    </row>
    <row r="166" spans="10:10" ht="13.8" x14ac:dyDescent="0.3">
      <c r="J166" s="34"/>
    </row>
    <row r="167" spans="10:10" ht="13.8" x14ac:dyDescent="0.3">
      <c r="J167" s="34"/>
    </row>
    <row r="168" spans="10:10" ht="13.8" x14ac:dyDescent="0.3">
      <c r="J168" s="34"/>
    </row>
    <row r="169" spans="10:10" ht="13.8" x14ac:dyDescent="0.3">
      <c r="J169" s="34"/>
    </row>
    <row r="170" spans="10:10" ht="13.8" x14ac:dyDescent="0.3">
      <c r="J170" s="34"/>
    </row>
    <row r="171" spans="10:10" ht="13.8" x14ac:dyDescent="0.3">
      <c r="J171" s="34"/>
    </row>
  </sheetData>
  <autoFilter ref="A2:S105"/>
  <sortState ref="A3:AA38">
    <sortCondition ref="F3:F38"/>
  </sortState>
  <mergeCells count="6">
    <mergeCell ref="Q90:R90"/>
    <mergeCell ref="Q91:R91"/>
    <mergeCell ref="I1:J1"/>
    <mergeCell ref="K1:L1"/>
    <mergeCell ref="M1:N1"/>
    <mergeCell ref="O1:P1"/>
  </mergeCells>
  <conditionalFormatting sqref="U85 U69:U83 U3:U27 U30:U51 U53:U67">
    <cfRule type="expression" dxfId="2" priority="5">
      <formula>IF(H3=U3,0,1)</formula>
    </cfRule>
  </conditionalFormatting>
  <conditionalFormatting sqref="U53:U67">
    <cfRule type="expression" dxfId="1" priority="2">
      <formula>IF(H53=U53,0,1)</formula>
    </cfRule>
  </conditionalFormatting>
  <conditionalFormatting sqref="U28:U29">
    <cfRule type="expression" dxfId="0" priority="1">
      <formula>IF(H28=U28,0,1)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topLeftCell="A16" zoomScale="70" zoomScaleNormal="70" workbookViewId="0">
      <selection activeCell="Q101" sqref="Q101"/>
    </sheetView>
  </sheetViews>
  <sheetFormatPr baseColWidth="10" defaultColWidth="11.33203125" defaultRowHeight="15.6" x14ac:dyDescent="0.3"/>
  <cols>
    <col min="1" max="1" width="0.88671875" style="143" customWidth="1"/>
    <col min="2" max="2" width="20.6640625" style="143" customWidth="1"/>
    <col min="3" max="3" width="21.109375" style="91" customWidth="1"/>
    <col min="4" max="4" width="25.6640625" style="91" customWidth="1"/>
    <col min="5" max="5" width="18.33203125" style="88" customWidth="1"/>
    <col min="6" max="7" width="16.33203125" style="88" customWidth="1"/>
    <col min="8" max="10" width="8.88671875" style="88" customWidth="1"/>
    <col min="11" max="12" width="17.33203125" style="178" customWidth="1"/>
    <col min="13" max="13" width="15.88671875" style="178" customWidth="1"/>
    <col min="14" max="14" width="9" style="88" customWidth="1"/>
    <col min="15" max="15" width="12.6640625" style="88" bestFit="1" customWidth="1"/>
    <col min="16" max="16" width="8.109375" style="88" customWidth="1"/>
    <col min="17" max="17" width="12.33203125" style="88" customWidth="1"/>
    <col min="18" max="18" width="16.6640625" style="88" customWidth="1"/>
    <col min="19" max="19" width="6.88671875" style="143" customWidth="1"/>
    <col min="20" max="16384" width="11.33203125" style="143"/>
  </cols>
  <sheetData>
    <row r="1" spans="2:22" x14ac:dyDescent="0.3">
      <c r="B1" s="143" t="s">
        <v>327</v>
      </c>
      <c r="C1" s="91" t="s">
        <v>328</v>
      </c>
      <c r="D1" s="91" t="s">
        <v>329</v>
      </c>
      <c r="E1" s="88" t="s">
        <v>330</v>
      </c>
      <c r="F1" s="88" t="s">
        <v>331</v>
      </c>
      <c r="G1" s="88" t="s">
        <v>332</v>
      </c>
      <c r="H1" s="88" t="s">
        <v>333</v>
      </c>
      <c r="I1" s="88" t="s">
        <v>334</v>
      </c>
      <c r="J1" s="88" t="s">
        <v>335</v>
      </c>
      <c r="K1" s="178" t="s">
        <v>336</v>
      </c>
      <c r="L1" s="178" t="s">
        <v>337</v>
      </c>
      <c r="M1" s="178" t="s">
        <v>338</v>
      </c>
      <c r="N1" s="88" t="s">
        <v>53</v>
      </c>
      <c r="O1" s="88" t="s">
        <v>72</v>
      </c>
      <c r="P1" s="88" t="s">
        <v>75</v>
      </c>
      <c r="Q1" s="88" t="s">
        <v>73</v>
      </c>
      <c r="R1" s="88" t="s">
        <v>74</v>
      </c>
    </row>
    <row r="2" spans="2:22" ht="14.4" x14ac:dyDescent="0.3">
      <c r="B2" s="116">
        <v>1397205189</v>
      </c>
      <c r="C2" s="116" t="s">
        <v>959</v>
      </c>
      <c r="D2" s="116" t="s">
        <v>960</v>
      </c>
      <c r="E2" s="282" t="s">
        <v>961</v>
      </c>
      <c r="F2" s="282" t="s">
        <v>962</v>
      </c>
      <c r="G2" s="282" t="s">
        <v>963</v>
      </c>
      <c r="H2" s="116" t="s">
        <v>273</v>
      </c>
      <c r="I2" s="116">
        <v>1</v>
      </c>
      <c r="J2" s="116">
        <v>2</v>
      </c>
      <c r="K2" s="236">
        <v>975</v>
      </c>
      <c r="L2" s="236">
        <v>14</v>
      </c>
      <c r="M2" s="236">
        <v>136.5</v>
      </c>
      <c r="N2" s="88">
        <f>(F2-E2)</f>
        <v>5</v>
      </c>
      <c r="O2" s="89">
        <f t="shared" ref="O2" si="0">K2/N2/P2*IF(H2="ok",1,0)</f>
        <v>195</v>
      </c>
      <c r="P2" s="88">
        <f>I2</f>
        <v>1</v>
      </c>
      <c r="Q2" s="88">
        <f>N2*P2</f>
        <v>5</v>
      </c>
      <c r="R2" s="89">
        <f t="shared" ref="R2" si="1">O2*Q2</f>
        <v>975</v>
      </c>
      <c r="S2" s="143">
        <f>ROUND(K2/195,0)</f>
        <v>5</v>
      </c>
      <c r="T2" s="143">
        <f>K2*0.15</f>
        <v>146.25</v>
      </c>
      <c r="U2" s="143">
        <f>SUMIF(Oct!$E$3:$E$86,B2,Oct!$H$3:$H$86)</f>
        <v>5</v>
      </c>
      <c r="V2" s="143">
        <f>Q2-U2</f>
        <v>0</v>
      </c>
    </row>
    <row r="3" spans="2:22" ht="14.4" x14ac:dyDescent="0.3">
      <c r="B3" s="116">
        <v>1669871265</v>
      </c>
      <c r="C3" s="116" t="s">
        <v>964</v>
      </c>
      <c r="D3" s="116" t="s">
        <v>965</v>
      </c>
      <c r="E3" s="282" t="s">
        <v>961</v>
      </c>
      <c r="F3" s="282" t="s">
        <v>962</v>
      </c>
      <c r="G3" s="282" t="s">
        <v>966</v>
      </c>
      <c r="H3" s="116" t="s">
        <v>273</v>
      </c>
      <c r="I3" s="116">
        <v>1</v>
      </c>
      <c r="J3" s="116">
        <v>2</v>
      </c>
      <c r="K3" s="236">
        <v>975</v>
      </c>
      <c r="L3" s="236">
        <v>14</v>
      </c>
      <c r="M3" s="236">
        <v>136.5</v>
      </c>
      <c r="N3" s="88">
        <f t="shared" ref="N3:N44" si="2">(F3-E3)</f>
        <v>5</v>
      </c>
      <c r="O3" s="89">
        <f t="shared" ref="O3:O28" si="3">K3/N3/P3*IF(H3="ok",1,0)</f>
        <v>195</v>
      </c>
      <c r="P3" s="88">
        <f t="shared" ref="P3:P47" si="4">I3</f>
        <v>1</v>
      </c>
      <c r="Q3" s="88">
        <f t="shared" ref="Q3:Q44" si="5">N3*P3</f>
        <v>5</v>
      </c>
      <c r="R3" s="89">
        <f t="shared" ref="R3:R28" si="6">O3*Q3</f>
        <v>975</v>
      </c>
      <c r="S3" s="143">
        <f t="shared" ref="S3:S28" si="7">ROUND(K3/195,0)</f>
        <v>5</v>
      </c>
      <c r="T3" s="143">
        <f t="shared" ref="T3:T44" si="8">K3*0.15</f>
        <v>146.25</v>
      </c>
      <c r="U3" s="143">
        <f>SUMIF(Oct!$E$3:$E$86,B3,Oct!$H$3:$H$86)</f>
        <v>5</v>
      </c>
      <c r="V3" s="143">
        <f t="shared" ref="V3:V44" si="9">Q3-U3</f>
        <v>0</v>
      </c>
    </row>
    <row r="4" spans="2:22" ht="14.4" x14ac:dyDescent="0.3">
      <c r="B4" s="116">
        <v>1816580373</v>
      </c>
      <c r="C4" s="116" t="s">
        <v>967</v>
      </c>
      <c r="D4" s="116" t="s">
        <v>968</v>
      </c>
      <c r="E4" s="282" t="s">
        <v>961</v>
      </c>
      <c r="F4" s="282" t="s">
        <v>969</v>
      </c>
      <c r="G4" s="282" t="s">
        <v>970</v>
      </c>
      <c r="H4" s="116" t="s">
        <v>273</v>
      </c>
      <c r="I4" s="116">
        <v>1</v>
      </c>
      <c r="J4" s="116">
        <v>2</v>
      </c>
      <c r="K4" s="236">
        <v>1415</v>
      </c>
      <c r="L4" s="236">
        <v>15</v>
      </c>
      <c r="M4" s="236">
        <v>212.25</v>
      </c>
      <c r="N4" s="88">
        <f t="shared" si="2"/>
        <v>7</v>
      </c>
      <c r="O4" s="89">
        <f t="shared" si="3"/>
        <v>202.14285714285714</v>
      </c>
      <c r="P4" s="88">
        <f t="shared" si="4"/>
        <v>1</v>
      </c>
      <c r="Q4" s="88">
        <f t="shared" si="5"/>
        <v>7</v>
      </c>
      <c r="R4" s="89">
        <f t="shared" si="6"/>
        <v>1415</v>
      </c>
      <c r="S4" s="143">
        <f t="shared" si="7"/>
        <v>7</v>
      </c>
      <c r="T4" s="143">
        <f t="shared" si="8"/>
        <v>212.25</v>
      </c>
      <c r="U4" s="143">
        <f>SUMIF(Oct!$E$3:$E$86,B4,Oct!$H$3:$H$86)</f>
        <v>7</v>
      </c>
      <c r="V4" s="143">
        <f t="shared" si="9"/>
        <v>0</v>
      </c>
    </row>
    <row r="5" spans="2:22" ht="14.4" x14ac:dyDescent="0.3">
      <c r="B5" s="116">
        <v>1137190202</v>
      </c>
      <c r="C5" s="116" t="s">
        <v>971</v>
      </c>
      <c r="D5" s="116" t="s">
        <v>972</v>
      </c>
      <c r="E5" s="282" t="s">
        <v>973</v>
      </c>
      <c r="F5" s="282" t="s">
        <v>974</v>
      </c>
      <c r="G5" s="282" t="s">
        <v>975</v>
      </c>
      <c r="H5" s="116" t="s">
        <v>273</v>
      </c>
      <c r="I5" s="116">
        <v>1</v>
      </c>
      <c r="J5" s="116">
        <v>2</v>
      </c>
      <c r="K5" s="236">
        <v>805</v>
      </c>
      <c r="L5" s="236">
        <v>14</v>
      </c>
      <c r="M5" s="236">
        <v>112.7</v>
      </c>
      <c r="N5" s="88">
        <f t="shared" si="2"/>
        <v>4</v>
      </c>
      <c r="O5" s="89">
        <f t="shared" si="3"/>
        <v>201.25</v>
      </c>
      <c r="P5" s="88">
        <f t="shared" si="4"/>
        <v>1</v>
      </c>
      <c r="Q5" s="88">
        <f t="shared" si="5"/>
        <v>4</v>
      </c>
      <c r="R5" s="89">
        <f t="shared" si="6"/>
        <v>805</v>
      </c>
      <c r="S5" s="143">
        <f t="shared" si="7"/>
        <v>4</v>
      </c>
      <c r="T5" s="143">
        <f t="shared" si="8"/>
        <v>120.75</v>
      </c>
      <c r="U5" s="143">
        <f>SUMIF(Oct!$E$3:$E$86,B5,Oct!$H$3:$H$86)</f>
        <v>4</v>
      </c>
      <c r="V5" s="143">
        <f t="shared" si="9"/>
        <v>0</v>
      </c>
    </row>
    <row r="6" spans="2:22" ht="14.4" x14ac:dyDescent="0.3">
      <c r="B6" s="116">
        <v>1246791641</v>
      </c>
      <c r="C6" s="116" t="s">
        <v>976</v>
      </c>
      <c r="D6" s="116" t="s">
        <v>977</v>
      </c>
      <c r="E6" s="282" t="s">
        <v>978</v>
      </c>
      <c r="F6" s="282" t="s">
        <v>979</v>
      </c>
      <c r="G6" s="283" t="s">
        <v>980</v>
      </c>
      <c r="H6" s="116" t="s">
        <v>273</v>
      </c>
      <c r="I6" s="116">
        <v>1</v>
      </c>
      <c r="J6" s="116">
        <v>2</v>
      </c>
      <c r="K6" s="236">
        <v>195</v>
      </c>
      <c r="L6" s="236">
        <v>14</v>
      </c>
      <c r="M6" s="236">
        <v>27.3</v>
      </c>
      <c r="N6" s="88">
        <f t="shared" si="2"/>
        <v>1</v>
      </c>
      <c r="O6" s="89">
        <f t="shared" si="3"/>
        <v>195</v>
      </c>
      <c r="P6" s="88">
        <f t="shared" si="4"/>
        <v>1</v>
      </c>
      <c r="Q6" s="88">
        <f t="shared" si="5"/>
        <v>1</v>
      </c>
      <c r="R6" s="89">
        <f t="shared" si="6"/>
        <v>195</v>
      </c>
      <c r="S6" s="143">
        <f t="shared" si="7"/>
        <v>1</v>
      </c>
      <c r="T6" s="143">
        <f t="shared" si="8"/>
        <v>29.25</v>
      </c>
      <c r="U6" s="143">
        <f>SUMIF(Oct!$E$3:$E$86,B6,Oct!$H$3:$H$86)</f>
        <v>1</v>
      </c>
      <c r="V6" s="143">
        <f t="shared" si="9"/>
        <v>0</v>
      </c>
    </row>
    <row r="7" spans="2:22" ht="14.4" x14ac:dyDescent="0.3">
      <c r="B7" s="116">
        <v>1463007932</v>
      </c>
      <c r="C7" s="116" t="s">
        <v>981</v>
      </c>
      <c r="D7" s="116" t="s">
        <v>982</v>
      </c>
      <c r="E7" s="282" t="s">
        <v>978</v>
      </c>
      <c r="F7" s="282" t="s">
        <v>983</v>
      </c>
      <c r="G7" s="283" t="s">
        <v>984</v>
      </c>
      <c r="H7" s="116" t="s">
        <v>273</v>
      </c>
      <c r="I7" s="116">
        <v>1</v>
      </c>
      <c r="J7" s="116">
        <v>2</v>
      </c>
      <c r="K7" s="236">
        <v>1245</v>
      </c>
      <c r="L7" s="236">
        <v>15</v>
      </c>
      <c r="M7" s="236">
        <v>186.75</v>
      </c>
      <c r="N7" s="88">
        <f t="shared" si="2"/>
        <v>6</v>
      </c>
      <c r="O7" s="89">
        <f t="shared" si="3"/>
        <v>207.5</v>
      </c>
      <c r="P7" s="88">
        <f t="shared" si="4"/>
        <v>1</v>
      </c>
      <c r="Q7" s="88">
        <f t="shared" si="5"/>
        <v>6</v>
      </c>
      <c r="R7" s="89">
        <f t="shared" si="6"/>
        <v>1245</v>
      </c>
      <c r="S7" s="143">
        <f t="shared" si="7"/>
        <v>6</v>
      </c>
      <c r="T7" s="143">
        <f t="shared" si="8"/>
        <v>186.75</v>
      </c>
      <c r="U7" s="143">
        <f>SUMIF(Oct!$E$3:$E$86,B7,Oct!$H$3:$H$86)</f>
        <v>6</v>
      </c>
      <c r="V7" s="143">
        <f t="shared" si="9"/>
        <v>0</v>
      </c>
    </row>
    <row r="8" spans="2:22" ht="14.4" x14ac:dyDescent="0.3">
      <c r="B8" s="116">
        <v>1327586677</v>
      </c>
      <c r="C8" s="116" t="s">
        <v>959</v>
      </c>
      <c r="D8" s="116" t="s">
        <v>985</v>
      </c>
      <c r="E8" s="282" t="s">
        <v>962</v>
      </c>
      <c r="F8" s="282" t="s">
        <v>974</v>
      </c>
      <c r="G8" s="283" t="s">
        <v>986</v>
      </c>
      <c r="H8" s="116" t="s">
        <v>273</v>
      </c>
      <c r="I8" s="116">
        <v>1</v>
      </c>
      <c r="J8" s="116">
        <v>2</v>
      </c>
      <c r="K8" s="236">
        <v>220</v>
      </c>
      <c r="L8" s="236">
        <v>14</v>
      </c>
      <c r="M8" s="236">
        <v>30.8</v>
      </c>
      <c r="N8" s="88">
        <f t="shared" si="2"/>
        <v>1</v>
      </c>
      <c r="O8" s="89">
        <f t="shared" si="3"/>
        <v>220</v>
      </c>
      <c r="P8" s="88">
        <f t="shared" si="4"/>
        <v>1</v>
      </c>
      <c r="Q8" s="88">
        <f t="shared" si="5"/>
        <v>1</v>
      </c>
      <c r="R8" s="89">
        <f t="shared" si="6"/>
        <v>220</v>
      </c>
      <c r="S8" s="143">
        <f t="shared" si="7"/>
        <v>1</v>
      </c>
      <c r="T8" s="143">
        <f t="shared" si="8"/>
        <v>33</v>
      </c>
      <c r="U8" s="143">
        <f>SUMIF(Oct!$E$3:$E$86,B8,Oct!$H$3:$H$86)</f>
        <v>1</v>
      </c>
      <c r="V8" s="143">
        <f t="shared" si="9"/>
        <v>0</v>
      </c>
    </row>
    <row r="9" spans="2:22" ht="14.4" x14ac:dyDescent="0.3">
      <c r="B9" s="116">
        <v>1411310241</v>
      </c>
      <c r="C9" s="116" t="s">
        <v>987</v>
      </c>
      <c r="D9" s="116" t="s">
        <v>988</v>
      </c>
      <c r="E9" s="282" t="s">
        <v>962</v>
      </c>
      <c r="F9" s="282" t="s">
        <v>983</v>
      </c>
      <c r="G9" s="283" t="s">
        <v>989</v>
      </c>
      <c r="H9" s="116" t="s">
        <v>273</v>
      </c>
      <c r="I9" s="116">
        <v>1</v>
      </c>
      <c r="J9" s="116">
        <v>2</v>
      </c>
      <c r="K9" s="236">
        <v>855</v>
      </c>
      <c r="L9" s="236">
        <v>14</v>
      </c>
      <c r="M9" s="236">
        <v>119.7</v>
      </c>
      <c r="N9" s="88">
        <f t="shared" si="2"/>
        <v>4</v>
      </c>
      <c r="O9" s="89">
        <f t="shared" si="3"/>
        <v>213.75</v>
      </c>
      <c r="P9" s="88">
        <f t="shared" si="4"/>
        <v>1</v>
      </c>
      <c r="Q9" s="88">
        <f t="shared" si="5"/>
        <v>4</v>
      </c>
      <c r="R9" s="89">
        <f t="shared" si="6"/>
        <v>855</v>
      </c>
      <c r="S9" s="143">
        <f t="shared" si="7"/>
        <v>4</v>
      </c>
      <c r="T9" s="143">
        <f t="shared" si="8"/>
        <v>128.25</v>
      </c>
      <c r="U9" s="143">
        <f>SUMIF(Oct!$E$3:$E$86,B9,Oct!$H$3:$H$86)</f>
        <v>4</v>
      </c>
      <c r="V9" s="143">
        <f t="shared" si="9"/>
        <v>0</v>
      </c>
    </row>
    <row r="10" spans="2:22" ht="14.4" x14ac:dyDescent="0.3">
      <c r="B10" s="116">
        <v>1538168965</v>
      </c>
      <c r="C10" s="116" t="s">
        <v>990</v>
      </c>
      <c r="D10" s="116" t="s">
        <v>991</v>
      </c>
      <c r="E10" s="282" t="s">
        <v>962</v>
      </c>
      <c r="F10" s="282" t="s">
        <v>992</v>
      </c>
      <c r="G10" s="283" t="s">
        <v>993</v>
      </c>
      <c r="H10" s="116" t="s">
        <v>273</v>
      </c>
      <c r="I10" s="116">
        <v>1</v>
      </c>
      <c r="J10" s="116">
        <v>2</v>
      </c>
      <c r="K10" s="236">
        <v>660</v>
      </c>
      <c r="L10" s="236">
        <v>14</v>
      </c>
      <c r="M10" s="236">
        <v>92.4</v>
      </c>
      <c r="N10" s="88">
        <f t="shared" si="2"/>
        <v>3</v>
      </c>
      <c r="O10" s="89">
        <f t="shared" ref="O10:O25" si="10">K10/N10/P10*IF(H10="ok",1,0)</f>
        <v>220</v>
      </c>
      <c r="P10" s="88">
        <f t="shared" si="4"/>
        <v>1</v>
      </c>
      <c r="Q10" s="88">
        <f t="shared" si="5"/>
        <v>3</v>
      </c>
      <c r="R10" s="89">
        <f t="shared" ref="R10:R25" si="11">O10*Q10</f>
        <v>660</v>
      </c>
      <c r="S10" s="143">
        <f t="shared" ref="S10:S25" si="12">ROUND(K10/195,0)</f>
        <v>3</v>
      </c>
      <c r="T10" s="143">
        <f t="shared" si="8"/>
        <v>99</v>
      </c>
      <c r="U10" s="143">
        <f>SUMIF(Oct!$E$3:$E$86,B10,Oct!$H$3:$H$86)</f>
        <v>3</v>
      </c>
      <c r="V10" s="143">
        <f t="shared" si="9"/>
        <v>0</v>
      </c>
    </row>
    <row r="11" spans="2:22" ht="14.4" x14ac:dyDescent="0.3">
      <c r="B11" s="116">
        <v>1975995306</v>
      </c>
      <c r="C11" s="116" t="s">
        <v>994</v>
      </c>
      <c r="D11" s="116" t="s">
        <v>995</v>
      </c>
      <c r="E11" s="282" t="s">
        <v>962</v>
      </c>
      <c r="F11" s="282" t="s">
        <v>983</v>
      </c>
      <c r="G11" s="283" t="s">
        <v>996</v>
      </c>
      <c r="H11" s="116" t="s">
        <v>273</v>
      </c>
      <c r="I11" s="116">
        <v>1</v>
      </c>
      <c r="J11" s="116">
        <v>2</v>
      </c>
      <c r="K11" s="236">
        <v>855</v>
      </c>
      <c r="L11" s="236">
        <v>14</v>
      </c>
      <c r="M11" s="236">
        <v>119.7</v>
      </c>
      <c r="N11" s="88">
        <f t="shared" si="2"/>
        <v>4</v>
      </c>
      <c r="O11" s="89">
        <f t="shared" si="10"/>
        <v>213.75</v>
      </c>
      <c r="P11" s="88">
        <f t="shared" si="4"/>
        <v>1</v>
      </c>
      <c r="Q11" s="88">
        <f t="shared" si="5"/>
        <v>4</v>
      </c>
      <c r="R11" s="89">
        <f t="shared" si="11"/>
        <v>855</v>
      </c>
      <c r="S11" s="143">
        <f t="shared" si="12"/>
        <v>4</v>
      </c>
      <c r="T11" s="143">
        <f t="shared" si="8"/>
        <v>128.25</v>
      </c>
      <c r="U11" s="143">
        <f>SUMIF(Oct!$E$3:$E$86,B11,Oct!$H$3:$H$86)</f>
        <v>4</v>
      </c>
      <c r="V11" s="143">
        <f t="shared" si="9"/>
        <v>0</v>
      </c>
    </row>
    <row r="12" spans="2:22" ht="14.4" x14ac:dyDescent="0.3">
      <c r="B12" s="116">
        <v>1108675080</v>
      </c>
      <c r="C12" s="116" t="s">
        <v>997</v>
      </c>
      <c r="D12" s="116" t="s">
        <v>998</v>
      </c>
      <c r="E12" s="282" t="s">
        <v>974</v>
      </c>
      <c r="F12" s="282" t="s">
        <v>999</v>
      </c>
      <c r="G12" s="283" t="s">
        <v>1000</v>
      </c>
      <c r="H12" s="116" t="s">
        <v>273</v>
      </c>
      <c r="I12" s="116">
        <v>1</v>
      </c>
      <c r="J12" s="116">
        <v>2</v>
      </c>
      <c r="K12" s="236">
        <v>1220</v>
      </c>
      <c r="L12" s="236">
        <v>15</v>
      </c>
      <c r="M12" s="236">
        <v>183</v>
      </c>
      <c r="N12" s="88">
        <f t="shared" si="2"/>
        <v>6</v>
      </c>
      <c r="O12" s="89">
        <f t="shared" si="10"/>
        <v>203.33333333333334</v>
      </c>
      <c r="P12" s="88">
        <f t="shared" si="4"/>
        <v>1</v>
      </c>
      <c r="Q12" s="88">
        <f t="shared" si="5"/>
        <v>6</v>
      </c>
      <c r="R12" s="89">
        <f t="shared" si="11"/>
        <v>1220</v>
      </c>
      <c r="S12" s="143">
        <f t="shared" si="12"/>
        <v>6</v>
      </c>
      <c r="T12" s="143">
        <f t="shared" si="8"/>
        <v>183</v>
      </c>
      <c r="U12" s="143">
        <f>SUMIF(Oct!$E$3:$E$86,B12,Oct!$H$3:$H$86)</f>
        <v>6</v>
      </c>
      <c r="V12" s="143">
        <f t="shared" si="9"/>
        <v>0</v>
      </c>
    </row>
    <row r="13" spans="2:22" ht="14.4" x14ac:dyDescent="0.3">
      <c r="B13" s="116">
        <v>1400169187</v>
      </c>
      <c r="C13" s="116" t="s">
        <v>1001</v>
      </c>
      <c r="D13" s="116" t="s">
        <v>1002</v>
      </c>
      <c r="E13" s="282" t="s">
        <v>974</v>
      </c>
      <c r="F13" s="282" t="s">
        <v>969</v>
      </c>
      <c r="G13" s="283" t="s">
        <v>1003</v>
      </c>
      <c r="H13" s="116" t="s">
        <v>273</v>
      </c>
      <c r="I13" s="116">
        <v>1</v>
      </c>
      <c r="J13" s="116">
        <v>2</v>
      </c>
      <c r="K13" s="236">
        <v>220</v>
      </c>
      <c r="L13" s="236">
        <v>14</v>
      </c>
      <c r="M13" s="236">
        <v>30.8</v>
      </c>
      <c r="N13" s="88">
        <f>(F13-E13)</f>
        <v>1</v>
      </c>
      <c r="O13" s="89">
        <f t="shared" si="10"/>
        <v>220</v>
      </c>
      <c r="P13" s="88">
        <f t="shared" si="4"/>
        <v>1</v>
      </c>
      <c r="Q13" s="88">
        <f t="shared" si="5"/>
        <v>1</v>
      </c>
      <c r="R13" s="89">
        <f t="shared" si="11"/>
        <v>220</v>
      </c>
      <c r="S13" s="143">
        <f t="shared" si="12"/>
        <v>1</v>
      </c>
      <c r="T13" s="143">
        <f t="shared" si="8"/>
        <v>33</v>
      </c>
      <c r="U13" s="143">
        <f>SUMIF(Oct!$E$3:$E$86,B13,Oct!$H$3:$H$86)</f>
        <v>1</v>
      </c>
      <c r="V13" s="143">
        <f t="shared" si="9"/>
        <v>0</v>
      </c>
    </row>
    <row r="14" spans="2:22" ht="14.4" x14ac:dyDescent="0.3">
      <c r="B14" s="116">
        <v>1647403352</v>
      </c>
      <c r="C14" s="116" t="s">
        <v>1004</v>
      </c>
      <c r="D14" s="116" t="s">
        <v>1005</v>
      </c>
      <c r="E14" s="282" t="s">
        <v>974</v>
      </c>
      <c r="F14" s="282" t="s">
        <v>969</v>
      </c>
      <c r="G14" s="283" t="s">
        <v>1006</v>
      </c>
      <c r="H14" s="116" t="s">
        <v>273</v>
      </c>
      <c r="I14" s="116">
        <v>1</v>
      </c>
      <c r="J14" s="116">
        <v>2</v>
      </c>
      <c r="K14" s="236">
        <v>220</v>
      </c>
      <c r="L14" s="236">
        <v>14</v>
      </c>
      <c r="M14" s="236">
        <v>30.8</v>
      </c>
      <c r="N14" s="88">
        <f t="shared" si="2"/>
        <v>1</v>
      </c>
      <c r="O14" s="89">
        <f t="shared" si="10"/>
        <v>220</v>
      </c>
      <c r="P14" s="88">
        <f t="shared" si="4"/>
        <v>1</v>
      </c>
      <c r="Q14" s="88">
        <f t="shared" si="5"/>
        <v>1</v>
      </c>
      <c r="R14" s="89">
        <f t="shared" si="11"/>
        <v>220</v>
      </c>
      <c r="S14" s="143">
        <f t="shared" si="12"/>
        <v>1</v>
      </c>
      <c r="T14" s="143">
        <f t="shared" si="8"/>
        <v>33</v>
      </c>
      <c r="U14" s="143">
        <f>SUMIF(Oct!$E$3:$E$86,B14,Oct!$H$3:$H$86)</f>
        <v>1</v>
      </c>
      <c r="V14" s="143">
        <f t="shared" si="9"/>
        <v>0</v>
      </c>
    </row>
    <row r="15" spans="2:22" ht="14.4" x14ac:dyDescent="0.3">
      <c r="B15" s="116">
        <v>1779473580</v>
      </c>
      <c r="C15" s="116" t="s">
        <v>1007</v>
      </c>
      <c r="D15" s="116" t="s">
        <v>1008</v>
      </c>
      <c r="E15" s="282" t="s">
        <v>974</v>
      </c>
      <c r="F15" s="282" t="s">
        <v>999</v>
      </c>
      <c r="G15" s="283" t="s">
        <v>1009</v>
      </c>
      <c r="H15" s="116" t="s">
        <v>273</v>
      </c>
      <c r="I15" s="116">
        <v>1</v>
      </c>
      <c r="J15" s="116">
        <v>2</v>
      </c>
      <c r="K15" s="236">
        <v>1220</v>
      </c>
      <c r="L15" s="236">
        <v>14</v>
      </c>
      <c r="M15" s="236">
        <v>170.8</v>
      </c>
      <c r="N15" s="88">
        <f t="shared" si="2"/>
        <v>6</v>
      </c>
      <c r="O15" s="89">
        <f t="shared" si="10"/>
        <v>203.33333333333334</v>
      </c>
      <c r="P15" s="88">
        <f t="shared" si="4"/>
        <v>1</v>
      </c>
      <c r="Q15" s="88">
        <f t="shared" si="5"/>
        <v>6</v>
      </c>
      <c r="R15" s="89">
        <f t="shared" si="11"/>
        <v>1220</v>
      </c>
      <c r="S15" s="143">
        <f t="shared" si="12"/>
        <v>6</v>
      </c>
      <c r="T15" s="143">
        <f t="shared" si="8"/>
        <v>183</v>
      </c>
      <c r="U15" s="143">
        <f>SUMIF(Oct!$E$3:$E$86,B15,Oct!$H$3:$H$86)</f>
        <v>6</v>
      </c>
      <c r="V15" s="143">
        <f t="shared" si="9"/>
        <v>0</v>
      </c>
    </row>
    <row r="16" spans="2:22" ht="14.4" x14ac:dyDescent="0.3">
      <c r="B16" s="116">
        <v>1700859192</v>
      </c>
      <c r="C16" s="116" t="s">
        <v>1010</v>
      </c>
      <c r="D16" s="116" t="s">
        <v>1011</v>
      </c>
      <c r="E16" s="282" t="s">
        <v>969</v>
      </c>
      <c r="F16" s="282" t="s">
        <v>999</v>
      </c>
      <c r="G16" s="283" t="s">
        <v>1012</v>
      </c>
      <c r="H16" s="116" t="s">
        <v>273</v>
      </c>
      <c r="I16" s="116">
        <v>2</v>
      </c>
      <c r="J16" s="116">
        <v>4</v>
      </c>
      <c r="K16" s="236">
        <v>2000</v>
      </c>
      <c r="L16" s="236">
        <v>15</v>
      </c>
      <c r="M16" s="236">
        <v>300</v>
      </c>
      <c r="N16" s="88">
        <f t="shared" si="2"/>
        <v>5</v>
      </c>
      <c r="O16" s="89">
        <f t="shared" si="10"/>
        <v>200</v>
      </c>
      <c r="P16" s="88">
        <f t="shared" si="4"/>
        <v>2</v>
      </c>
      <c r="Q16" s="88">
        <f t="shared" si="5"/>
        <v>10</v>
      </c>
      <c r="R16" s="89">
        <f t="shared" si="11"/>
        <v>2000</v>
      </c>
      <c r="S16" s="143">
        <f t="shared" si="12"/>
        <v>10</v>
      </c>
      <c r="T16" s="143">
        <f t="shared" si="8"/>
        <v>300</v>
      </c>
      <c r="U16" s="143">
        <f>SUMIF(Oct!$E$3:$E$86,B16,Oct!$H$3:$H$86)</f>
        <v>10</v>
      </c>
      <c r="V16" s="143">
        <f t="shared" si="9"/>
        <v>0</v>
      </c>
    </row>
    <row r="17" spans="2:22" ht="14.4" x14ac:dyDescent="0.3">
      <c r="B17" s="116">
        <v>1993053723</v>
      </c>
      <c r="C17" s="116" t="s">
        <v>1013</v>
      </c>
      <c r="D17" s="116" t="s">
        <v>1014</v>
      </c>
      <c r="E17" s="282" t="s">
        <v>969</v>
      </c>
      <c r="F17" s="282" t="s">
        <v>983</v>
      </c>
      <c r="G17" s="283" t="s">
        <v>1015</v>
      </c>
      <c r="H17" s="116" t="s">
        <v>273</v>
      </c>
      <c r="I17" s="116">
        <v>1</v>
      </c>
      <c r="J17" s="116">
        <v>2</v>
      </c>
      <c r="K17" s="236">
        <v>415</v>
      </c>
      <c r="L17" s="236">
        <v>14</v>
      </c>
      <c r="M17" s="236">
        <v>58.1</v>
      </c>
      <c r="N17" s="88">
        <f t="shared" si="2"/>
        <v>2</v>
      </c>
      <c r="O17" s="89">
        <f t="shared" si="10"/>
        <v>207.5</v>
      </c>
      <c r="P17" s="88">
        <f t="shared" si="4"/>
        <v>1</v>
      </c>
      <c r="Q17" s="88">
        <f t="shared" si="5"/>
        <v>2</v>
      </c>
      <c r="R17" s="89">
        <f t="shared" si="11"/>
        <v>415</v>
      </c>
      <c r="S17" s="143">
        <f t="shared" si="12"/>
        <v>2</v>
      </c>
      <c r="T17" s="143">
        <f t="shared" si="8"/>
        <v>62.25</v>
      </c>
      <c r="U17" s="143">
        <f>SUMIF(Oct!$E$3:$E$86,B17,Oct!$H$3:$H$86)</f>
        <v>2</v>
      </c>
      <c r="V17" s="143">
        <f t="shared" si="9"/>
        <v>0</v>
      </c>
    </row>
    <row r="18" spans="2:22" ht="14.4" x14ac:dyDescent="0.3">
      <c r="B18" s="116">
        <v>2029176220</v>
      </c>
      <c r="C18" s="116" t="s">
        <v>1016</v>
      </c>
      <c r="D18" s="116" t="s">
        <v>1017</v>
      </c>
      <c r="E18" s="282" t="s">
        <v>992</v>
      </c>
      <c r="F18" s="282" t="s">
        <v>1018</v>
      </c>
      <c r="G18" s="283" t="s">
        <v>1019</v>
      </c>
      <c r="H18" s="116" t="s">
        <v>273</v>
      </c>
      <c r="I18" s="116">
        <v>1</v>
      </c>
      <c r="J18" s="116">
        <v>2</v>
      </c>
      <c r="K18" s="236">
        <v>585</v>
      </c>
      <c r="L18" s="236">
        <v>15</v>
      </c>
      <c r="M18" s="236">
        <v>87.75</v>
      </c>
      <c r="N18" s="88">
        <f t="shared" si="2"/>
        <v>3</v>
      </c>
      <c r="O18" s="89">
        <f t="shared" si="10"/>
        <v>195</v>
      </c>
      <c r="P18" s="88">
        <f t="shared" si="4"/>
        <v>1</v>
      </c>
      <c r="Q18" s="88">
        <f t="shared" si="5"/>
        <v>3</v>
      </c>
      <c r="R18" s="89">
        <f t="shared" si="11"/>
        <v>585</v>
      </c>
      <c r="S18" s="143">
        <f t="shared" si="12"/>
        <v>3</v>
      </c>
      <c r="T18" s="143">
        <f t="shared" si="8"/>
        <v>87.75</v>
      </c>
      <c r="U18" s="143">
        <f>SUMIF(Oct!$E$3:$E$86,B18,Oct!$H$3:$H$86)</f>
        <v>3</v>
      </c>
      <c r="V18" s="143">
        <f t="shared" si="9"/>
        <v>0</v>
      </c>
    </row>
    <row r="19" spans="2:22" ht="14.4" x14ac:dyDescent="0.3">
      <c r="B19" s="116">
        <v>1307314853</v>
      </c>
      <c r="C19" s="116" t="s">
        <v>1020</v>
      </c>
      <c r="D19" s="116" t="s">
        <v>1021</v>
      </c>
      <c r="E19" s="282" t="s">
        <v>1018</v>
      </c>
      <c r="F19" s="282" t="s">
        <v>1022</v>
      </c>
      <c r="G19" s="283" t="s">
        <v>1023</v>
      </c>
      <c r="H19" s="116" t="s">
        <v>273</v>
      </c>
      <c r="I19" s="116">
        <v>1</v>
      </c>
      <c r="J19" s="116">
        <v>2</v>
      </c>
      <c r="K19" s="236">
        <v>975</v>
      </c>
      <c r="L19" s="236">
        <v>15</v>
      </c>
      <c r="M19" s="236">
        <v>146.25</v>
      </c>
      <c r="N19" s="88">
        <f t="shared" si="2"/>
        <v>5</v>
      </c>
      <c r="O19" s="89">
        <f t="shared" si="10"/>
        <v>195</v>
      </c>
      <c r="P19" s="88">
        <f t="shared" si="4"/>
        <v>1</v>
      </c>
      <c r="Q19" s="88">
        <f t="shared" si="5"/>
        <v>5</v>
      </c>
      <c r="R19" s="89">
        <f t="shared" si="11"/>
        <v>975</v>
      </c>
      <c r="S19" s="143">
        <f t="shared" si="12"/>
        <v>5</v>
      </c>
      <c r="T19" s="143">
        <f t="shared" si="8"/>
        <v>146.25</v>
      </c>
      <c r="U19" s="143">
        <f>SUMIF(Oct!$E$3:$E$86,B19,Oct!$H$3:$H$86)</f>
        <v>5</v>
      </c>
      <c r="V19" s="143">
        <f t="shared" si="9"/>
        <v>0</v>
      </c>
    </row>
    <row r="20" spans="2:22" ht="14.4" x14ac:dyDescent="0.3">
      <c r="B20" s="116">
        <v>1062725097</v>
      </c>
      <c r="C20" s="116" t="s">
        <v>1024</v>
      </c>
      <c r="D20" s="116" t="s">
        <v>1025</v>
      </c>
      <c r="E20" s="282" t="s">
        <v>999</v>
      </c>
      <c r="F20" s="282" t="s">
        <v>1026</v>
      </c>
      <c r="G20" s="283" t="s">
        <v>1027</v>
      </c>
      <c r="H20" s="116" t="s">
        <v>273</v>
      </c>
      <c r="I20" s="116">
        <v>1</v>
      </c>
      <c r="J20" s="116">
        <v>2</v>
      </c>
      <c r="K20" s="236">
        <v>585</v>
      </c>
      <c r="L20" s="236">
        <v>14</v>
      </c>
      <c r="M20" s="236">
        <v>81.900000000000006</v>
      </c>
      <c r="N20" s="88">
        <f t="shared" si="2"/>
        <v>3</v>
      </c>
      <c r="O20" s="89">
        <f t="shared" si="10"/>
        <v>195</v>
      </c>
      <c r="P20" s="88">
        <f t="shared" si="4"/>
        <v>1</v>
      </c>
      <c r="Q20" s="88">
        <f t="shared" si="5"/>
        <v>3</v>
      </c>
      <c r="R20" s="89">
        <f t="shared" si="11"/>
        <v>585</v>
      </c>
      <c r="S20" s="143">
        <f t="shared" si="12"/>
        <v>3</v>
      </c>
      <c r="T20" s="143">
        <f t="shared" si="8"/>
        <v>87.75</v>
      </c>
      <c r="U20" s="143">
        <f>SUMIF(Oct!$E$3:$E$86,B20,Oct!$H$3:$H$86)</f>
        <v>3</v>
      </c>
      <c r="V20" s="143">
        <f t="shared" si="9"/>
        <v>0</v>
      </c>
    </row>
    <row r="21" spans="2:22" ht="14.4" x14ac:dyDescent="0.3">
      <c r="B21" s="116">
        <v>1213398885</v>
      </c>
      <c r="C21" s="116" t="s">
        <v>1028</v>
      </c>
      <c r="D21" s="116" t="s">
        <v>1029</v>
      </c>
      <c r="E21" s="282" t="s">
        <v>999</v>
      </c>
      <c r="F21" s="282" t="s">
        <v>1030</v>
      </c>
      <c r="G21" s="283" t="s">
        <v>1031</v>
      </c>
      <c r="H21" s="116" t="s">
        <v>273</v>
      </c>
      <c r="I21" s="116">
        <v>1</v>
      </c>
      <c r="J21" s="116">
        <v>2</v>
      </c>
      <c r="K21" s="236">
        <v>351</v>
      </c>
      <c r="L21" s="236">
        <v>14</v>
      </c>
      <c r="M21" s="236">
        <v>49.14</v>
      </c>
      <c r="N21" s="88">
        <f t="shared" si="2"/>
        <v>2</v>
      </c>
      <c r="O21" s="89">
        <f t="shared" si="10"/>
        <v>175.5</v>
      </c>
      <c r="P21" s="88">
        <f t="shared" si="4"/>
        <v>1</v>
      </c>
      <c r="Q21" s="88">
        <f t="shared" si="5"/>
        <v>2</v>
      </c>
      <c r="R21" s="89">
        <f t="shared" si="11"/>
        <v>351</v>
      </c>
      <c r="S21" s="143">
        <f t="shared" si="12"/>
        <v>2</v>
      </c>
      <c r="T21" s="143">
        <f t="shared" si="8"/>
        <v>52.65</v>
      </c>
      <c r="U21" s="143">
        <f>SUMIF(Oct!$E$3:$E$86,B21,Oct!$H$3:$H$86)</f>
        <v>2</v>
      </c>
      <c r="V21" s="143">
        <f t="shared" si="9"/>
        <v>0</v>
      </c>
    </row>
    <row r="22" spans="2:22" ht="14.4" x14ac:dyDescent="0.3">
      <c r="B22" s="116">
        <v>1546459360</v>
      </c>
      <c r="C22" s="116" t="s">
        <v>1032</v>
      </c>
      <c r="D22" s="116" t="s">
        <v>1033</v>
      </c>
      <c r="E22" s="282" t="s">
        <v>999</v>
      </c>
      <c r="F22" s="282" t="s">
        <v>1030</v>
      </c>
      <c r="G22" s="283" t="s">
        <v>1034</v>
      </c>
      <c r="H22" s="116" t="s">
        <v>273</v>
      </c>
      <c r="I22" s="116">
        <v>1</v>
      </c>
      <c r="J22" s="116">
        <v>2</v>
      </c>
      <c r="K22" s="236">
        <v>390</v>
      </c>
      <c r="L22" s="236">
        <v>14</v>
      </c>
      <c r="M22" s="236">
        <v>54.6</v>
      </c>
      <c r="N22" s="88">
        <f t="shared" si="2"/>
        <v>2</v>
      </c>
      <c r="O22" s="89">
        <f t="shared" si="10"/>
        <v>195</v>
      </c>
      <c r="P22" s="88">
        <f t="shared" si="4"/>
        <v>1</v>
      </c>
      <c r="Q22" s="88">
        <f t="shared" si="5"/>
        <v>2</v>
      </c>
      <c r="R22" s="89">
        <f t="shared" si="11"/>
        <v>390</v>
      </c>
      <c r="S22" s="143">
        <f t="shared" si="12"/>
        <v>2</v>
      </c>
      <c r="T22" s="143">
        <f t="shared" si="8"/>
        <v>58.5</v>
      </c>
      <c r="U22" s="143">
        <f>SUMIF(Oct!$E$3:$E$86,B22,Oct!$H$3:$H$86)</f>
        <v>2</v>
      </c>
      <c r="V22" s="143">
        <f t="shared" si="9"/>
        <v>0</v>
      </c>
    </row>
    <row r="23" spans="2:22" ht="14.4" x14ac:dyDescent="0.3">
      <c r="B23" s="116">
        <v>1618352567</v>
      </c>
      <c r="C23" s="116" t="s">
        <v>1035</v>
      </c>
      <c r="D23" s="116" t="s">
        <v>1036</v>
      </c>
      <c r="E23" s="282" t="s">
        <v>999</v>
      </c>
      <c r="F23" s="282" t="s">
        <v>1026</v>
      </c>
      <c r="G23" s="283" t="s">
        <v>1037</v>
      </c>
      <c r="H23" s="116" t="s">
        <v>273</v>
      </c>
      <c r="I23" s="116">
        <v>1</v>
      </c>
      <c r="J23" s="116">
        <v>2</v>
      </c>
      <c r="K23" s="236">
        <v>585</v>
      </c>
      <c r="L23" s="236">
        <v>14</v>
      </c>
      <c r="M23" s="236">
        <v>81.900000000000006</v>
      </c>
      <c r="N23" s="88">
        <f t="shared" si="2"/>
        <v>3</v>
      </c>
      <c r="O23" s="89">
        <f t="shared" si="10"/>
        <v>195</v>
      </c>
      <c r="P23" s="88">
        <f t="shared" si="4"/>
        <v>1</v>
      </c>
      <c r="Q23" s="88">
        <f t="shared" si="5"/>
        <v>3</v>
      </c>
      <c r="R23" s="89">
        <f t="shared" si="11"/>
        <v>585</v>
      </c>
      <c r="S23" s="143">
        <f t="shared" si="12"/>
        <v>3</v>
      </c>
      <c r="T23" s="143">
        <f t="shared" si="8"/>
        <v>87.75</v>
      </c>
      <c r="U23" s="143">
        <f>SUMIF(Oct!$E$3:$E$86,B23,Oct!$H$3:$H$86)</f>
        <v>3</v>
      </c>
      <c r="V23" s="143">
        <f t="shared" si="9"/>
        <v>0</v>
      </c>
    </row>
    <row r="24" spans="2:22" ht="14.4" x14ac:dyDescent="0.3">
      <c r="B24" s="116">
        <v>1401301807</v>
      </c>
      <c r="C24" s="116" t="s">
        <v>1038</v>
      </c>
      <c r="D24" s="116" t="s">
        <v>1039</v>
      </c>
      <c r="E24" s="282" t="s">
        <v>1040</v>
      </c>
      <c r="F24" s="282" t="s">
        <v>1022</v>
      </c>
      <c r="G24" s="283" t="s">
        <v>1041</v>
      </c>
      <c r="H24" s="116" t="s">
        <v>273</v>
      </c>
      <c r="I24" s="116">
        <v>2</v>
      </c>
      <c r="J24" s="116">
        <v>4</v>
      </c>
      <c r="K24" s="236">
        <v>1053</v>
      </c>
      <c r="L24" s="236">
        <v>15</v>
      </c>
      <c r="M24" s="236">
        <v>157.94999999999999</v>
      </c>
      <c r="N24" s="88">
        <f t="shared" si="2"/>
        <v>3</v>
      </c>
      <c r="O24" s="89">
        <f t="shared" si="10"/>
        <v>175.5</v>
      </c>
      <c r="P24" s="88">
        <f t="shared" si="4"/>
        <v>2</v>
      </c>
      <c r="Q24" s="88">
        <f t="shared" si="5"/>
        <v>6</v>
      </c>
      <c r="R24" s="89">
        <f t="shared" si="11"/>
        <v>1053</v>
      </c>
      <c r="S24" s="143">
        <f t="shared" si="12"/>
        <v>5</v>
      </c>
      <c r="T24" s="143">
        <f t="shared" si="8"/>
        <v>157.94999999999999</v>
      </c>
      <c r="U24" s="143">
        <f>SUMIF(Oct!$E$3:$E$86,B24,Oct!$H$3:$H$86)</f>
        <v>6</v>
      </c>
      <c r="V24" s="143">
        <f t="shared" si="9"/>
        <v>0</v>
      </c>
    </row>
    <row r="25" spans="2:22" ht="14.4" x14ac:dyDescent="0.3">
      <c r="B25" s="116">
        <v>1812649529</v>
      </c>
      <c r="C25" s="116" t="s">
        <v>1042</v>
      </c>
      <c r="D25" s="116" t="s">
        <v>1043</v>
      </c>
      <c r="E25" s="282" t="s">
        <v>1026</v>
      </c>
      <c r="F25" s="282" t="s">
        <v>1044</v>
      </c>
      <c r="G25" s="283" t="s">
        <v>1045</v>
      </c>
      <c r="H25" s="116" t="s">
        <v>273</v>
      </c>
      <c r="I25" s="116">
        <v>2</v>
      </c>
      <c r="J25" s="116">
        <v>4</v>
      </c>
      <c r="K25" s="236">
        <v>1950</v>
      </c>
      <c r="L25" s="236">
        <v>15</v>
      </c>
      <c r="M25" s="236">
        <v>292.5</v>
      </c>
      <c r="N25" s="88">
        <f t="shared" si="2"/>
        <v>5</v>
      </c>
      <c r="O25" s="89">
        <f t="shared" si="10"/>
        <v>195</v>
      </c>
      <c r="P25" s="88">
        <f t="shared" si="4"/>
        <v>2</v>
      </c>
      <c r="Q25" s="88">
        <f t="shared" si="5"/>
        <v>10</v>
      </c>
      <c r="R25" s="89">
        <f t="shared" si="11"/>
        <v>1950</v>
      </c>
      <c r="S25" s="143">
        <f t="shared" si="12"/>
        <v>10</v>
      </c>
      <c r="T25" s="143">
        <f t="shared" si="8"/>
        <v>292.5</v>
      </c>
      <c r="U25" s="143">
        <f>SUMIF(Oct!$E$3:$E$86,B25,Oct!$H$3:$H$86)</f>
        <v>10</v>
      </c>
      <c r="V25" s="143">
        <f t="shared" si="9"/>
        <v>0</v>
      </c>
    </row>
    <row r="26" spans="2:22" ht="14.4" x14ac:dyDescent="0.3">
      <c r="B26" s="116">
        <v>1917391357</v>
      </c>
      <c r="C26" s="116" t="s">
        <v>1046</v>
      </c>
      <c r="D26" s="116" t="s">
        <v>1047</v>
      </c>
      <c r="E26" s="282" t="s">
        <v>1026</v>
      </c>
      <c r="F26" s="282" t="s">
        <v>1022</v>
      </c>
      <c r="G26" s="283" t="s">
        <v>1048</v>
      </c>
      <c r="H26" s="116" t="s">
        <v>273</v>
      </c>
      <c r="I26" s="116">
        <v>1</v>
      </c>
      <c r="J26" s="116">
        <v>2</v>
      </c>
      <c r="K26" s="236">
        <v>195</v>
      </c>
      <c r="L26" s="236">
        <v>14</v>
      </c>
      <c r="M26" s="236">
        <v>27.3</v>
      </c>
      <c r="N26" s="88">
        <f t="shared" si="2"/>
        <v>1</v>
      </c>
      <c r="O26" s="89">
        <f t="shared" si="3"/>
        <v>195</v>
      </c>
      <c r="P26" s="88">
        <f t="shared" si="4"/>
        <v>1</v>
      </c>
      <c r="Q26" s="88">
        <f t="shared" si="5"/>
        <v>1</v>
      </c>
      <c r="R26" s="89">
        <f t="shared" si="6"/>
        <v>195</v>
      </c>
      <c r="S26" s="143">
        <f t="shared" si="7"/>
        <v>1</v>
      </c>
      <c r="T26" s="143">
        <f t="shared" si="8"/>
        <v>29.25</v>
      </c>
      <c r="U26" s="143">
        <f>SUMIF(Oct!$E$3:$E$86,B26,Oct!$H$3:$H$86)</f>
        <v>1</v>
      </c>
      <c r="V26" s="143">
        <f t="shared" si="9"/>
        <v>0</v>
      </c>
    </row>
    <row r="27" spans="2:22" ht="14.4" x14ac:dyDescent="0.3">
      <c r="B27" s="116">
        <v>1056077608</v>
      </c>
      <c r="C27" s="116" t="s">
        <v>1049</v>
      </c>
      <c r="D27" s="116" t="s">
        <v>1050</v>
      </c>
      <c r="E27" s="282" t="s">
        <v>1022</v>
      </c>
      <c r="F27" s="282" t="s">
        <v>1051</v>
      </c>
      <c r="G27" s="283" t="s">
        <v>1052</v>
      </c>
      <c r="H27" s="116" t="s">
        <v>273</v>
      </c>
      <c r="I27" s="116">
        <v>1</v>
      </c>
      <c r="J27" s="116">
        <v>2</v>
      </c>
      <c r="K27" s="236">
        <v>195</v>
      </c>
      <c r="L27" s="236">
        <v>15</v>
      </c>
      <c r="M27" s="236">
        <v>29.25</v>
      </c>
      <c r="N27" s="88">
        <f t="shared" si="2"/>
        <v>1</v>
      </c>
      <c r="O27" s="89">
        <f t="shared" si="3"/>
        <v>195</v>
      </c>
      <c r="P27" s="88">
        <f t="shared" si="4"/>
        <v>1</v>
      </c>
      <c r="Q27" s="88">
        <f t="shared" si="5"/>
        <v>1</v>
      </c>
      <c r="R27" s="89">
        <f t="shared" si="6"/>
        <v>195</v>
      </c>
      <c r="S27" s="143">
        <f t="shared" si="7"/>
        <v>1</v>
      </c>
      <c r="T27" s="143">
        <f t="shared" si="8"/>
        <v>29.25</v>
      </c>
      <c r="U27" s="143">
        <f>SUMIF(Oct!$E$3:$E$86,B27,Oct!$H$3:$H$86)</f>
        <v>1</v>
      </c>
      <c r="V27" s="143">
        <f t="shared" si="9"/>
        <v>0</v>
      </c>
    </row>
    <row r="28" spans="2:22" ht="14.4" x14ac:dyDescent="0.3">
      <c r="B28" s="116">
        <v>1670880184</v>
      </c>
      <c r="C28" s="116" t="s">
        <v>1053</v>
      </c>
      <c r="D28" s="116" t="s">
        <v>1054</v>
      </c>
      <c r="E28" s="282" t="s">
        <v>1022</v>
      </c>
      <c r="F28" s="282" t="s">
        <v>1051</v>
      </c>
      <c r="G28" s="283" t="s">
        <v>1055</v>
      </c>
      <c r="H28" s="116" t="s">
        <v>273</v>
      </c>
      <c r="I28" s="116">
        <v>1</v>
      </c>
      <c r="J28" s="116">
        <v>2</v>
      </c>
      <c r="K28" s="236">
        <v>195</v>
      </c>
      <c r="L28" s="236">
        <v>14</v>
      </c>
      <c r="M28" s="236">
        <v>27.3</v>
      </c>
      <c r="N28" s="88">
        <f t="shared" si="2"/>
        <v>1</v>
      </c>
      <c r="O28" s="89">
        <f t="shared" si="3"/>
        <v>195</v>
      </c>
      <c r="P28" s="88">
        <f t="shared" si="4"/>
        <v>1</v>
      </c>
      <c r="Q28" s="88">
        <f t="shared" si="5"/>
        <v>1</v>
      </c>
      <c r="R28" s="89">
        <f t="shared" si="6"/>
        <v>195</v>
      </c>
      <c r="S28" s="143">
        <f t="shared" si="7"/>
        <v>1</v>
      </c>
      <c r="T28" s="143">
        <f t="shared" si="8"/>
        <v>29.25</v>
      </c>
      <c r="U28" s="143">
        <f>SUMIF(Oct!$E$3:$E$86,B28,Oct!$H$3:$H$86)</f>
        <v>1</v>
      </c>
      <c r="V28" s="143">
        <f t="shared" si="9"/>
        <v>0</v>
      </c>
    </row>
    <row r="29" spans="2:22" ht="14.4" x14ac:dyDescent="0.3">
      <c r="B29" s="116">
        <v>1663573297</v>
      </c>
      <c r="C29" s="116" t="s">
        <v>1056</v>
      </c>
      <c r="D29" s="116" t="s">
        <v>1057</v>
      </c>
      <c r="E29" s="282" t="s">
        <v>1051</v>
      </c>
      <c r="F29" s="282" t="s">
        <v>1058</v>
      </c>
      <c r="G29" s="283" t="s">
        <v>1059</v>
      </c>
      <c r="H29" s="116" t="s">
        <v>273</v>
      </c>
      <c r="I29" s="116">
        <v>1</v>
      </c>
      <c r="J29" s="116">
        <v>2</v>
      </c>
      <c r="K29" s="236">
        <v>195</v>
      </c>
      <c r="L29" s="236">
        <v>14</v>
      </c>
      <c r="M29" s="236">
        <v>27.3</v>
      </c>
      <c r="N29" s="88">
        <f t="shared" si="2"/>
        <v>1</v>
      </c>
      <c r="O29" s="89">
        <f t="shared" ref="O29:O44" si="13">K29/N29/P29*IF(H29="ok",1,0)</f>
        <v>195</v>
      </c>
      <c r="P29" s="88">
        <f t="shared" si="4"/>
        <v>1</v>
      </c>
      <c r="Q29" s="88">
        <f t="shared" si="5"/>
        <v>1</v>
      </c>
      <c r="R29" s="89">
        <f t="shared" ref="R29:R44" si="14">O29*Q29</f>
        <v>195</v>
      </c>
      <c r="S29" s="143">
        <f t="shared" ref="S29:S44" si="15">ROUND(K29/195,0)</f>
        <v>1</v>
      </c>
      <c r="T29" s="143">
        <f t="shared" si="8"/>
        <v>29.25</v>
      </c>
      <c r="U29" s="143">
        <f>SUMIF(Oct!$E$3:$E$86,B29,Oct!$H$3:$H$86)</f>
        <v>1</v>
      </c>
      <c r="V29" s="143">
        <f t="shared" si="9"/>
        <v>0</v>
      </c>
    </row>
    <row r="30" spans="2:22" ht="14.4" x14ac:dyDescent="0.3">
      <c r="B30" s="116">
        <v>1859752559</v>
      </c>
      <c r="C30" s="116" t="s">
        <v>1060</v>
      </c>
      <c r="D30" s="116" t="s">
        <v>1061</v>
      </c>
      <c r="E30" s="282" t="s">
        <v>1051</v>
      </c>
      <c r="F30" s="282" t="s">
        <v>1062</v>
      </c>
      <c r="G30" s="283" t="s">
        <v>1063</v>
      </c>
      <c r="H30" s="116" t="s">
        <v>273</v>
      </c>
      <c r="I30" s="116">
        <v>2</v>
      </c>
      <c r="J30" s="116">
        <v>3</v>
      </c>
      <c r="K30" s="236">
        <v>2593.5</v>
      </c>
      <c r="L30" s="236">
        <v>15</v>
      </c>
      <c r="M30" s="236">
        <v>389025</v>
      </c>
      <c r="N30" s="88">
        <f t="shared" si="2"/>
        <v>7</v>
      </c>
      <c r="O30" s="89">
        <f t="shared" si="13"/>
        <v>185.25</v>
      </c>
      <c r="P30" s="88">
        <f t="shared" si="4"/>
        <v>2</v>
      </c>
      <c r="Q30" s="88">
        <f t="shared" si="5"/>
        <v>14</v>
      </c>
      <c r="R30" s="89">
        <f t="shared" si="14"/>
        <v>2593.5</v>
      </c>
      <c r="S30" s="143">
        <f t="shared" si="15"/>
        <v>13</v>
      </c>
      <c r="T30" s="143">
        <f t="shared" si="8"/>
        <v>389.02499999999998</v>
      </c>
      <c r="U30" s="143">
        <f>SUMIF(Oct!$E$3:$E$86,B30,Oct!$H$3:$H$86)</f>
        <v>14</v>
      </c>
      <c r="V30" s="143">
        <f t="shared" si="9"/>
        <v>0</v>
      </c>
    </row>
    <row r="31" spans="2:22" ht="14.4" x14ac:dyDescent="0.3">
      <c r="B31" s="116">
        <v>2083299810</v>
      </c>
      <c r="C31" s="116" t="s">
        <v>1020</v>
      </c>
      <c r="D31" s="116" t="s">
        <v>1021</v>
      </c>
      <c r="E31" s="282" t="s">
        <v>1058</v>
      </c>
      <c r="F31" s="282" t="s">
        <v>1064</v>
      </c>
      <c r="G31" s="283" t="s">
        <v>1065</v>
      </c>
      <c r="H31" s="116" t="s">
        <v>273</v>
      </c>
      <c r="I31" s="116">
        <v>1</v>
      </c>
      <c r="J31" s="116">
        <v>2</v>
      </c>
      <c r="K31" s="236">
        <v>195</v>
      </c>
      <c r="L31" s="236">
        <v>15</v>
      </c>
      <c r="M31" s="236">
        <v>29.25</v>
      </c>
      <c r="N31" s="88">
        <f t="shared" si="2"/>
        <v>1</v>
      </c>
      <c r="O31" s="89">
        <f t="shared" si="13"/>
        <v>195</v>
      </c>
      <c r="P31" s="88">
        <f t="shared" si="4"/>
        <v>1</v>
      </c>
      <c r="Q31" s="88">
        <f t="shared" si="5"/>
        <v>1</v>
      </c>
      <c r="R31" s="89">
        <f t="shared" si="14"/>
        <v>195</v>
      </c>
      <c r="S31" s="143">
        <f t="shared" si="15"/>
        <v>1</v>
      </c>
      <c r="T31" s="143">
        <f t="shared" si="8"/>
        <v>29.25</v>
      </c>
      <c r="U31" s="143">
        <f>SUMIF(Oct!$E$3:$E$86,B31,Oct!$H$3:$H$86)</f>
        <v>1</v>
      </c>
      <c r="V31" s="143">
        <f t="shared" si="9"/>
        <v>0</v>
      </c>
    </row>
    <row r="32" spans="2:22" ht="14.4" x14ac:dyDescent="0.3">
      <c r="B32" s="116">
        <v>1753468732</v>
      </c>
      <c r="C32" s="116" t="s">
        <v>1066</v>
      </c>
      <c r="D32" s="116" t="s">
        <v>1067</v>
      </c>
      <c r="E32" s="282" t="s">
        <v>1064</v>
      </c>
      <c r="F32" s="282" t="s">
        <v>1068</v>
      </c>
      <c r="G32" s="283" t="s">
        <v>1069</v>
      </c>
      <c r="H32" s="116" t="s">
        <v>273</v>
      </c>
      <c r="I32" s="116">
        <v>1</v>
      </c>
      <c r="J32" s="116">
        <v>2</v>
      </c>
      <c r="K32" s="236">
        <v>526.5</v>
      </c>
      <c r="L32" s="236">
        <v>15</v>
      </c>
      <c r="M32" s="236">
        <v>78975</v>
      </c>
      <c r="N32" s="88">
        <f t="shared" si="2"/>
        <v>3</v>
      </c>
      <c r="O32" s="89">
        <f t="shared" si="13"/>
        <v>175.5</v>
      </c>
      <c r="P32" s="88">
        <f t="shared" si="4"/>
        <v>1</v>
      </c>
      <c r="Q32" s="88">
        <f t="shared" si="5"/>
        <v>3</v>
      </c>
      <c r="R32" s="89">
        <f t="shared" si="14"/>
        <v>526.5</v>
      </c>
      <c r="S32" s="143">
        <f t="shared" si="15"/>
        <v>3</v>
      </c>
      <c r="T32" s="143">
        <f t="shared" si="8"/>
        <v>78.974999999999994</v>
      </c>
      <c r="U32" s="143">
        <f>SUMIF(Oct!$E$3:$E$86,B32,Oct!$H$3:$H$86)</f>
        <v>3</v>
      </c>
      <c r="V32" s="143">
        <f t="shared" si="9"/>
        <v>0</v>
      </c>
    </row>
    <row r="33" spans="2:22" ht="14.4" x14ac:dyDescent="0.3">
      <c r="B33" s="116">
        <v>1230079600</v>
      </c>
      <c r="C33" s="116" t="s">
        <v>1070</v>
      </c>
      <c r="D33" s="116" t="s">
        <v>1071</v>
      </c>
      <c r="E33" s="282" t="s">
        <v>1044</v>
      </c>
      <c r="F33" s="282" t="s">
        <v>1072</v>
      </c>
      <c r="G33" s="283" t="s">
        <v>1073</v>
      </c>
      <c r="H33" s="116" t="s">
        <v>273</v>
      </c>
      <c r="I33" s="116">
        <v>1</v>
      </c>
      <c r="J33" s="116">
        <v>2</v>
      </c>
      <c r="K33" s="236">
        <v>1195</v>
      </c>
      <c r="L33" s="236">
        <v>15</v>
      </c>
      <c r="M33" s="236">
        <v>179.25</v>
      </c>
      <c r="N33" s="88">
        <f t="shared" si="2"/>
        <v>6</v>
      </c>
      <c r="O33" s="89">
        <f t="shared" si="13"/>
        <v>199.16666666666666</v>
      </c>
      <c r="P33" s="88">
        <f t="shared" si="4"/>
        <v>1</v>
      </c>
      <c r="Q33" s="88">
        <f t="shared" si="5"/>
        <v>6</v>
      </c>
      <c r="R33" s="89">
        <f t="shared" si="14"/>
        <v>1195</v>
      </c>
      <c r="S33" s="143">
        <f t="shared" si="15"/>
        <v>6</v>
      </c>
      <c r="T33" s="143">
        <f t="shared" si="8"/>
        <v>179.25</v>
      </c>
      <c r="U33" s="143">
        <f>SUMIF(Oct!$E$3:$E$86,B33,Oct!$H$3:$H$86)</f>
        <v>6</v>
      </c>
      <c r="V33" s="143">
        <f t="shared" si="9"/>
        <v>0</v>
      </c>
    </row>
    <row r="34" spans="2:22" ht="14.4" x14ac:dyDescent="0.3">
      <c r="B34" s="116">
        <v>1842570278</v>
      </c>
      <c r="C34" s="116" t="s">
        <v>1074</v>
      </c>
      <c r="D34" s="116"/>
      <c r="E34" s="282" t="s">
        <v>1044</v>
      </c>
      <c r="F34" s="282" t="s">
        <v>1068</v>
      </c>
      <c r="G34" s="283" t="s">
        <v>1075</v>
      </c>
      <c r="H34" s="116" t="s">
        <v>273</v>
      </c>
      <c r="I34" s="116">
        <v>1</v>
      </c>
      <c r="J34" s="116">
        <v>2</v>
      </c>
      <c r="K34" s="236">
        <v>390</v>
      </c>
      <c r="L34" s="236">
        <v>14</v>
      </c>
      <c r="M34" s="236">
        <v>54.6</v>
      </c>
      <c r="N34" s="88">
        <f t="shared" si="2"/>
        <v>2</v>
      </c>
      <c r="O34" s="89">
        <f t="shared" si="13"/>
        <v>195</v>
      </c>
      <c r="P34" s="88">
        <f t="shared" si="4"/>
        <v>1</v>
      </c>
      <c r="Q34" s="88">
        <f t="shared" si="5"/>
        <v>2</v>
      </c>
      <c r="R34" s="89">
        <f t="shared" si="14"/>
        <v>390</v>
      </c>
      <c r="S34" s="143">
        <f t="shared" si="15"/>
        <v>2</v>
      </c>
      <c r="T34" s="143">
        <f t="shared" si="8"/>
        <v>58.5</v>
      </c>
      <c r="U34" s="143">
        <f>SUMIF(Oct!$E$3:$E$86,B34,Oct!$H$3:$H$86)</f>
        <v>2</v>
      </c>
      <c r="V34" s="143">
        <f t="shared" si="9"/>
        <v>0</v>
      </c>
    </row>
    <row r="35" spans="2:22" ht="14.4" x14ac:dyDescent="0.3">
      <c r="B35" s="116">
        <v>2083400741</v>
      </c>
      <c r="C35" s="116" t="s">
        <v>1076</v>
      </c>
      <c r="D35" s="116" t="s">
        <v>1077</v>
      </c>
      <c r="E35" s="282" t="s">
        <v>1044</v>
      </c>
      <c r="F35" s="282" t="s">
        <v>1072</v>
      </c>
      <c r="G35" s="283" t="s">
        <v>1078</v>
      </c>
      <c r="H35" s="116" t="s">
        <v>273</v>
      </c>
      <c r="I35" s="116">
        <v>1</v>
      </c>
      <c r="J35" s="116">
        <v>2</v>
      </c>
      <c r="K35" s="236">
        <v>1195</v>
      </c>
      <c r="L35" s="236">
        <v>15</v>
      </c>
      <c r="M35" s="236">
        <v>179.25</v>
      </c>
      <c r="N35" s="88">
        <f t="shared" si="2"/>
        <v>6</v>
      </c>
      <c r="O35" s="89">
        <f t="shared" si="13"/>
        <v>199.16666666666666</v>
      </c>
      <c r="P35" s="88">
        <f t="shared" si="4"/>
        <v>1</v>
      </c>
      <c r="Q35" s="88">
        <f t="shared" si="5"/>
        <v>6</v>
      </c>
      <c r="R35" s="89">
        <f t="shared" si="14"/>
        <v>1195</v>
      </c>
      <c r="S35" s="143">
        <f t="shared" si="15"/>
        <v>6</v>
      </c>
      <c r="T35" s="143">
        <f t="shared" si="8"/>
        <v>179.25</v>
      </c>
      <c r="U35" s="143">
        <f>SUMIF(Oct!$E$3:$E$86,B35,Oct!$H$3:$H$86)</f>
        <v>6</v>
      </c>
      <c r="V35" s="143">
        <f t="shared" si="9"/>
        <v>0</v>
      </c>
    </row>
    <row r="36" spans="2:22" ht="14.4" x14ac:dyDescent="0.3">
      <c r="B36" s="116">
        <v>1293329149</v>
      </c>
      <c r="C36" s="116" t="s">
        <v>1079</v>
      </c>
      <c r="D36" s="116" t="s">
        <v>1080</v>
      </c>
      <c r="E36" s="282" t="s">
        <v>1068</v>
      </c>
      <c r="F36" s="282" t="s">
        <v>1081</v>
      </c>
      <c r="G36" s="283" t="s">
        <v>1082</v>
      </c>
      <c r="H36" s="116" t="s">
        <v>273</v>
      </c>
      <c r="I36" s="116">
        <v>1</v>
      </c>
      <c r="J36" s="116">
        <v>2</v>
      </c>
      <c r="K36" s="236">
        <v>1025</v>
      </c>
      <c r="L36" s="236">
        <v>15</v>
      </c>
      <c r="M36" s="236">
        <v>153.75</v>
      </c>
      <c r="N36" s="88">
        <f t="shared" si="2"/>
        <v>5</v>
      </c>
      <c r="O36" s="89">
        <f t="shared" si="13"/>
        <v>205</v>
      </c>
      <c r="P36" s="88">
        <f t="shared" si="4"/>
        <v>1</v>
      </c>
      <c r="Q36" s="88">
        <f t="shared" si="5"/>
        <v>5</v>
      </c>
      <c r="R36" s="89">
        <f t="shared" si="14"/>
        <v>1025</v>
      </c>
      <c r="S36" s="143">
        <f t="shared" si="15"/>
        <v>5</v>
      </c>
      <c r="T36" s="143">
        <f t="shared" si="8"/>
        <v>153.75</v>
      </c>
      <c r="U36" s="143">
        <f>SUMIF(Oct!$E$3:$E$86,B36,Oct!$H$3:$H$86)</f>
        <v>5</v>
      </c>
      <c r="V36" s="143">
        <f t="shared" si="9"/>
        <v>0</v>
      </c>
    </row>
    <row r="37" spans="2:22" ht="14.4" x14ac:dyDescent="0.3">
      <c r="B37" s="116">
        <v>1887298635</v>
      </c>
      <c r="C37" s="116" t="s">
        <v>1083</v>
      </c>
      <c r="D37" s="116" t="s">
        <v>1084</v>
      </c>
      <c r="E37" s="282" t="s">
        <v>1068</v>
      </c>
      <c r="F37" s="282" t="s">
        <v>1081</v>
      </c>
      <c r="G37" s="283" t="s">
        <v>1085</v>
      </c>
      <c r="H37" s="116" t="s">
        <v>273</v>
      </c>
      <c r="I37" s="116">
        <v>1</v>
      </c>
      <c r="J37" s="116">
        <v>2</v>
      </c>
      <c r="K37" s="236">
        <v>1025</v>
      </c>
      <c r="L37" s="236">
        <v>15</v>
      </c>
      <c r="M37" s="236">
        <v>153.75</v>
      </c>
      <c r="N37" s="88">
        <f t="shared" si="2"/>
        <v>5</v>
      </c>
      <c r="O37" s="89">
        <f t="shared" si="13"/>
        <v>205</v>
      </c>
      <c r="P37" s="88">
        <f t="shared" si="4"/>
        <v>1</v>
      </c>
      <c r="Q37" s="88">
        <f t="shared" si="5"/>
        <v>5</v>
      </c>
      <c r="R37" s="89">
        <f t="shared" si="14"/>
        <v>1025</v>
      </c>
      <c r="S37" s="143">
        <f t="shared" si="15"/>
        <v>5</v>
      </c>
      <c r="T37" s="143">
        <f t="shared" si="8"/>
        <v>153.75</v>
      </c>
      <c r="U37" s="143">
        <f>SUMIF(Oct!$E$3:$E$86,B37,Oct!$H$3:$H$86)</f>
        <v>5</v>
      </c>
      <c r="V37" s="143">
        <f t="shared" si="9"/>
        <v>0</v>
      </c>
    </row>
    <row r="38" spans="2:22" ht="14.4" x14ac:dyDescent="0.3">
      <c r="B38" s="116">
        <v>1055271147</v>
      </c>
      <c r="C38" s="116" t="s">
        <v>1086</v>
      </c>
      <c r="D38" s="116"/>
      <c r="E38" s="282" t="s">
        <v>1087</v>
      </c>
      <c r="F38" s="282" t="s">
        <v>1062</v>
      </c>
      <c r="G38" s="283" t="s">
        <v>1088</v>
      </c>
      <c r="H38" s="116" t="s">
        <v>1089</v>
      </c>
      <c r="I38" s="116">
        <v>1</v>
      </c>
      <c r="J38" s="116">
        <v>2</v>
      </c>
      <c r="K38" s="236">
        <v>195</v>
      </c>
      <c r="L38" s="236">
        <v>14</v>
      </c>
      <c r="M38" s="236"/>
      <c r="N38" s="88">
        <f t="shared" si="2"/>
        <v>1</v>
      </c>
      <c r="O38" s="89">
        <f t="shared" si="13"/>
        <v>0</v>
      </c>
      <c r="P38" s="88">
        <f t="shared" si="4"/>
        <v>1</v>
      </c>
      <c r="Q38" s="88">
        <f t="shared" si="5"/>
        <v>1</v>
      </c>
      <c r="R38" s="89">
        <f t="shared" si="14"/>
        <v>0</v>
      </c>
      <c r="S38" s="143">
        <f t="shared" si="15"/>
        <v>1</v>
      </c>
      <c r="T38" s="143">
        <f t="shared" si="8"/>
        <v>29.25</v>
      </c>
      <c r="U38" s="143">
        <f>SUMIF(Oct!$E$3:$E$86,B38,Oct!$H$3:$H$86)</f>
        <v>0</v>
      </c>
      <c r="V38" s="143">
        <f t="shared" si="9"/>
        <v>1</v>
      </c>
    </row>
    <row r="39" spans="2:22" ht="14.4" x14ac:dyDescent="0.3">
      <c r="B39" s="116">
        <v>1643048056</v>
      </c>
      <c r="C39" s="116" t="s">
        <v>1090</v>
      </c>
      <c r="D39" s="116" t="s">
        <v>1091</v>
      </c>
      <c r="E39" s="282" t="s">
        <v>1062</v>
      </c>
      <c r="F39" s="282" t="s">
        <v>1092</v>
      </c>
      <c r="G39" s="283" t="s">
        <v>1093</v>
      </c>
      <c r="H39" s="116" t="s">
        <v>273</v>
      </c>
      <c r="I39" s="116">
        <v>1</v>
      </c>
      <c r="J39" s="116">
        <v>2</v>
      </c>
      <c r="K39" s="236">
        <v>1050</v>
      </c>
      <c r="L39" s="236">
        <v>14</v>
      </c>
      <c r="M39" s="236">
        <v>147</v>
      </c>
      <c r="N39" s="88">
        <f t="shared" si="2"/>
        <v>5</v>
      </c>
      <c r="O39" s="89">
        <f t="shared" si="13"/>
        <v>210</v>
      </c>
      <c r="P39" s="88">
        <f t="shared" si="4"/>
        <v>1</v>
      </c>
      <c r="Q39" s="88">
        <f t="shared" si="5"/>
        <v>5</v>
      </c>
      <c r="R39" s="89">
        <f t="shared" si="14"/>
        <v>1050</v>
      </c>
      <c r="S39" s="143">
        <f t="shared" si="15"/>
        <v>5</v>
      </c>
      <c r="T39" s="143">
        <f t="shared" si="8"/>
        <v>157.5</v>
      </c>
      <c r="U39" s="143">
        <f>SUMIF(Oct!$E$3:$E$86,B39,Oct!$H$3:$H$86)</f>
        <v>5</v>
      </c>
      <c r="V39" s="143">
        <f t="shared" si="9"/>
        <v>0</v>
      </c>
    </row>
    <row r="40" spans="2:22" ht="14.4" x14ac:dyDescent="0.3">
      <c r="B40" s="116">
        <v>1553949324</v>
      </c>
      <c r="C40" s="116" t="s">
        <v>1094</v>
      </c>
      <c r="D40" s="116"/>
      <c r="E40" s="282" t="s">
        <v>1095</v>
      </c>
      <c r="F40" s="282" t="s">
        <v>1096</v>
      </c>
      <c r="G40" s="283" t="s">
        <v>1097</v>
      </c>
      <c r="H40" s="116" t="s">
        <v>273</v>
      </c>
      <c r="I40" s="116">
        <v>1</v>
      </c>
      <c r="J40" s="116">
        <v>2</v>
      </c>
      <c r="K40" s="236">
        <v>660</v>
      </c>
      <c r="L40" s="236">
        <v>14</v>
      </c>
      <c r="M40" s="236">
        <v>92.4</v>
      </c>
      <c r="N40" s="88">
        <f t="shared" si="2"/>
        <v>3</v>
      </c>
      <c r="O40" s="89">
        <f t="shared" si="13"/>
        <v>220</v>
      </c>
      <c r="P40" s="88">
        <f t="shared" si="4"/>
        <v>1</v>
      </c>
      <c r="Q40" s="88">
        <f t="shared" si="5"/>
        <v>3</v>
      </c>
      <c r="R40" s="89">
        <f t="shared" si="14"/>
        <v>660</v>
      </c>
      <c r="S40" s="143">
        <f t="shared" si="15"/>
        <v>3</v>
      </c>
      <c r="T40" s="143">
        <f t="shared" si="8"/>
        <v>99</v>
      </c>
      <c r="U40" s="143">
        <f>SUMIF(Oct!$E$3:$E$86,B40,Oct!$H$3:$H$86)</f>
        <v>3</v>
      </c>
      <c r="V40" s="143">
        <f t="shared" si="9"/>
        <v>0</v>
      </c>
    </row>
    <row r="41" spans="2:22" ht="14.4" x14ac:dyDescent="0.3">
      <c r="B41" s="116">
        <v>1650037786</v>
      </c>
      <c r="C41" s="116" t="s">
        <v>1098</v>
      </c>
      <c r="D41" s="116" t="s">
        <v>1099</v>
      </c>
      <c r="E41" s="282" t="s">
        <v>1095</v>
      </c>
      <c r="F41" s="282" t="s">
        <v>1096</v>
      </c>
      <c r="G41" s="283" t="s">
        <v>1100</v>
      </c>
      <c r="H41" s="116" t="s">
        <v>273</v>
      </c>
      <c r="I41" s="116">
        <v>1</v>
      </c>
      <c r="J41" s="116">
        <v>2</v>
      </c>
      <c r="K41" s="236">
        <v>660</v>
      </c>
      <c r="L41" s="236">
        <v>14</v>
      </c>
      <c r="M41" s="236">
        <v>92.4</v>
      </c>
      <c r="N41" s="88">
        <f t="shared" si="2"/>
        <v>3</v>
      </c>
      <c r="O41" s="89">
        <f t="shared" si="13"/>
        <v>220</v>
      </c>
      <c r="P41" s="88">
        <f t="shared" si="4"/>
        <v>1</v>
      </c>
      <c r="Q41" s="88">
        <f t="shared" si="5"/>
        <v>3</v>
      </c>
      <c r="R41" s="89">
        <f t="shared" si="14"/>
        <v>660</v>
      </c>
      <c r="S41" s="143">
        <f t="shared" si="15"/>
        <v>3</v>
      </c>
      <c r="T41" s="143">
        <f t="shared" si="8"/>
        <v>99</v>
      </c>
      <c r="U41" s="143">
        <f>SUMIF(Oct!$E$3:$E$86,B41,Oct!$H$3:$H$86)</f>
        <v>3</v>
      </c>
      <c r="V41" s="143">
        <f t="shared" si="9"/>
        <v>0</v>
      </c>
    </row>
    <row r="42" spans="2:22" ht="14.4" x14ac:dyDescent="0.3">
      <c r="B42" s="116">
        <v>1730014148</v>
      </c>
      <c r="C42" s="116" t="s">
        <v>1101</v>
      </c>
      <c r="D42" s="116" t="s">
        <v>1102</v>
      </c>
      <c r="E42" s="282" t="s">
        <v>1095</v>
      </c>
      <c r="F42" s="282" t="s">
        <v>1096</v>
      </c>
      <c r="G42" s="283" t="s">
        <v>1103</v>
      </c>
      <c r="H42" s="116" t="s">
        <v>273</v>
      </c>
      <c r="I42" s="116">
        <v>1</v>
      </c>
      <c r="J42" s="116">
        <v>2</v>
      </c>
      <c r="K42" s="236">
        <v>660</v>
      </c>
      <c r="L42" s="236">
        <v>14</v>
      </c>
      <c r="M42" s="236">
        <v>92.4</v>
      </c>
      <c r="N42" s="88">
        <f t="shared" si="2"/>
        <v>3</v>
      </c>
      <c r="O42" s="89">
        <f t="shared" si="13"/>
        <v>220</v>
      </c>
      <c r="P42" s="88">
        <f t="shared" si="4"/>
        <v>1</v>
      </c>
      <c r="Q42" s="88">
        <f t="shared" si="5"/>
        <v>3</v>
      </c>
      <c r="R42" s="89">
        <f t="shared" si="14"/>
        <v>660</v>
      </c>
      <c r="S42" s="143">
        <f t="shared" si="15"/>
        <v>3</v>
      </c>
      <c r="T42" s="143">
        <f t="shared" si="8"/>
        <v>99</v>
      </c>
      <c r="U42" s="143">
        <f>SUMIF(Oct!$E$3:$E$86,B42,Oct!$H$3:$H$86)</f>
        <v>3</v>
      </c>
      <c r="V42" s="143">
        <f t="shared" si="9"/>
        <v>0</v>
      </c>
    </row>
    <row r="43" spans="2:22" ht="14.4" x14ac:dyDescent="0.3">
      <c r="B43" s="116">
        <v>1712533337</v>
      </c>
      <c r="C43" s="116" t="s">
        <v>1104</v>
      </c>
      <c r="D43" s="116" t="s">
        <v>1105</v>
      </c>
      <c r="E43" s="282" t="s">
        <v>1072</v>
      </c>
      <c r="F43" s="282" t="s">
        <v>1092</v>
      </c>
      <c r="G43" s="283" t="s">
        <v>1106</v>
      </c>
      <c r="H43" s="116" t="s">
        <v>273</v>
      </c>
      <c r="I43" s="116">
        <v>1</v>
      </c>
      <c r="J43" s="116">
        <v>2</v>
      </c>
      <c r="K43" s="236">
        <v>635</v>
      </c>
      <c r="L43" s="236">
        <v>15</v>
      </c>
      <c r="M43" s="236">
        <v>95.25</v>
      </c>
      <c r="N43" s="88">
        <f t="shared" si="2"/>
        <v>3</v>
      </c>
      <c r="O43" s="89">
        <f t="shared" si="13"/>
        <v>211.66666666666666</v>
      </c>
      <c r="P43" s="88">
        <f t="shared" si="4"/>
        <v>1</v>
      </c>
      <c r="Q43" s="88">
        <f t="shared" si="5"/>
        <v>3</v>
      </c>
      <c r="R43" s="89">
        <f t="shared" si="14"/>
        <v>635</v>
      </c>
      <c r="S43" s="143">
        <f t="shared" si="15"/>
        <v>3</v>
      </c>
      <c r="T43" s="143">
        <f t="shared" si="8"/>
        <v>95.25</v>
      </c>
      <c r="U43" s="143">
        <f>SUMIF(Oct!$E$3:$E$86,B43,Oct!$H$3:$H$86)</f>
        <v>3</v>
      </c>
      <c r="V43" s="143">
        <f t="shared" si="9"/>
        <v>0</v>
      </c>
    </row>
    <row r="44" spans="2:22" ht="14.4" x14ac:dyDescent="0.3">
      <c r="B44" s="116">
        <v>1969660068</v>
      </c>
      <c r="C44" s="116" t="s">
        <v>1107</v>
      </c>
      <c r="D44" s="116" t="s">
        <v>1108</v>
      </c>
      <c r="E44" s="282" t="s">
        <v>1072</v>
      </c>
      <c r="F44" s="282" t="s">
        <v>1092</v>
      </c>
      <c r="G44" s="283" t="s">
        <v>1109</v>
      </c>
      <c r="H44" s="116" t="s">
        <v>273</v>
      </c>
      <c r="I44" s="116">
        <v>1</v>
      </c>
      <c r="J44" s="116">
        <v>2</v>
      </c>
      <c r="K44" s="236">
        <v>571.5</v>
      </c>
      <c r="L44" s="236">
        <v>15</v>
      </c>
      <c r="M44" s="236">
        <v>85725</v>
      </c>
      <c r="N44" s="88">
        <f t="shared" si="2"/>
        <v>3</v>
      </c>
      <c r="O44" s="89">
        <f t="shared" si="13"/>
        <v>190.5</v>
      </c>
      <c r="P44" s="88">
        <f t="shared" si="4"/>
        <v>1</v>
      </c>
      <c r="Q44" s="88">
        <f t="shared" si="5"/>
        <v>3</v>
      </c>
      <c r="R44" s="89">
        <f t="shared" si="14"/>
        <v>571.5</v>
      </c>
      <c r="S44" s="143">
        <f t="shared" si="15"/>
        <v>3</v>
      </c>
      <c r="T44" s="143">
        <f t="shared" si="8"/>
        <v>85.724999999999994</v>
      </c>
      <c r="U44" s="143">
        <f>SUMIF(Oct!$E$3:$E$86,B44,Oct!$H$3:$H$86)</f>
        <v>3</v>
      </c>
      <c r="V44" s="143">
        <f t="shared" si="9"/>
        <v>0</v>
      </c>
    </row>
    <row r="45" spans="2:22" ht="14.4" x14ac:dyDescent="0.3">
      <c r="B45" s="116">
        <v>1191330193</v>
      </c>
      <c r="C45" s="116" t="s">
        <v>1110</v>
      </c>
      <c r="D45" s="116" t="s">
        <v>1111</v>
      </c>
      <c r="E45" s="282" t="s">
        <v>1081</v>
      </c>
      <c r="F45" s="282" t="s">
        <v>1112</v>
      </c>
      <c r="G45" s="283" t="s">
        <v>1113</v>
      </c>
      <c r="H45" s="116" t="s">
        <v>273</v>
      </c>
      <c r="I45" s="116">
        <v>1</v>
      </c>
      <c r="J45" s="116">
        <v>2</v>
      </c>
      <c r="K45" s="236">
        <v>610</v>
      </c>
      <c r="L45" s="236">
        <v>14</v>
      </c>
      <c r="M45" s="236">
        <v>85.4</v>
      </c>
      <c r="N45" s="88">
        <f t="shared" ref="N45:N47" si="16">(F45-E45)</f>
        <v>3</v>
      </c>
      <c r="O45" s="89">
        <f t="shared" ref="O45:O47" si="17">K45/N45/P45*IF(H45="ok",1,0)</f>
        <v>203.33333333333334</v>
      </c>
      <c r="P45" s="88">
        <f t="shared" si="4"/>
        <v>1</v>
      </c>
      <c r="Q45" s="88">
        <f t="shared" ref="Q45:Q47" si="18">N45*P45</f>
        <v>3</v>
      </c>
      <c r="R45" s="89">
        <f t="shared" ref="R45:R47" si="19">O45*Q45</f>
        <v>610</v>
      </c>
      <c r="S45" s="143">
        <f t="shared" ref="S45:S50" si="20">ROUND(K45/195,0)</f>
        <v>3</v>
      </c>
      <c r="T45" s="143">
        <f t="shared" ref="T45:T50" si="21">K45*0.15</f>
        <v>91.5</v>
      </c>
      <c r="U45" s="143">
        <f>SUMIF(Oct!$E$3:$E$86,B45,Oct!$H$3:$H$86)</f>
        <v>3</v>
      </c>
      <c r="V45" s="143">
        <f t="shared" ref="V45:V50" si="22">Q45-U45</f>
        <v>0</v>
      </c>
    </row>
    <row r="46" spans="2:22" ht="14.4" x14ac:dyDescent="0.3">
      <c r="B46" s="116">
        <v>1485336898</v>
      </c>
      <c r="C46" s="116" t="s">
        <v>1114</v>
      </c>
      <c r="D46" s="116" t="s">
        <v>1115</v>
      </c>
      <c r="E46" s="282" t="s">
        <v>1081</v>
      </c>
      <c r="F46" s="282" t="s">
        <v>1092</v>
      </c>
      <c r="G46" s="283" t="s">
        <v>1116</v>
      </c>
      <c r="H46" s="116" t="s">
        <v>273</v>
      </c>
      <c r="I46" s="116">
        <v>1</v>
      </c>
      <c r="J46" s="116">
        <v>2</v>
      </c>
      <c r="K46" s="236">
        <v>415</v>
      </c>
      <c r="L46" s="236">
        <v>14</v>
      </c>
      <c r="M46" s="236">
        <v>58.1</v>
      </c>
      <c r="N46" s="88">
        <f t="shared" si="16"/>
        <v>2</v>
      </c>
      <c r="O46" s="89">
        <f t="shared" si="17"/>
        <v>207.5</v>
      </c>
      <c r="P46" s="88">
        <f t="shared" si="4"/>
        <v>1</v>
      </c>
      <c r="Q46" s="88">
        <f t="shared" si="18"/>
        <v>2</v>
      </c>
      <c r="R46" s="89">
        <f t="shared" si="19"/>
        <v>415</v>
      </c>
      <c r="S46" s="143">
        <f t="shared" si="20"/>
        <v>2</v>
      </c>
      <c r="T46" s="143">
        <f t="shared" si="21"/>
        <v>62.25</v>
      </c>
      <c r="U46" s="143">
        <f>SUMIF(Oct!$E$3:$E$86,B46,Oct!$H$3:$H$86)</f>
        <v>2</v>
      </c>
      <c r="V46" s="143">
        <f t="shared" si="22"/>
        <v>0</v>
      </c>
    </row>
    <row r="47" spans="2:22" ht="14.4" x14ac:dyDescent="0.3">
      <c r="B47" s="116">
        <v>1761349685</v>
      </c>
      <c r="C47" s="116" t="s">
        <v>1117</v>
      </c>
      <c r="D47" s="116" t="s">
        <v>1118</v>
      </c>
      <c r="E47" s="282" t="s">
        <v>1081</v>
      </c>
      <c r="F47" s="282" t="s">
        <v>1092</v>
      </c>
      <c r="G47" s="283" t="s">
        <v>1119</v>
      </c>
      <c r="H47" s="116" t="s">
        <v>273</v>
      </c>
      <c r="I47" s="116">
        <v>1</v>
      </c>
      <c r="J47" s="116">
        <v>2</v>
      </c>
      <c r="K47" s="236">
        <v>373.5</v>
      </c>
      <c r="L47" s="236">
        <v>14</v>
      </c>
      <c r="M47" s="236">
        <v>52.29</v>
      </c>
      <c r="N47" s="88">
        <f t="shared" si="16"/>
        <v>2</v>
      </c>
      <c r="O47" s="89">
        <f t="shared" si="17"/>
        <v>186.75</v>
      </c>
      <c r="P47" s="88">
        <f t="shared" si="4"/>
        <v>1</v>
      </c>
      <c r="Q47" s="88">
        <f t="shared" si="18"/>
        <v>2</v>
      </c>
      <c r="R47" s="89">
        <f t="shared" si="19"/>
        <v>373.5</v>
      </c>
      <c r="S47" s="143">
        <f t="shared" si="20"/>
        <v>2</v>
      </c>
      <c r="T47" s="143">
        <f t="shared" si="21"/>
        <v>56.024999999999999</v>
      </c>
      <c r="U47" s="143">
        <f>SUMIF(Oct!$E$3:$E$86,B47,Oct!$H$3:$H$86)</f>
        <v>2</v>
      </c>
      <c r="V47" s="143">
        <f t="shared" si="22"/>
        <v>0</v>
      </c>
    </row>
    <row r="48" spans="2:22" ht="14.4" x14ac:dyDescent="0.3">
      <c r="B48" s="116">
        <v>1295026576</v>
      </c>
      <c r="C48" s="116" t="s">
        <v>1120</v>
      </c>
      <c r="D48" s="116" t="s">
        <v>1121</v>
      </c>
      <c r="E48" s="282" t="s">
        <v>1112</v>
      </c>
      <c r="F48" s="282" t="s">
        <v>1122</v>
      </c>
      <c r="G48" s="283" t="s">
        <v>1123</v>
      </c>
      <c r="H48" s="116" t="s">
        <v>273</v>
      </c>
      <c r="I48" s="116">
        <v>1</v>
      </c>
      <c r="J48" s="116">
        <v>2</v>
      </c>
      <c r="K48" s="236">
        <v>175.5</v>
      </c>
      <c r="L48" s="236">
        <v>15</v>
      </c>
      <c r="M48" s="236">
        <v>26325</v>
      </c>
      <c r="N48" s="88">
        <f t="shared" ref="N48:N49" si="23">(F48-E48)</f>
        <v>1</v>
      </c>
      <c r="O48" s="89">
        <f t="shared" ref="O48:O49" si="24">K48/N48/P48*IF(H48="ok",1,0)</f>
        <v>175.5</v>
      </c>
      <c r="P48" s="88">
        <f t="shared" ref="P48:P49" si="25">I48</f>
        <v>1</v>
      </c>
      <c r="Q48" s="88">
        <f t="shared" ref="Q48:Q49" si="26">N48*P48</f>
        <v>1</v>
      </c>
      <c r="R48" s="89">
        <f t="shared" ref="R48:R49" si="27">O48*Q48</f>
        <v>175.5</v>
      </c>
      <c r="S48" s="143">
        <f t="shared" ref="S48:S49" si="28">ROUND(K48/195,0)</f>
        <v>1</v>
      </c>
      <c r="T48" s="143">
        <f t="shared" ref="T48:T49" si="29">K48*0.15</f>
        <v>26.324999999999999</v>
      </c>
      <c r="U48" s="143">
        <f>SUMIF(Oct!$E$3:$E$86,B48,Oct!$H$3:$H$86)</f>
        <v>1</v>
      </c>
      <c r="V48" s="143">
        <f t="shared" si="22"/>
        <v>0</v>
      </c>
    </row>
    <row r="49" spans="2:22" ht="14.4" x14ac:dyDescent="0.3">
      <c r="B49" s="116">
        <v>1673429193</v>
      </c>
      <c r="C49" s="116" t="s">
        <v>1120</v>
      </c>
      <c r="D49" s="116" t="s">
        <v>1124</v>
      </c>
      <c r="E49" s="282" t="s">
        <v>1112</v>
      </c>
      <c r="F49" s="282" t="s">
        <v>1122</v>
      </c>
      <c r="G49" s="283" t="s">
        <v>1125</v>
      </c>
      <c r="H49" s="116" t="s">
        <v>273</v>
      </c>
      <c r="I49" s="116">
        <v>9</v>
      </c>
      <c r="J49" s="116">
        <v>11</v>
      </c>
      <c r="K49" s="236">
        <v>1716</v>
      </c>
      <c r="L49" s="236">
        <v>15</v>
      </c>
      <c r="M49" s="236">
        <v>257.39999999999998</v>
      </c>
      <c r="N49" s="88">
        <f t="shared" si="23"/>
        <v>1</v>
      </c>
      <c r="O49" s="89">
        <f t="shared" si="24"/>
        <v>190.66666666666666</v>
      </c>
      <c r="P49" s="88">
        <f t="shared" si="25"/>
        <v>9</v>
      </c>
      <c r="Q49" s="88">
        <f t="shared" si="26"/>
        <v>9</v>
      </c>
      <c r="R49" s="89">
        <f t="shared" si="27"/>
        <v>1716</v>
      </c>
      <c r="S49" s="143">
        <f t="shared" si="28"/>
        <v>9</v>
      </c>
      <c r="T49" s="143">
        <f t="shared" si="29"/>
        <v>257.39999999999998</v>
      </c>
      <c r="U49" s="143">
        <f>SUMIF(Oct!$E$3:$E$86,B49,Oct!$H$3:$H$86)</f>
        <v>9</v>
      </c>
      <c r="V49" s="143">
        <f t="shared" si="22"/>
        <v>0</v>
      </c>
    </row>
    <row r="50" spans="2:22" ht="14.4" x14ac:dyDescent="0.3">
      <c r="B50" s="116"/>
      <c r="C50" s="116"/>
      <c r="D50" s="116"/>
      <c r="E50" s="282"/>
      <c r="F50" s="282"/>
      <c r="G50" s="283"/>
      <c r="H50" s="116"/>
      <c r="I50" s="116"/>
      <c r="J50" s="116"/>
      <c r="K50" s="236"/>
      <c r="L50" s="236"/>
      <c r="M50" s="236"/>
      <c r="O50" s="89"/>
      <c r="R50" s="89"/>
      <c r="S50" s="143">
        <f t="shared" si="20"/>
        <v>0</v>
      </c>
      <c r="T50" s="143">
        <f t="shared" si="21"/>
        <v>0</v>
      </c>
      <c r="U50" s="143">
        <f>SUMIF(Oct!$E$3:$E$86,B50,Oct!$H$3:$H$86)</f>
        <v>0</v>
      </c>
      <c r="V50" s="143">
        <f t="shared" si="22"/>
        <v>0</v>
      </c>
    </row>
    <row r="51" spans="2:22" ht="14.4" x14ac:dyDescent="0.3">
      <c r="B51" s="116"/>
      <c r="C51" s="116"/>
      <c r="D51" s="116"/>
      <c r="E51" s="116"/>
      <c r="F51" s="116"/>
      <c r="G51" s="116"/>
      <c r="H51" s="116"/>
      <c r="I51" s="116"/>
      <c r="J51" s="116"/>
      <c r="K51" s="236"/>
      <c r="L51" s="236"/>
      <c r="M51" s="236"/>
      <c r="O51" s="89"/>
      <c r="R51" s="89"/>
    </row>
    <row r="52" spans="2:22" ht="14.4" x14ac:dyDescent="0.3">
      <c r="B52" s="116"/>
      <c r="C52" s="116"/>
      <c r="D52" s="116"/>
      <c r="E52" s="116"/>
      <c r="F52" s="116"/>
      <c r="G52" s="116"/>
      <c r="H52" s="116"/>
      <c r="I52" s="116"/>
      <c r="J52" s="116"/>
      <c r="K52" s="236"/>
      <c r="L52" s="236"/>
      <c r="M52" s="236"/>
      <c r="O52" s="89"/>
      <c r="R52" s="89"/>
    </row>
    <row r="53" spans="2:22" ht="14.4" x14ac:dyDescent="0.3">
      <c r="B53" s="116"/>
      <c r="C53" s="116"/>
      <c r="D53" s="116"/>
      <c r="E53" s="116"/>
      <c r="F53" s="116"/>
      <c r="G53" s="116"/>
      <c r="H53" s="116"/>
      <c r="I53" s="116"/>
      <c r="J53" s="116"/>
      <c r="K53" s="236"/>
      <c r="L53" s="236"/>
      <c r="M53" s="236"/>
      <c r="O53" s="89"/>
      <c r="R53" s="89"/>
    </row>
    <row r="54" spans="2:22" ht="14.4" x14ac:dyDescent="0.3">
      <c r="B54" s="116"/>
      <c r="C54" s="116"/>
      <c r="D54" s="116"/>
      <c r="E54" s="116"/>
      <c r="F54" s="116"/>
      <c r="G54" s="116"/>
      <c r="H54" s="116"/>
      <c r="I54" s="116"/>
      <c r="J54" s="116"/>
      <c r="K54" s="236"/>
      <c r="L54" s="236"/>
      <c r="M54" s="236"/>
      <c r="O54" s="89"/>
      <c r="R54" s="89"/>
    </row>
    <row r="55" spans="2:22" ht="14.4" x14ac:dyDescent="0.3">
      <c r="B55" s="116"/>
      <c r="C55" s="116"/>
      <c r="D55" s="116"/>
      <c r="E55" s="116"/>
      <c r="F55" s="116"/>
      <c r="G55" s="116"/>
      <c r="H55" s="116"/>
      <c r="I55" s="116"/>
      <c r="J55" s="116"/>
      <c r="K55" s="236"/>
      <c r="L55" s="236"/>
      <c r="M55" s="236"/>
      <c r="O55" s="89"/>
      <c r="R55" s="89"/>
    </row>
    <row r="56" spans="2:22" ht="14.4" x14ac:dyDescent="0.3">
      <c r="B56" s="116"/>
      <c r="C56" s="116"/>
      <c r="D56" s="116"/>
      <c r="E56" s="116"/>
      <c r="F56" s="116"/>
      <c r="G56" s="116"/>
      <c r="H56" s="116"/>
      <c r="I56" s="116"/>
      <c r="J56" s="116"/>
      <c r="K56" s="236"/>
      <c r="L56" s="236"/>
      <c r="M56" s="236"/>
      <c r="O56" s="89"/>
      <c r="R56" s="89"/>
    </row>
    <row r="57" spans="2:22" ht="14.4" x14ac:dyDescent="0.3">
      <c r="B57" s="116"/>
      <c r="C57" s="116"/>
      <c r="D57" s="116"/>
      <c r="E57" s="116"/>
      <c r="F57" s="116"/>
      <c r="G57" s="116"/>
      <c r="H57" s="116"/>
      <c r="I57" s="116"/>
      <c r="J57" s="116"/>
      <c r="K57" s="236"/>
      <c r="L57" s="236"/>
      <c r="M57" s="236"/>
      <c r="O57" s="89"/>
      <c r="R57" s="89"/>
    </row>
    <row r="58" spans="2:22" ht="14.4" x14ac:dyDescent="0.3">
      <c r="B58" s="116"/>
      <c r="C58" s="116"/>
      <c r="D58" s="116"/>
      <c r="E58" s="116"/>
      <c r="F58" s="116"/>
      <c r="G58" s="116"/>
      <c r="H58" s="116"/>
      <c r="I58" s="116"/>
      <c r="J58" s="116"/>
      <c r="K58" s="236"/>
      <c r="L58" s="236"/>
      <c r="M58" s="236"/>
      <c r="O58" s="89"/>
      <c r="R58" s="89"/>
    </row>
    <row r="59" spans="2:22" ht="14.4" x14ac:dyDescent="0.3">
      <c r="B59" s="116"/>
      <c r="C59" s="116"/>
      <c r="D59" s="116"/>
      <c r="E59" s="116"/>
      <c r="F59" s="116"/>
      <c r="G59" s="116"/>
      <c r="H59" s="116"/>
      <c r="I59" s="116"/>
      <c r="J59" s="116"/>
      <c r="K59" s="236"/>
      <c r="L59" s="236"/>
      <c r="M59" s="236"/>
      <c r="O59" s="89"/>
      <c r="R59" s="89"/>
    </row>
    <row r="60" spans="2:22" ht="14.4" x14ac:dyDescent="0.3">
      <c r="B60" s="116"/>
      <c r="C60" s="116"/>
      <c r="D60" s="116"/>
      <c r="E60" s="116"/>
      <c r="F60" s="116"/>
      <c r="G60" s="116"/>
      <c r="H60" s="116"/>
      <c r="I60" s="116"/>
      <c r="J60" s="116"/>
      <c r="K60" s="236"/>
      <c r="L60" s="236"/>
      <c r="M60" s="236"/>
      <c r="O60" s="89"/>
      <c r="R60" s="89"/>
    </row>
    <row r="61" spans="2:22" ht="14.4" x14ac:dyDescent="0.3">
      <c r="B61" s="116"/>
      <c r="C61" s="116"/>
      <c r="D61" s="116"/>
      <c r="E61" s="116"/>
      <c r="F61" s="116"/>
      <c r="G61" s="116"/>
      <c r="H61" s="116"/>
      <c r="I61" s="116"/>
      <c r="J61" s="116"/>
      <c r="K61" s="236"/>
      <c r="L61" s="236"/>
      <c r="M61" s="236"/>
      <c r="O61" s="89"/>
      <c r="R61" s="89"/>
    </row>
    <row r="62" spans="2:22" ht="14.4" x14ac:dyDescent="0.3">
      <c r="B62" s="116"/>
      <c r="C62" s="116"/>
      <c r="D62" s="116"/>
      <c r="E62" s="116"/>
      <c r="F62" s="116"/>
      <c r="G62" s="116"/>
      <c r="H62" s="116"/>
      <c r="I62" s="116"/>
      <c r="J62" s="116"/>
      <c r="K62" s="236"/>
      <c r="L62" s="236"/>
      <c r="M62" s="236"/>
      <c r="O62" s="89"/>
      <c r="R62" s="89"/>
    </row>
    <row r="63" spans="2:22" ht="14.4" x14ac:dyDescent="0.3">
      <c r="B63" s="116"/>
      <c r="C63" s="116"/>
      <c r="D63" s="116"/>
      <c r="E63" s="116"/>
      <c r="F63" s="116"/>
      <c r="G63" s="116"/>
      <c r="H63" s="116"/>
      <c r="I63" s="116"/>
      <c r="J63" s="116"/>
      <c r="K63" s="236"/>
      <c r="L63" s="236"/>
      <c r="M63" s="236"/>
      <c r="O63" s="89"/>
      <c r="R63" s="89"/>
    </row>
    <row r="64" spans="2:22" ht="14.4" x14ac:dyDescent="0.3">
      <c r="B64" s="116"/>
      <c r="C64" s="116"/>
      <c r="D64" s="116"/>
      <c r="E64" s="116"/>
      <c r="F64" s="116"/>
      <c r="G64" s="116"/>
      <c r="H64" s="116"/>
      <c r="I64" s="116"/>
      <c r="J64" s="116"/>
      <c r="K64" s="236"/>
      <c r="L64" s="236"/>
      <c r="M64" s="236"/>
      <c r="O64" s="89"/>
      <c r="R64" s="89"/>
    </row>
    <row r="65" spans="2:18" ht="14.4" x14ac:dyDescent="0.3">
      <c r="B65" s="116"/>
      <c r="C65" s="116"/>
      <c r="D65" s="116"/>
      <c r="E65" s="116"/>
      <c r="F65" s="116"/>
      <c r="G65" s="116"/>
      <c r="H65" s="116"/>
      <c r="I65" s="116"/>
      <c r="J65" s="116"/>
      <c r="K65" s="236"/>
      <c r="L65" s="236"/>
      <c r="M65" s="236"/>
      <c r="O65" s="89"/>
      <c r="R65" s="89"/>
    </row>
    <row r="66" spans="2:18" ht="14.4" x14ac:dyDescent="0.3">
      <c r="B66" s="116"/>
      <c r="C66" s="116"/>
      <c r="D66" s="116"/>
      <c r="E66" s="116"/>
      <c r="F66" s="116"/>
      <c r="G66" s="116"/>
      <c r="H66" s="116"/>
      <c r="I66" s="116"/>
      <c r="J66" s="116"/>
      <c r="K66" s="236"/>
      <c r="L66" s="236"/>
      <c r="M66" s="236"/>
      <c r="O66" s="89"/>
      <c r="R66" s="89"/>
    </row>
    <row r="67" spans="2:18" ht="14.4" x14ac:dyDescent="0.3">
      <c r="B67" s="116"/>
      <c r="C67" s="116"/>
      <c r="D67" s="116"/>
      <c r="E67" s="116"/>
      <c r="F67" s="116"/>
      <c r="G67" s="116"/>
      <c r="H67" s="116"/>
      <c r="I67" s="116"/>
      <c r="J67" s="116"/>
      <c r="K67" s="236"/>
      <c r="L67" s="236"/>
      <c r="M67" s="236"/>
      <c r="O67" s="89"/>
      <c r="R67" s="89"/>
    </row>
    <row r="68" spans="2:18" ht="14.4" x14ac:dyDescent="0.3">
      <c r="B68" s="116"/>
      <c r="C68" s="116"/>
      <c r="D68" s="116"/>
      <c r="E68" s="116"/>
      <c r="F68" s="116"/>
      <c r="G68" s="116"/>
      <c r="H68" s="116"/>
      <c r="I68" s="116"/>
      <c r="J68" s="116"/>
      <c r="K68" s="236"/>
      <c r="L68" s="236"/>
      <c r="M68" s="236"/>
      <c r="O68" s="89"/>
      <c r="R68" s="89"/>
    </row>
    <row r="69" spans="2:18" ht="14.4" x14ac:dyDescent="0.3">
      <c r="B69" s="116"/>
      <c r="C69" s="116"/>
      <c r="D69" s="116"/>
      <c r="E69" s="116"/>
      <c r="F69" s="116"/>
      <c r="G69" s="116"/>
      <c r="H69" s="116"/>
      <c r="I69" s="116"/>
      <c r="J69" s="116"/>
      <c r="K69" s="236"/>
      <c r="L69" s="236"/>
      <c r="M69" s="236"/>
      <c r="O69" s="89"/>
      <c r="R69" s="89"/>
    </row>
    <row r="70" spans="2:18" ht="14.4" x14ac:dyDescent="0.3">
      <c r="B70" s="116"/>
      <c r="C70" s="116"/>
      <c r="D70" s="116"/>
      <c r="E70" s="116"/>
      <c r="F70" s="116"/>
      <c r="G70" s="116"/>
      <c r="H70" s="116"/>
      <c r="I70" s="116"/>
      <c r="J70" s="116"/>
      <c r="K70" s="236"/>
      <c r="L70" s="236"/>
      <c r="M70" s="236"/>
      <c r="O70" s="89"/>
      <c r="R70" s="89"/>
    </row>
    <row r="71" spans="2:18" ht="14.4" x14ac:dyDescent="0.3">
      <c r="B71" s="116"/>
      <c r="C71" s="116"/>
      <c r="D71" s="116"/>
      <c r="E71" s="116"/>
      <c r="F71" s="116"/>
      <c r="G71" s="116"/>
      <c r="H71" s="116"/>
      <c r="I71" s="116"/>
      <c r="J71" s="116"/>
      <c r="K71" s="236"/>
      <c r="L71" s="236"/>
      <c r="M71" s="236"/>
      <c r="O71" s="89"/>
      <c r="R71" s="89"/>
    </row>
    <row r="72" spans="2:18" ht="14.4" x14ac:dyDescent="0.3">
      <c r="B72" s="116"/>
      <c r="C72" s="116"/>
      <c r="D72" s="116"/>
      <c r="E72" s="116"/>
      <c r="F72" s="116"/>
      <c r="G72" s="116"/>
      <c r="H72" s="116"/>
      <c r="I72" s="116"/>
      <c r="J72" s="116"/>
      <c r="K72" s="236"/>
      <c r="L72" s="236"/>
      <c r="M72" s="236"/>
      <c r="O72" s="89"/>
      <c r="R72" s="89"/>
    </row>
    <row r="73" spans="2:18" ht="14.4" x14ac:dyDescent="0.3">
      <c r="B73" s="116"/>
      <c r="C73" s="116"/>
      <c r="D73" s="116"/>
      <c r="E73" s="116"/>
      <c r="F73" s="116"/>
      <c r="G73" s="116"/>
      <c r="H73" s="116"/>
      <c r="I73" s="116"/>
      <c r="J73" s="116"/>
      <c r="K73" s="236"/>
      <c r="L73" s="236"/>
      <c r="M73" s="236"/>
      <c r="O73" s="89"/>
      <c r="R73" s="89"/>
    </row>
    <row r="74" spans="2:18" ht="14.4" x14ac:dyDescent="0.3">
      <c r="B74" s="116"/>
      <c r="C74" s="116"/>
      <c r="D74" s="116"/>
      <c r="E74" s="116"/>
      <c r="F74" s="116"/>
      <c r="G74" s="116"/>
      <c r="H74" s="116"/>
      <c r="I74" s="116"/>
      <c r="J74" s="116"/>
      <c r="K74" s="236"/>
      <c r="L74" s="236"/>
      <c r="M74" s="236"/>
      <c r="O74" s="89"/>
      <c r="R74" s="89"/>
    </row>
    <row r="75" spans="2:18" ht="14.4" x14ac:dyDescent="0.3">
      <c r="B75" s="116"/>
      <c r="C75" s="116"/>
      <c r="D75" s="116"/>
      <c r="E75" s="116"/>
      <c r="F75" s="116"/>
      <c r="G75" s="116"/>
      <c r="H75" s="116"/>
      <c r="I75" s="116"/>
      <c r="J75" s="116"/>
      <c r="K75" s="236"/>
      <c r="L75" s="236"/>
      <c r="M75" s="236"/>
      <c r="O75" s="89"/>
      <c r="R75" s="89"/>
    </row>
    <row r="76" spans="2:18" ht="14.4" x14ac:dyDescent="0.3">
      <c r="B76" s="116"/>
      <c r="C76" s="116"/>
      <c r="D76" s="116"/>
      <c r="E76" s="116"/>
      <c r="F76" s="116"/>
      <c r="G76" s="116"/>
      <c r="H76" s="116"/>
      <c r="I76" s="116"/>
      <c r="J76" s="116"/>
      <c r="K76" s="236"/>
      <c r="L76" s="236"/>
      <c r="M76" s="236"/>
      <c r="O76" s="89"/>
      <c r="R76" s="89"/>
    </row>
    <row r="77" spans="2:18" ht="14.4" x14ac:dyDescent="0.3">
      <c r="B77" s="116"/>
      <c r="C77" s="116"/>
      <c r="D77" s="116"/>
      <c r="E77" s="116"/>
      <c r="F77" s="116"/>
      <c r="G77" s="116"/>
      <c r="H77" s="116"/>
      <c r="I77" s="116"/>
      <c r="J77" s="116"/>
      <c r="K77" s="236"/>
      <c r="L77" s="236"/>
      <c r="M77" s="236"/>
      <c r="O77" s="89"/>
      <c r="R77" s="89"/>
    </row>
    <row r="78" spans="2:18" ht="14.4" x14ac:dyDescent="0.3">
      <c r="B78" s="116"/>
      <c r="C78" s="116"/>
      <c r="D78" s="116"/>
      <c r="E78" s="116"/>
      <c r="F78" s="116"/>
      <c r="G78" s="116"/>
      <c r="H78" s="116"/>
      <c r="I78" s="116"/>
      <c r="J78" s="116"/>
      <c r="K78" s="236"/>
      <c r="L78" s="236"/>
      <c r="M78" s="236"/>
      <c r="O78" s="89"/>
      <c r="R78" s="89"/>
    </row>
    <row r="79" spans="2:18" ht="14.4" x14ac:dyDescent="0.3">
      <c r="B79" s="116"/>
      <c r="C79" s="116"/>
      <c r="D79" s="116"/>
      <c r="E79" s="116"/>
      <c r="F79" s="116"/>
      <c r="G79" s="116"/>
      <c r="H79" s="116"/>
      <c r="I79" s="116"/>
      <c r="J79" s="116"/>
      <c r="K79" s="236"/>
      <c r="L79" s="236"/>
      <c r="M79" s="236"/>
      <c r="O79" s="89"/>
      <c r="R79" s="89"/>
    </row>
    <row r="80" spans="2:18" ht="14.4" x14ac:dyDescent="0.3">
      <c r="B80" s="116"/>
      <c r="C80" s="116"/>
      <c r="D80" s="116"/>
      <c r="E80" s="116"/>
      <c r="F80" s="116"/>
      <c r="G80" s="116"/>
      <c r="H80" s="116"/>
      <c r="I80" s="116"/>
      <c r="J80" s="116"/>
      <c r="K80" s="236"/>
      <c r="L80" s="236"/>
      <c r="M80" s="236"/>
      <c r="O80" s="89"/>
      <c r="R80" s="89"/>
    </row>
    <row r="81" spans="2:18" ht="14.4" x14ac:dyDescent="0.3">
      <c r="B81" s="116"/>
      <c r="C81" s="116"/>
      <c r="D81" s="116"/>
      <c r="E81" s="116"/>
      <c r="F81" s="116"/>
      <c r="G81" s="116"/>
      <c r="H81" s="116"/>
      <c r="I81" s="116"/>
      <c r="J81" s="116"/>
      <c r="K81" s="236"/>
      <c r="L81" s="236"/>
      <c r="M81" s="236"/>
      <c r="O81" s="89"/>
      <c r="R81" s="89"/>
    </row>
    <row r="82" spans="2:18" ht="14.4" x14ac:dyDescent="0.3">
      <c r="B82" s="116"/>
      <c r="C82" s="116"/>
      <c r="D82" s="116"/>
      <c r="E82" s="116"/>
      <c r="F82" s="116"/>
      <c r="G82" s="116"/>
      <c r="H82" s="116"/>
      <c r="I82" s="116"/>
      <c r="J82" s="116"/>
      <c r="K82" s="236"/>
      <c r="L82" s="236"/>
      <c r="M82" s="236"/>
      <c r="O82" s="89"/>
      <c r="R82" s="89"/>
    </row>
    <row r="83" spans="2:18" ht="14.4" x14ac:dyDescent="0.3">
      <c r="B83" s="116"/>
      <c r="C83" s="116"/>
      <c r="D83" s="116"/>
      <c r="E83" s="116"/>
      <c r="F83" s="116"/>
      <c r="G83" s="116"/>
      <c r="H83" s="116"/>
      <c r="I83" s="116"/>
      <c r="J83" s="116"/>
      <c r="K83" s="236"/>
      <c r="L83" s="236"/>
      <c r="M83" s="236"/>
      <c r="O83" s="89"/>
      <c r="R83" s="89"/>
    </row>
    <row r="84" spans="2:18" ht="14.4" x14ac:dyDescent="0.3">
      <c r="B84" s="116"/>
      <c r="C84" s="116"/>
      <c r="D84" s="116"/>
      <c r="E84" s="116"/>
      <c r="F84" s="116"/>
      <c r="G84" s="116"/>
      <c r="H84" s="116"/>
      <c r="I84" s="116"/>
      <c r="J84" s="116"/>
      <c r="K84" s="236"/>
      <c r="L84" s="236"/>
      <c r="M84" s="236"/>
      <c r="O84" s="89"/>
      <c r="R84" s="89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56"/>
      <c r="L85" s="156"/>
      <c r="M85" s="156"/>
      <c r="O85" s="89"/>
      <c r="R85" s="89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56"/>
      <c r="L86" s="156"/>
      <c r="M86" s="156"/>
      <c r="O86" s="89"/>
      <c r="R86" s="89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56"/>
      <c r="L87" s="156"/>
      <c r="M87" s="156"/>
      <c r="O87" s="89"/>
      <c r="R87" s="89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56"/>
      <c r="L88" s="156"/>
      <c r="M88" s="156"/>
      <c r="O88" s="89"/>
      <c r="R88" s="89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56"/>
      <c r="L89" s="156"/>
      <c r="M89" s="156"/>
      <c r="O89" s="89"/>
      <c r="R89" s="89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56"/>
      <c r="L90" s="156"/>
      <c r="M90" s="156"/>
      <c r="O90" s="89"/>
      <c r="R90" s="89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56"/>
      <c r="L91" s="156"/>
      <c r="M91" s="156"/>
      <c r="O91" s="89"/>
      <c r="R91" s="89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56"/>
      <c r="L92" s="156"/>
      <c r="M92" s="156"/>
      <c r="O92" s="89"/>
      <c r="R92" s="89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56"/>
      <c r="L93" s="156"/>
      <c r="M93" s="156"/>
      <c r="O93" s="89"/>
      <c r="R93" s="89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56"/>
      <c r="L94" s="156"/>
      <c r="M94" s="156"/>
      <c r="O94" s="89"/>
      <c r="R94" s="89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56"/>
      <c r="L95" s="156"/>
      <c r="M95" s="156"/>
      <c r="O95" s="89"/>
      <c r="R95" s="89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56"/>
      <c r="L96" s="156"/>
      <c r="M96" s="156"/>
      <c r="O96" s="89"/>
      <c r="R96" s="89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56"/>
      <c r="L97" s="156"/>
      <c r="M97" s="156"/>
      <c r="O97" s="89"/>
      <c r="R97" s="89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56"/>
      <c r="L98" s="156"/>
      <c r="M98" s="156"/>
      <c r="O98" s="89"/>
      <c r="R98" s="89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56"/>
      <c r="L99" s="156"/>
      <c r="M99" s="156"/>
      <c r="O99" s="89"/>
      <c r="R99" s="89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56"/>
      <c r="L100" s="156"/>
      <c r="M100" s="156"/>
      <c r="O100" s="89"/>
      <c r="R100" s="89"/>
    </row>
    <row r="101" spans="2:21" x14ac:dyDescent="0.3">
      <c r="B101" s="96"/>
      <c r="C101" s="97"/>
      <c r="D101" s="97"/>
      <c r="E101" s="96"/>
      <c r="F101" s="96"/>
      <c r="G101" s="96"/>
      <c r="H101" s="96"/>
      <c r="I101" s="96"/>
      <c r="J101" s="96"/>
      <c r="K101" s="98">
        <f>SUM(K2:K100)</f>
        <v>36615.5</v>
      </c>
      <c r="L101" s="98"/>
      <c r="M101" s="98"/>
      <c r="N101" s="96"/>
      <c r="O101" s="96"/>
      <c r="P101" s="96"/>
      <c r="Q101" s="96">
        <f>SUM(Q2:Q100)</f>
        <v>184</v>
      </c>
      <c r="R101" s="124">
        <f>SUM(R2:R100)</f>
        <v>36420.5</v>
      </c>
      <c r="S101" s="143">
        <f>SUM(S2:S100)</f>
        <v>182</v>
      </c>
      <c r="U101" s="143">
        <f>SUM(U2:U100)</f>
        <v>183</v>
      </c>
    </row>
    <row r="102" spans="2:21" x14ac:dyDescent="0.3">
      <c r="R102" s="89">
        <f>R101/Q101</f>
        <v>197.9375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56"/>
      <c r="L104" s="156"/>
      <c r="M104" s="156"/>
      <c r="O104" s="89"/>
      <c r="R104" s="89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56"/>
      <c r="L105" s="156"/>
      <c r="M105" s="156"/>
      <c r="O105" s="89"/>
      <c r="R105" s="89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56"/>
      <c r="L106" s="156"/>
      <c r="M106" s="156"/>
      <c r="O106" s="89"/>
      <c r="R106" s="89"/>
    </row>
  </sheetData>
  <autoFilter ref="B1:V1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workbookViewId="0">
      <selection activeCell="Q101" sqref="Q101"/>
    </sheetView>
  </sheetViews>
  <sheetFormatPr baseColWidth="10" defaultRowHeight="14.4" x14ac:dyDescent="0.3"/>
  <cols>
    <col min="2" max="2" width="16.6640625" customWidth="1"/>
    <col min="5" max="5" width="19.6640625" customWidth="1"/>
    <col min="6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6640625" customWidth="1"/>
  </cols>
  <sheetData>
    <row r="1" spans="1:28" ht="15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37">
        <v>1808520</v>
      </c>
      <c r="B2" s="238">
        <v>42951</v>
      </c>
      <c r="C2" s="237" t="s">
        <v>283</v>
      </c>
      <c r="D2" s="237" t="s">
        <v>936</v>
      </c>
      <c r="E2" s="237" t="s">
        <v>937</v>
      </c>
      <c r="F2" s="238">
        <v>43009</v>
      </c>
      <c r="G2" s="238">
        <v>43010</v>
      </c>
      <c r="H2" s="237" t="s">
        <v>356</v>
      </c>
      <c r="I2" s="237">
        <v>1</v>
      </c>
      <c r="J2" s="237">
        <v>2</v>
      </c>
      <c r="K2" s="237">
        <v>1</v>
      </c>
      <c r="L2" s="178">
        <f t="shared" ref="L2:L26" si="0">I2*K2</f>
        <v>1</v>
      </c>
      <c r="M2" s="239">
        <v>185.25</v>
      </c>
      <c r="N2" s="237">
        <v>0</v>
      </c>
      <c r="O2" s="239">
        <v>185.25</v>
      </c>
      <c r="P2" s="239">
        <v>0</v>
      </c>
      <c r="Q2" s="239">
        <v>185.25</v>
      </c>
      <c r="R2" s="237"/>
      <c r="S2" s="237" t="s">
        <v>311</v>
      </c>
      <c r="T2" s="237" t="s">
        <v>285</v>
      </c>
      <c r="U2" s="237">
        <v>957935495</v>
      </c>
      <c r="V2" s="237" t="s">
        <v>286</v>
      </c>
      <c r="W2" s="237"/>
      <c r="X2" s="237" t="s">
        <v>287</v>
      </c>
      <c r="Y2" s="237" t="s">
        <v>287</v>
      </c>
      <c r="Z2" s="237"/>
      <c r="AA2" s="237"/>
      <c r="AB2" s="6">
        <f>SUMIF(Oct!$E$4:$E$86,Buuteeq!A2,Oct!$H$4:$H$86)</f>
        <v>0</v>
      </c>
    </row>
    <row r="3" spans="1:28" x14ac:dyDescent="0.3">
      <c r="A3" s="237">
        <v>1909324</v>
      </c>
      <c r="B3" s="238">
        <v>43010</v>
      </c>
      <c r="C3" s="237" t="s">
        <v>283</v>
      </c>
      <c r="D3" s="237" t="s">
        <v>938</v>
      </c>
      <c r="E3" s="237" t="s">
        <v>939</v>
      </c>
      <c r="F3" s="238">
        <v>43010</v>
      </c>
      <c r="G3" s="238">
        <v>43011</v>
      </c>
      <c r="H3" s="237" t="s">
        <v>377</v>
      </c>
      <c r="I3" s="237">
        <v>1</v>
      </c>
      <c r="J3" s="237">
        <v>2</v>
      </c>
      <c r="K3" s="237">
        <v>1</v>
      </c>
      <c r="L3" s="178">
        <f t="shared" si="0"/>
        <v>1</v>
      </c>
      <c r="M3" s="239">
        <v>185.25</v>
      </c>
      <c r="N3" s="237">
        <v>0</v>
      </c>
      <c r="O3" s="239">
        <v>185.25</v>
      </c>
      <c r="P3" s="239">
        <v>0</v>
      </c>
      <c r="Q3" s="239">
        <v>185.25</v>
      </c>
      <c r="R3" s="237"/>
      <c r="S3" s="237" t="s">
        <v>312</v>
      </c>
      <c r="T3" s="237" t="s">
        <v>288</v>
      </c>
      <c r="U3" s="237" t="s">
        <v>289</v>
      </c>
      <c r="V3" s="237" t="s">
        <v>290</v>
      </c>
      <c r="W3" s="237"/>
      <c r="X3" s="237" t="s">
        <v>291</v>
      </c>
      <c r="Y3" s="237" t="s">
        <v>292</v>
      </c>
      <c r="Z3" s="237"/>
      <c r="AA3" s="237"/>
      <c r="AB3" s="6">
        <f>SUMIF(Oct!$E$4:$E$86,Buuteeq!A3,Oct!$H$4:$H$86)</f>
        <v>1</v>
      </c>
    </row>
    <row r="4" spans="1:28" s="161" customFormat="1" x14ac:dyDescent="0.3">
      <c r="A4" s="237">
        <v>1906776</v>
      </c>
      <c r="B4" s="238">
        <v>43009</v>
      </c>
      <c r="C4" s="237" t="s">
        <v>283</v>
      </c>
      <c r="D4" s="237" t="s">
        <v>940</v>
      </c>
      <c r="E4" s="237" t="s">
        <v>941</v>
      </c>
      <c r="F4" s="238">
        <v>43011</v>
      </c>
      <c r="G4" s="238">
        <v>43014</v>
      </c>
      <c r="H4" s="237" t="s">
        <v>356</v>
      </c>
      <c r="I4" s="237">
        <v>3</v>
      </c>
      <c r="J4" s="237">
        <v>2</v>
      </c>
      <c r="K4" s="237">
        <v>1</v>
      </c>
      <c r="L4" s="178">
        <f t="shared" si="0"/>
        <v>3</v>
      </c>
      <c r="M4" s="239">
        <v>555.75</v>
      </c>
      <c r="N4" s="237">
        <v>0</v>
      </c>
      <c r="O4" s="239">
        <v>555.75</v>
      </c>
      <c r="P4" s="239">
        <v>0</v>
      </c>
      <c r="Q4" s="239">
        <v>555.75</v>
      </c>
      <c r="R4" s="237"/>
      <c r="S4" s="237" t="s">
        <v>313</v>
      </c>
      <c r="T4" s="237" t="s">
        <v>293</v>
      </c>
      <c r="U4" s="237">
        <v>554192144848</v>
      </c>
      <c r="V4" s="237" t="s">
        <v>294</v>
      </c>
      <c r="W4" s="237"/>
      <c r="X4" s="237" t="s">
        <v>295</v>
      </c>
      <c r="Y4" s="237" t="s">
        <v>296</v>
      </c>
      <c r="Z4" s="237">
        <v>80030000</v>
      </c>
      <c r="AA4" s="237"/>
      <c r="AB4" s="6">
        <f>SUMIF(Oct!$E$4:$E$86,Buuteeq!A4,Oct!$H$4:$H$86)</f>
        <v>3</v>
      </c>
    </row>
    <row r="5" spans="1:28" s="161" customFormat="1" x14ac:dyDescent="0.3">
      <c r="A5" s="237">
        <v>1818243</v>
      </c>
      <c r="B5" s="238">
        <v>42956</v>
      </c>
      <c r="C5" s="237" t="s">
        <v>283</v>
      </c>
      <c r="D5" s="237" t="s">
        <v>942</v>
      </c>
      <c r="E5" s="237" t="s">
        <v>943</v>
      </c>
      <c r="F5" s="238">
        <v>43014</v>
      </c>
      <c r="G5" s="238">
        <v>43019</v>
      </c>
      <c r="H5" s="237" t="s">
        <v>356</v>
      </c>
      <c r="I5" s="237">
        <v>5</v>
      </c>
      <c r="J5" s="237">
        <v>2</v>
      </c>
      <c r="K5" s="237">
        <v>1</v>
      </c>
      <c r="L5" s="178">
        <f t="shared" si="0"/>
        <v>5</v>
      </c>
      <c r="M5" s="239">
        <v>997.5</v>
      </c>
      <c r="N5" s="237">
        <v>0</v>
      </c>
      <c r="O5" s="239">
        <v>997.5</v>
      </c>
      <c r="P5" s="239">
        <v>0</v>
      </c>
      <c r="Q5" s="239">
        <v>997.5</v>
      </c>
      <c r="R5" s="237"/>
      <c r="S5" s="237" t="s">
        <v>314</v>
      </c>
      <c r="T5" s="237" t="s">
        <v>285</v>
      </c>
      <c r="U5" s="237">
        <v>5511986872972</v>
      </c>
      <c r="V5" s="237" t="s">
        <v>297</v>
      </c>
      <c r="W5" s="237"/>
      <c r="X5" s="237" t="s">
        <v>298</v>
      </c>
      <c r="Y5" s="237" t="s">
        <v>298</v>
      </c>
      <c r="Z5" s="237"/>
      <c r="AA5" s="237"/>
      <c r="AB5" s="6">
        <f>SUMIF(Oct!$E$4:$E$86,Buuteeq!A5,Oct!$H$4:$H$86)</f>
        <v>5</v>
      </c>
    </row>
    <row r="6" spans="1:28" s="234" customFormat="1" x14ac:dyDescent="0.3">
      <c r="A6" s="237">
        <v>1912996</v>
      </c>
      <c r="B6" s="238">
        <v>43012</v>
      </c>
      <c r="C6" s="237" t="s">
        <v>283</v>
      </c>
      <c r="D6" s="237" t="s">
        <v>944</v>
      </c>
      <c r="E6" s="237" t="s">
        <v>945</v>
      </c>
      <c r="F6" s="238">
        <v>43014</v>
      </c>
      <c r="G6" s="238">
        <v>43015</v>
      </c>
      <c r="H6" s="237" t="s">
        <v>377</v>
      </c>
      <c r="I6" s="237">
        <v>1</v>
      </c>
      <c r="J6" s="237">
        <v>2</v>
      </c>
      <c r="K6" s="237">
        <v>1</v>
      </c>
      <c r="L6" s="178">
        <f t="shared" si="0"/>
        <v>1</v>
      </c>
      <c r="M6" s="239">
        <v>209</v>
      </c>
      <c r="N6" s="237">
        <v>0</v>
      </c>
      <c r="O6" s="239">
        <v>209</v>
      </c>
      <c r="P6" s="239">
        <v>0</v>
      </c>
      <c r="Q6" s="239">
        <v>209</v>
      </c>
      <c r="R6" s="237"/>
      <c r="S6" s="237" t="s">
        <v>315</v>
      </c>
      <c r="T6" s="237" t="s">
        <v>299</v>
      </c>
      <c r="U6" s="237">
        <v>5511992506512</v>
      </c>
      <c r="V6" s="237" t="s">
        <v>300</v>
      </c>
      <c r="W6" s="237" t="s">
        <v>301</v>
      </c>
      <c r="X6" s="237" t="s">
        <v>302</v>
      </c>
      <c r="Y6" s="237" t="s">
        <v>303</v>
      </c>
      <c r="Z6" s="237">
        <v>5734140</v>
      </c>
      <c r="AA6" s="237"/>
      <c r="AB6" s="6">
        <f>SUMIF(Oct!$E$4:$E$86,Buuteeq!A6,Oct!$H$4:$H$86)</f>
        <v>1</v>
      </c>
    </row>
    <row r="7" spans="1:28" s="187" customFormat="1" x14ac:dyDescent="0.3">
      <c r="A7" s="237">
        <v>1584347</v>
      </c>
      <c r="B7" s="238">
        <v>42824</v>
      </c>
      <c r="C7" s="237" t="s">
        <v>283</v>
      </c>
      <c r="D7" s="237" t="s">
        <v>946</v>
      </c>
      <c r="E7" s="237" t="s">
        <v>947</v>
      </c>
      <c r="F7" s="238">
        <v>43018</v>
      </c>
      <c r="G7" s="238">
        <v>43021</v>
      </c>
      <c r="H7" s="237" t="s">
        <v>948</v>
      </c>
      <c r="I7" s="237">
        <v>3</v>
      </c>
      <c r="J7" s="237">
        <v>6</v>
      </c>
      <c r="K7" s="237">
        <v>4</v>
      </c>
      <c r="L7" s="178">
        <f t="shared" si="0"/>
        <v>12</v>
      </c>
      <c r="M7" s="239">
        <v>2223</v>
      </c>
      <c r="N7" s="237">
        <v>0</v>
      </c>
      <c r="O7" s="239">
        <v>2223</v>
      </c>
      <c r="P7" s="239">
        <v>0</v>
      </c>
      <c r="Q7" s="239">
        <v>2223</v>
      </c>
      <c r="R7" s="237"/>
      <c r="S7" s="237" t="s">
        <v>316</v>
      </c>
      <c r="T7" s="237" t="s">
        <v>304</v>
      </c>
      <c r="U7" s="237">
        <v>5531999012828</v>
      </c>
      <c r="V7" s="237" t="s">
        <v>305</v>
      </c>
      <c r="W7" s="237"/>
      <c r="X7" s="237" t="s">
        <v>306</v>
      </c>
      <c r="Y7" s="237" t="s">
        <v>307</v>
      </c>
      <c r="Z7" s="237" t="s">
        <v>308</v>
      </c>
      <c r="AA7" s="237"/>
      <c r="AB7" s="6">
        <f>SUMIF(Oct!$E$4:$E$86,Buuteeq!A7,Oct!$H$4:$H$86)</f>
        <v>12</v>
      </c>
    </row>
    <row r="8" spans="1:28" s="187" customFormat="1" x14ac:dyDescent="0.3">
      <c r="A8" s="237">
        <v>1902656</v>
      </c>
      <c r="B8" s="238">
        <v>43006</v>
      </c>
      <c r="C8" s="237" t="s">
        <v>283</v>
      </c>
      <c r="D8" s="237" t="s">
        <v>949</v>
      </c>
      <c r="E8" s="237" t="s">
        <v>950</v>
      </c>
      <c r="F8" s="238">
        <v>43022</v>
      </c>
      <c r="G8" s="238">
        <v>43025</v>
      </c>
      <c r="H8" s="237" t="s">
        <v>356</v>
      </c>
      <c r="I8" s="237">
        <v>3</v>
      </c>
      <c r="J8" s="237">
        <v>2</v>
      </c>
      <c r="K8" s="237">
        <v>1</v>
      </c>
      <c r="L8" s="178">
        <f t="shared" si="0"/>
        <v>3</v>
      </c>
      <c r="M8" s="239">
        <v>555.75</v>
      </c>
      <c r="N8" s="237">
        <v>0</v>
      </c>
      <c r="O8" s="239">
        <v>555.75</v>
      </c>
      <c r="P8" s="239">
        <v>0</v>
      </c>
      <c r="Q8" s="239">
        <v>555.75</v>
      </c>
      <c r="R8" s="237"/>
      <c r="S8" s="237" t="s">
        <v>317</v>
      </c>
      <c r="T8" s="237"/>
      <c r="U8" s="237"/>
      <c r="V8" s="237"/>
      <c r="W8" s="237"/>
      <c r="X8" s="237"/>
      <c r="Y8" s="237"/>
      <c r="Z8" s="237"/>
      <c r="AA8" s="237"/>
      <c r="AB8" s="6">
        <f>SUMIF(Oct!$E$4:$E$86,Buuteeq!A8,Oct!$H$4:$H$86)</f>
        <v>3</v>
      </c>
    </row>
    <row r="9" spans="1:28" s="187" customFormat="1" x14ac:dyDescent="0.3">
      <c r="A9" s="237">
        <v>1928909</v>
      </c>
      <c r="B9" s="238">
        <v>43022</v>
      </c>
      <c r="C9" s="237" t="s">
        <v>283</v>
      </c>
      <c r="D9" s="237" t="s">
        <v>951</v>
      </c>
      <c r="E9" s="237" t="s">
        <v>952</v>
      </c>
      <c r="F9" s="238">
        <v>43024</v>
      </c>
      <c r="G9" s="238">
        <v>43027</v>
      </c>
      <c r="H9" s="237" t="s">
        <v>356</v>
      </c>
      <c r="I9" s="237">
        <v>3</v>
      </c>
      <c r="J9" s="237">
        <v>2</v>
      </c>
      <c r="K9" s="237">
        <v>1</v>
      </c>
      <c r="L9" s="178">
        <f t="shared" si="0"/>
        <v>3</v>
      </c>
      <c r="M9" s="239">
        <v>555.75</v>
      </c>
      <c r="N9" s="237">
        <v>0</v>
      </c>
      <c r="O9" s="239">
        <v>555.75</v>
      </c>
      <c r="P9" s="239">
        <v>0</v>
      </c>
      <c r="Q9" s="239">
        <v>555.75</v>
      </c>
      <c r="R9" s="237"/>
      <c r="S9" s="237" t="s">
        <v>318</v>
      </c>
      <c r="T9" s="237"/>
      <c r="U9" s="237"/>
      <c r="V9" s="237"/>
      <c r="W9" s="237"/>
      <c r="X9" s="237"/>
      <c r="Y9" s="237"/>
      <c r="Z9" s="237"/>
      <c r="AA9" s="237"/>
      <c r="AB9" s="6">
        <f>SUMIF(Oct!$E$4:$E$86,Buuteeq!A9,Oct!$H$4:$H$86)</f>
        <v>3</v>
      </c>
    </row>
    <row r="10" spans="1:28" s="187" customFormat="1" x14ac:dyDescent="0.3">
      <c r="A10" s="237">
        <v>1810879</v>
      </c>
      <c r="B10" s="238">
        <v>42952</v>
      </c>
      <c r="C10" s="237" t="s">
        <v>283</v>
      </c>
      <c r="D10" s="237" t="s">
        <v>953</v>
      </c>
      <c r="E10" s="237" t="s">
        <v>954</v>
      </c>
      <c r="F10" s="238">
        <v>43025</v>
      </c>
      <c r="G10" s="238">
        <v>43028</v>
      </c>
      <c r="H10" s="237" t="s">
        <v>377</v>
      </c>
      <c r="I10" s="237">
        <v>3</v>
      </c>
      <c r="J10" s="237">
        <v>2</v>
      </c>
      <c r="K10" s="237">
        <v>1</v>
      </c>
      <c r="L10" s="178">
        <f t="shared" si="0"/>
        <v>3</v>
      </c>
      <c r="M10" s="239">
        <v>555.75</v>
      </c>
      <c r="N10" s="237">
        <v>0</v>
      </c>
      <c r="O10" s="239">
        <v>555.75</v>
      </c>
      <c r="P10" s="239">
        <v>0</v>
      </c>
      <c r="Q10" s="239">
        <v>555.75</v>
      </c>
      <c r="R10" s="237"/>
      <c r="S10" s="237" t="s">
        <v>319</v>
      </c>
      <c r="T10" s="237"/>
      <c r="U10" s="237"/>
      <c r="V10" s="237"/>
      <c r="W10" s="237"/>
      <c r="X10" s="237"/>
      <c r="Y10" s="237"/>
      <c r="Z10" s="237"/>
      <c r="AA10" s="237"/>
      <c r="AB10" s="6">
        <f>SUMIF(Oct!$E$4:$E$86,Buuteeq!A10,Oct!$H$4:$H$86)</f>
        <v>3</v>
      </c>
    </row>
    <row r="11" spans="1:28" s="187" customFormat="1" x14ac:dyDescent="0.3">
      <c r="A11" s="237">
        <v>1931010</v>
      </c>
      <c r="B11" s="238">
        <v>43024</v>
      </c>
      <c r="C11" s="237" t="s">
        <v>283</v>
      </c>
      <c r="D11" s="237" t="s">
        <v>955</v>
      </c>
      <c r="E11" s="237" t="s">
        <v>956</v>
      </c>
      <c r="F11" s="238">
        <v>43026</v>
      </c>
      <c r="G11" s="238">
        <v>43027</v>
      </c>
      <c r="H11" s="237" t="s">
        <v>356</v>
      </c>
      <c r="I11" s="237">
        <v>1</v>
      </c>
      <c r="J11" s="237">
        <v>2</v>
      </c>
      <c r="K11" s="237">
        <v>1</v>
      </c>
      <c r="L11" s="178">
        <f t="shared" si="0"/>
        <v>1</v>
      </c>
      <c r="M11" s="239">
        <v>185.25</v>
      </c>
      <c r="N11" s="237">
        <v>0</v>
      </c>
      <c r="O11" s="239">
        <v>185.25</v>
      </c>
      <c r="P11" s="239">
        <v>0</v>
      </c>
      <c r="Q11" s="239">
        <v>185.25</v>
      </c>
      <c r="R11" s="237"/>
      <c r="S11" s="237" t="s">
        <v>320</v>
      </c>
      <c r="T11" s="237"/>
      <c r="U11" s="237"/>
      <c r="V11" s="237"/>
      <c r="W11" s="237"/>
      <c r="X11" s="237"/>
      <c r="Y11" s="237"/>
      <c r="Z11" s="237"/>
      <c r="AA11" s="237"/>
      <c r="AB11" s="6">
        <f>SUMIF(Oct!$E$4:$E$86,Buuteeq!A11,Oct!$H$4:$H$86)</f>
        <v>1</v>
      </c>
    </row>
    <row r="12" spans="1:28" s="187" customFormat="1" x14ac:dyDescent="0.3">
      <c r="A12" s="237">
        <v>1931007</v>
      </c>
      <c r="B12" s="238">
        <v>43024</v>
      </c>
      <c r="C12" s="237" t="s">
        <v>283</v>
      </c>
      <c r="D12" s="237" t="s">
        <v>955</v>
      </c>
      <c r="E12" s="237" t="s">
        <v>956</v>
      </c>
      <c r="F12" s="238">
        <v>43027</v>
      </c>
      <c r="G12" s="238">
        <v>43028</v>
      </c>
      <c r="H12" s="237" t="s">
        <v>356</v>
      </c>
      <c r="I12" s="237">
        <v>1</v>
      </c>
      <c r="J12" s="237">
        <v>2</v>
      </c>
      <c r="K12" s="237">
        <v>1</v>
      </c>
      <c r="L12" s="178">
        <f t="shared" si="0"/>
        <v>1</v>
      </c>
      <c r="M12" s="239">
        <v>185.25</v>
      </c>
      <c r="N12" s="237">
        <v>0</v>
      </c>
      <c r="O12" s="239">
        <v>185.25</v>
      </c>
      <c r="P12" s="239">
        <v>0</v>
      </c>
      <c r="Q12" s="239">
        <v>185.25</v>
      </c>
      <c r="R12" s="237"/>
      <c r="S12" s="237" t="s">
        <v>284</v>
      </c>
      <c r="T12" s="237"/>
      <c r="U12" s="237"/>
      <c r="V12" s="237"/>
      <c r="W12" s="237"/>
      <c r="X12" s="237"/>
      <c r="Y12" s="237"/>
      <c r="Z12" s="237"/>
      <c r="AA12" s="237"/>
      <c r="AB12" s="6">
        <f>SUMIF(Oct!$E$4:$E$86,Buuteeq!A12,Oct!$H$4:$H$86)</f>
        <v>1</v>
      </c>
    </row>
    <row r="13" spans="1:28" s="187" customFormat="1" x14ac:dyDescent="0.3">
      <c r="A13" s="237">
        <v>1466238</v>
      </c>
      <c r="B13" s="238">
        <v>42756</v>
      </c>
      <c r="C13" s="237" t="s">
        <v>283</v>
      </c>
      <c r="D13" s="237" t="s">
        <v>957</v>
      </c>
      <c r="E13" s="237" t="s">
        <v>958</v>
      </c>
      <c r="F13" s="238">
        <v>43030</v>
      </c>
      <c r="G13" s="238">
        <v>43034</v>
      </c>
      <c r="H13" s="237" t="s">
        <v>356</v>
      </c>
      <c r="I13" s="237">
        <v>4</v>
      </c>
      <c r="J13" s="237">
        <v>2</v>
      </c>
      <c r="K13" s="237">
        <v>1</v>
      </c>
      <c r="L13" s="178">
        <f t="shared" si="0"/>
        <v>4</v>
      </c>
      <c r="M13" s="239">
        <v>741</v>
      </c>
      <c r="N13" s="237">
        <v>0</v>
      </c>
      <c r="O13" s="239">
        <v>741</v>
      </c>
      <c r="P13" s="239">
        <v>0</v>
      </c>
      <c r="Q13" s="239">
        <v>741</v>
      </c>
      <c r="R13" s="237"/>
      <c r="S13" s="237" t="s">
        <v>284</v>
      </c>
      <c r="T13" s="237"/>
      <c r="U13" s="237"/>
      <c r="V13" s="237"/>
      <c r="W13" s="237"/>
      <c r="X13" s="237"/>
      <c r="Y13" s="237"/>
      <c r="Z13" s="237"/>
      <c r="AA13" s="237"/>
      <c r="AB13" s="6">
        <f>SUMIF(Oct!$E$4:$E$86,Buuteeq!A13,Oct!$H$4:$H$86)</f>
        <v>4</v>
      </c>
    </row>
    <row r="14" spans="1:28" s="234" customFormat="1" x14ac:dyDescent="0.3">
      <c r="A14" s="237">
        <v>1466239</v>
      </c>
      <c r="B14" s="238">
        <v>42756</v>
      </c>
      <c r="C14" s="237" t="s">
        <v>283</v>
      </c>
      <c r="D14" s="237" t="s">
        <v>957</v>
      </c>
      <c r="E14" s="237" t="s">
        <v>958</v>
      </c>
      <c r="F14" s="238">
        <v>43037</v>
      </c>
      <c r="G14" s="238">
        <v>43038</v>
      </c>
      <c r="H14" s="237" t="s">
        <v>356</v>
      </c>
      <c r="I14" s="237">
        <v>1</v>
      </c>
      <c r="J14" s="237">
        <v>2</v>
      </c>
      <c r="K14" s="237">
        <v>1</v>
      </c>
      <c r="L14" s="178">
        <f t="shared" si="0"/>
        <v>1</v>
      </c>
      <c r="M14" s="239">
        <v>185.25</v>
      </c>
      <c r="N14" s="237">
        <v>0</v>
      </c>
      <c r="O14" s="239">
        <v>185.25</v>
      </c>
      <c r="P14" s="239">
        <v>0</v>
      </c>
      <c r="Q14" s="239">
        <v>185.25</v>
      </c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6"/>
    </row>
    <row r="15" spans="1:28" s="234" customFormat="1" x14ac:dyDescent="0.3">
      <c r="A15" s="237"/>
      <c r="B15" s="238"/>
      <c r="C15" s="237"/>
      <c r="D15" s="237"/>
      <c r="E15" s="237"/>
      <c r="F15" s="238"/>
      <c r="G15" s="238"/>
      <c r="H15" s="237"/>
      <c r="I15" s="237"/>
      <c r="J15" s="237"/>
      <c r="K15" s="237"/>
      <c r="L15" s="178">
        <f t="shared" si="0"/>
        <v>0</v>
      </c>
      <c r="M15" s="239"/>
      <c r="N15" s="237"/>
      <c r="O15" s="239"/>
      <c r="P15" s="239"/>
      <c r="Q15" s="239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6"/>
    </row>
    <row r="16" spans="1:28" s="234" customFormat="1" x14ac:dyDescent="0.3">
      <c r="A16" s="237"/>
      <c r="B16" s="238"/>
      <c r="C16" s="237"/>
      <c r="D16" s="237"/>
      <c r="E16" s="237"/>
      <c r="F16" s="238"/>
      <c r="G16" s="238"/>
      <c r="H16" s="237"/>
      <c r="I16" s="237"/>
      <c r="J16" s="237"/>
      <c r="K16" s="237"/>
      <c r="L16" s="178">
        <f t="shared" si="0"/>
        <v>0</v>
      </c>
      <c r="M16" s="239"/>
      <c r="N16" s="237"/>
      <c r="O16" s="239"/>
      <c r="P16" s="239"/>
      <c r="Q16" s="239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6"/>
    </row>
    <row r="17" spans="1:28" s="234" customFormat="1" x14ac:dyDescent="0.3">
      <c r="A17" s="237"/>
      <c r="B17" s="238"/>
      <c r="C17" s="237"/>
      <c r="D17" s="237"/>
      <c r="E17" s="237"/>
      <c r="F17" s="238"/>
      <c r="G17" s="238"/>
      <c r="H17" s="237"/>
      <c r="I17" s="237"/>
      <c r="J17" s="237"/>
      <c r="K17" s="237"/>
      <c r="L17" s="178">
        <f t="shared" si="0"/>
        <v>0</v>
      </c>
      <c r="M17" s="239"/>
      <c r="N17" s="237"/>
      <c r="O17" s="239"/>
      <c r="P17" s="239"/>
      <c r="Q17" s="239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6"/>
    </row>
    <row r="18" spans="1:28" s="234" customFormat="1" x14ac:dyDescent="0.3">
      <c r="A18" s="237"/>
      <c r="B18" s="238"/>
      <c r="C18" s="237"/>
      <c r="D18" s="237"/>
      <c r="E18" s="237"/>
      <c r="F18" s="238"/>
      <c r="G18" s="238"/>
      <c r="H18" s="237"/>
      <c r="I18" s="237"/>
      <c r="J18" s="237"/>
      <c r="K18" s="237"/>
      <c r="L18" s="178">
        <f t="shared" si="0"/>
        <v>0</v>
      </c>
      <c r="M18" s="239"/>
      <c r="N18" s="237"/>
      <c r="O18" s="239"/>
      <c r="P18" s="239"/>
      <c r="Q18" s="239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6"/>
    </row>
    <row r="19" spans="1:28" s="234" customFormat="1" x14ac:dyDescent="0.3">
      <c r="A19" s="237"/>
      <c r="B19" s="238"/>
      <c r="C19" s="237"/>
      <c r="D19" s="237"/>
      <c r="E19" s="237"/>
      <c r="F19" s="238"/>
      <c r="G19" s="238"/>
      <c r="H19" s="237"/>
      <c r="I19" s="237"/>
      <c r="J19" s="237"/>
      <c r="K19" s="237"/>
      <c r="L19" s="178">
        <f t="shared" si="0"/>
        <v>0</v>
      </c>
      <c r="M19" s="239"/>
      <c r="N19" s="237"/>
      <c r="O19" s="239"/>
      <c r="P19" s="239"/>
      <c r="Q19" s="239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6"/>
    </row>
    <row r="20" spans="1:28" s="234" customFormat="1" x14ac:dyDescent="0.3">
      <c r="A20" s="237"/>
      <c r="B20" s="238"/>
      <c r="C20" s="237"/>
      <c r="D20" s="237"/>
      <c r="E20" s="237"/>
      <c r="F20" s="238"/>
      <c r="G20" s="238"/>
      <c r="H20" s="237"/>
      <c r="I20" s="237"/>
      <c r="J20" s="237"/>
      <c r="K20" s="237"/>
      <c r="L20" s="178">
        <f t="shared" si="0"/>
        <v>0</v>
      </c>
      <c r="M20" s="239"/>
      <c r="N20" s="237"/>
      <c r="O20" s="239"/>
      <c r="P20" s="239"/>
      <c r="Q20" s="239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6"/>
    </row>
    <row r="21" spans="1:28" s="234" customFormat="1" ht="15" x14ac:dyDescent="0.25">
      <c r="A21" s="237"/>
      <c r="B21" s="238"/>
      <c r="C21" s="237"/>
      <c r="D21" s="237"/>
      <c r="E21" s="237"/>
      <c r="F21" s="238"/>
      <c r="G21" s="238"/>
      <c r="H21" s="237"/>
      <c r="I21" s="237"/>
      <c r="J21" s="237"/>
      <c r="K21" s="237"/>
      <c r="L21" s="178">
        <f t="shared" si="0"/>
        <v>0</v>
      </c>
      <c r="M21" s="239"/>
      <c r="N21" s="237"/>
      <c r="O21" s="239"/>
      <c r="P21" s="239"/>
      <c r="Q21" s="239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6"/>
    </row>
    <row r="22" spans="1:28" s="234" customFormat="1" ht="15" x14ac:dyDescent="0.25">
      <c r="A22" s="237"/>
      <c r="B22" s="238"/>
      <c r="C22" s="237"/>
      <c r="D22" s="237"/>
      <c r="E22" s="237"/>
      <c r="F22" s="238"/>
      <c r="G22" s="238"/>
      <c r="H22" s="237"/>
      <c r="I22" s="237"/>
      <c r="J22" s="237"/>
      <c r="K22" s="237"/>
      <c r="L22" s="178">
        <f t="shared" si="0"/>
        <v>0</v>
      </c>
      <c r="M22" s="239"/>
      <c r="N22" s="237"/>
      <c r="O22" s="239"/>
      <c r="P22" s="239"/>
      <c r="Q22" s="239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6"/>
    </row>
    <row r="23" spans="1:28" s="234" customFormat="1" ht="15" x14ac:dyDescent="0.25">
      <c r="A23" s="237"/>
      <c r="B23" s="238"/>
      <c r="C23" s="237"/>
      <c r="D23" s="237"/>
      <c r="E23" s="237"/>
      <c r="F23" s="238"/>
      <c r="G23" s="238"/>
      <c r="H23" s="237"/>
      <c r="I23" s="237"/>
      <c r="J23" s="237"/>
      <c r="K23" s="237"/>
      <c r="L23" s="178">
        <f t="shared" si="0"/>
        <v>0</v>
      </c>
      <c r="M23" s="239"/>
      <c r="N23" s="237"/>
      <c r="O23" s="239"/>
      <c r="P23" s="239"/>
      <c r="Q23" s="239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6"/>
    </row>
    <row r="24" spans="1:28" s="234" customFormat="1" ht="15" x14ac:dyDescent="0.25">
      <c r="A24" s="237"/>
      <c r="B24" s="238"/>
      <c r="C24" s="237"/>
      <c r="D24" s="237"/>
      <c r="E24" s="237"/>
      <c r="F24" s="238"/>
      <c r="G24" s="238"/>
      <c r="H24" s="237"/>
      <c r="I24" s="237"/>
      <c r="J24" s="237"/>
      <c r="K24" s="237"/>
      <c r="L24" s="178">
        <f t="shared" si="0"/>
        <v>0</v>
      </c>
      <c r="M24" s="239"/>
      <c r="N24" s="237"/>
      <c r="O24" s="239"/>
      <c r="P24" s="239"/>
      <c r="Q24" s="239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6"/>
    </row>
    <row r="25" spans="1:28" s="234" customFormat="1" ht="15" x14ac:dyDescent="0.25">
      <c r="A25" s="237"/>
      <c r="B25" s="238"/>
      <c r="C25" s="237"/>
      <c r="D25" s="237"/>
      <c r="E25" s="237"/>
      <c r="F25" s="238"/>
      <c r="G25" s="238"/>
      <c r="H25" s="237"/>
      <c r="I25" s="237"/>
      <c r="J25" s="237"/>
      <c r="K25" s="237"/>
      <c r="L25" s="178">
        <f t="shared" si="0"/>
        <v>0</v>
      </c>
      <c r="M25" s="239"/>
      <c r="N25" s="237"/>
      <c r="O25" s="239"/>
      <c r="P25" s="239"/>
      <c r="Q25" s="239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6"/>
    </row>
    <row r="26" spans="1:28" s="234" customFormat="1" ht="15" x14ac:dyDescent="0.25">
      <c r="A26" s="237"/>
      <c r="B26" s="238"/>
      <c r="C26" s="237"/>
      <c r="D26" s="237"/>
      <c r="E26" s="237"/>
      <c r="F26" s="238"/>
      <c r="G26" s="238"/>
      <c r="H26" s="237"/>
      <c r="I26" s="237"/>
      <c r="J26" s="237"/>
      <c r="K26" s="237"/>
      <c r="L26" s="178">
        <f t="shared" si="0"/>
        <v>0</v>
      </c>
      <c r="M26" s="239"/>
      <c r="N26" s="237"/>
      <c r="O26" s="239"/>
      <c r="P26" s="239"/>
      <c r="Q26" s="239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6"/>
    </row>
    <row r="27" spans="1:28" s="234" customFormat="1" ht="15" x14ac:dyDescent="0.25">
      <c r="A27" s="237"/>
      <c r="B27" s="238"/>
      <c r="C27" s="237"/>
      <c r="D27" s="237"/>
      <c r="E27" s="237"/>
      <c r="F27" s="238"/>
      <c r="G27" s="238"/>
      <c r="H27" s="237"/>
      <c r="I27" s="237"/>
      <c r="J27" s="237"/>
      <c r="K27" s="237"/>
      <c r="L27" s="178"/>
      <c r="M27" s="239"/>
      <c r="N27" s="237"/>
      <c r="O27" s="239"/>
      <c r="P27" s="239"/>
      <c r="Q27" s="239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6"/>
    </row>
    <row r="28" spans="1:28" s="234" customFormat="1" ht="15" x14ac:dyDescent="0.25">
      <c r="A28" s="237"/>
      <c r="B28" s="238"/>
      <c r="C28" s="237"/>
      <c r="D28" s="237"/>
      <c r="E28" s="237"/>
      <c r="F28" s="238"/>
      <c r="G28" s="238"/>
      <c r="H28" s="237"/>
      <c r="I28" s="237"/>
      <c r="J28" s="237"/>
      <c r="K28" s="237"/>
      <c r="L28" s="178"/>
      <c r="M28" s="239"/>
      <c r="N28" s="237"/>
      <c r="O28" s="239"/>
      <c r="P28" s="239"/>
      <c r="Q28" s="239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6"/>
    </row>
    <row r="29" spans="1:28" s="234" customFormat="1" x14ac:dyDescent="0.3">
      <c r="A29" s="237"/>
      <c r="B29" s="238"/>
      <c r="C29" s="237"/>
      <c r="D29" s="237"/>
      <c r="E29" s="237"/>
      <c r="F29" s="238"/>
      <c r="G29" s="238"/>
      <c r="H29" s="237"/>
      <c r="I29" s="237"/>
      <c r="J29" s="237"/>
      <c r="K29" s="237"/>
      <c r="L29" s="178"/>
      <c r="M29" s="239"/>
      <c r="N29" s="237"/>
      <c r="O29" s="239"/>
      <c r="P29" s="239"/>
      <c r="Q29" s="239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6"/>
    </row>
    <row r="30" spans="1:28" s="234" customFormat="1" x14ac:dyDescent="0.3">
      <c r="A30" s="237"/>
      <c r="B30" s="238"/>
      <c r="C30" s="237"/>
      <c r="D30" s="237"/>
      <c r="E30" s="237"/>
      <c r="F30" s="238"/>
      <c r="G30" s="238"/>
      <c r="H30" s="237"/>
      <c r="I30" s="237"/>
      <c r="J30" s="237"/>
      <c r="K30" s="237"/>
      <c r="L30" s="178"/>
      <c r="M30" s="239"/>
      <c r="N30" s="237"/>
      <c r="O30" s="239"/>
      <c r="P30" s="239"/>
      <c r="Q30" s="239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6"/>
    </row>
    <row r="31" spans="1:28" s="234" customFormat="1" x14ac:dyDescent="0.3">
      <c r="A31" s="237"/>
      <c r="B31" s="238"/>
      <c r="C31" s="237"/>
      <c r="D31" s="237"/>
      <c r="E31" s="237"/>
      <c r="F31" s="238"/>
      <c r="G31" s="238"/>
      <c r="H31" s="237"/>
      <c r="I31" s="237"/>
      <c r="J31" s="237"/>
      <c r="K31" s="237"/>
      <c r="L31" s="178"/>
      <c r="M31" s="239"/>
      <c r="N31" s="237"/>
      <c r="O31" s="239"/>
      <c r="P31" s="239"/>
      <c r="Q31" s="239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6"/>
    </row>
    <row r="32" spans="1:28" s="187" customFormat="1" x14ac:dyDescent="0.3">
      <c r="A32" s="143"/>
      <c r="B32" s="106"/>
      <c r="C32" s="143"/>
      <c r="D32" s="143"/>
      <c r="E32" s="143"/>
      <c r="F32" s="106"/>
      <c r="G32" s="106"/>
      <c r="H32" s="143"/>
      <c r="I32" s="143"/>
      <c r="J32" s="143"/>
      <c r="K32" s="143"/>
      <c r="L32" s="178"/>
      <c r="M32" s="178"/>
      <c r="N32" s="143"/>
      <c r="O32" s="178"/>
      <c r="P32" s="178"/>
      <c r="Q32" s="178"/>
      <c r="R32" s="143"/>
      <c r="AB32" s="6">
        <f>SUMIF(Oct!$E$4:$E$86,Buuteeq!A32,Oct!$H$4:$H$86)</f>
        <v>0</v>
      </c>
    </row>
    <row r="33" spans="1:28" s="161" customFormat="1" x14ac:dyDescent="0.3">
      <c r="A33" s="143"/>
      <c r="B33" s="106"/>
      <c r="C33" s="143"/>
      <c r="D33" s="143"/>
      <c r="E33" s="143"/>
      <c r="F33" s="106"/>
      <c r="G33" s="106"/>
      <c r="H33" s="143"/>
      <c r="I33" s="143"/>
      <c r="J33" s="143"/>
      <c r="K33" s="143"/>
      <c r="L33" s="178"/>
      <c r="M33" s="90"/>
      <c r="N33" s="143"/>
      <c r="O33" s="90"/>
      <c r="P33" s="90"/>
      <c r="Q33" s="90"/>
      <c r="R33" s="143"/>
      <c r="AB33" s="6">
        <f>SUMIF(Oct!$E$4:$E$86,Buuteeq!A33,Oct!$H$4:$H$86)</f>
        <v>0</v>
      </c>
    </row>
    <row r="34" spans="1:28" s="161" customFormat="1" x14ac:dyDescent="0.3">
      <c r="A34" s="143"/>
      <c r="B34" s="106"/>
      <c r="C34" s="143"/>
      <c r="D34" s="143"/>
      <c r="E34" s="143"/>
      <c r="F34" s="106"/>
      <c r="G34" s="106"/>
      <c r="H34" s="143"/>
      <c r="I34" s="143"/>
      <c r="J34" s="143"/>
      <c r="K34" s="143"/>
      <c r="L34" s="178"/>
      <c r="M34" s="90"/>
      <c r="N34" s="143"/>
      <c r="O34" s="90"/>
      <c r="P34" s="90"/>
      <c r="Q34" s="90"/>
      <c r="R34" s="143"/>
      <c r="S34" s="161" t="s">
        <v>227</v>
      </c>
      <c r="T34" s="161" t="s">
        <v>228</v>
      </c>
      <c r="U34" s="161">
        <v>5585988067301</v>
      </c>
      <c r="V34" s="161" t="s">
        <v>229</v>
      </c>
      <c r="X34" s="161" t="s">
        <v>230</v>
      </c>
      <c r="Y34" s="161" t="s">
        <v>231</v>
      </c>
      <c r="Z34" s="161">
        <v>60110345</v>
      </c>
      <c r="AB34" s="6">
        <f>SUMIF(Oct!$E$4:$E$86,Buuteeq!A34,Oct!$H$4:$H$86)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30</v>
      </c>
      <c r="J35" s="12">
        <f t="shared" si="1"/>
        <v>30</v>
      </c>
      <c r="K35" s="12">
        <f t="shared" si="1"/>
        <v>16</v>
      </c>
      <c r="L35" s="12">
        <f t="shared" si="1"/>
        <v>39</v>
      </c>
      <c r="M35" s="12">
        <f t="shared" si="1"/>
        <v>7319.75</v>
      </c>
      <c r="N35" s="12">
        <f t="shared" si="1"/>
        <v>0</v>
      </c>
      <c r="O35" s="12">
        <f t="shared" si="1"/>
        <v>7319.75</v>
      </c>
      <c r="P35" s="12">
        <f t="shared" si="1"/>
        <v>0</v>
      </c>
      <c r="Q35" s="12">
        <f t="shared" si="1"/>
        <v>7319.75</v>
      </c>
      <c r="AB35">
        <f>SUM(AB2:AB34)</f>
        <v>37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41"/>
      <c r="B37" s="141"/>
      <c r="C37" s="141"/>
      <c r="D37" s="141"/>
      <c r="E37" s="141"/>
      <c r="F37" s="141"/>
      <c r="G37" s="3"/>
      <c r="M37"/>
      <c r="N37"/>
      <c r="O37"/>
      <c r="P37"/>
      <c r="Q37" s="5"/>
    </row>
    <row r="38" spans="1:28" x14ac:dyDescent="0.3">
      <c r="A38" s="141"/>
      <c r="B38" s="106"/>
      <c r="C38" s="143"/>
      <c r="D38" s="143"/>
      <c r="E38" s="143"/>
      <c r="F38" s="106"/>
      <c r="G38" s="106"/>
      <c r="H38" s="143"/>
      <c r="I38" s="143"/>
      <c r="J38" s="143"/>
      <c r="K38" s="143"/>
      <c r="L38" s="178"/>
      <c r="M38" s="178"/>
      <c r="N38" s="143"/>
      <c r="O38" s="178"/>
      <c r="P38" s="178"/>
      <c r="Q38" s="178"/>
    </row>
    <row r="42" spans="1:28" x14ac:dyDescent="0.3">
      <c r="F42" s="254"/>
      <c r="G42" s="254"/>
    </row>
    <row r="43" spans="1:28" x14ac:dyDescent="0.3">
      <c r="F43" s="254"/>
      <c r="G43" s="254"/>
    </row>
    <row r="44" spans="1:28" x14ac:dyDescent="0.3">
      <c r="F44" s="254"/>
      <c r="G44" s="254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>
      <selection activeCell="Q101" sqref="Q101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6640625" customWidth="1"/>
    <col min="4" max="4" width="14.6640625" customWidth="1"/>
    <col min="5" max="5" width="40.6640625" customWidth="1"/>
    <col min="6" max="6" width="39.3320312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ht="15" x14ac:dyDescent="0.25">
      <c r="A1" s="55"/>
      <c r="B1" s="55"/>
      <c r="C1" s="55"/>
      <c r="D1" s="55"/>
      <c r="E1" s="55"/>
      <c r="F1" s="55"/>
      <c r="G1" s="55"/>
      <c r="H1" s="55"/>
      <c r="I1" s="4"/>
    </row>
    <row r="3" spans="1:10" ht="15" x14ac:dyDescent="0.25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61" customFormat="1" x14ac:dyDescent="0.3">
      <c r="A5" s="237">
        <v>807798518</v>
      </c>
      <c r="B5" s="237" t="s">
        <v>1126</v>
      </c>
      <c r="C5" s="240" t="s">
        <v>1058</v>
      </c>
      <c r="D5" s="240" t="s">
        <v>1062</v>
      </c>
      <c r="E5" s="237" t="s">
        <v>1127</v>
      </c>
      <c r="F5" s="237" t="s">
        <v>275</v>
      </c>
      <c r="G5" s="237" t="s">
        <v>1128</v>
      </c>
      <c r="H5" s="237" t="s">
        <v>310</v>
      </c>
      <c r="I5" s="143">
        <f>D5-C5</f>
        <v>6</v>
      </c>
      <c r="J5" s="6">
        <f>SUMIF(Oct!$E$4:$E$86,A5,Oct!$H$4:$H$86)</f>
        <v>6</v>
      </c>
    </row>
    <row r="6" spans="1:10" x14ac:dyDescent="0.3">
      <c r="A6" s="237">
        <v>807804524</v>
      </c>
      <c r="B6" s="237" t="s">
        <v>1129</v>
      </c>
      <c r="C6" s="240" t="s">
        <v>1058</v>
      </c>
      <c r="D6" s="240" t="s">
        <v>1062</v>
      </c>
      <c r="E6" s="237" t="s">
        <v>1130</v>
      </c>
      <c r="F6" s="237" t="s">
        <v>274</v>
      </c>
      <c r="G6" s="237" t="s">
        <v>1131</v>
      </c>
      <c r="H6" s="237" t="s">
        <v>310</v>
      </c>
      <c r="I6" s="143">
        <f t="shared" ref="I6:I20" si="0">D6-C6</f>
        <v>6</v>
      </c>
      <c r="J6" s="6">
        <f>SUMIF(Oct!$E$4:$E$86,A6,Oct!$H$4:$H$86)</f>
        <v>6</v>
      </c>
    </row>
    <row r="7" spans="1:10" x14ac:dyDescent="0.3">
      <c r="A7" s="237">
        <v>817505315</v>
      </c>
      <c r="B7" s="237" t="s">
        <v>1132</v>
      </c>
      <c r="C7" s="240" t="s">
        <v>1030</v>
      </c>
      <c r="D7" s="240" t="s">
        <v>1058</v>
      </c>
      <c r="E7" s="237" t="s">
        <v>1133</v>
      </c>
      <c r="F7" s="237" t="s">
        <v>274</v>
      </c>
      <c r="G7" s="237" t="s">
        <v>1134</v>
      </c>
      <c r="H7" s="237" t="s">
        <v>310</v>
      </c>
      <c r="I7" s="143">
        <f t="shared" si="0"/>
        <v>4</v>
      </c>
      <c r="J7" s="6">
        <f>SUMIF(Oct!$E$4:$E$86,A7,Oct!$H$4:$H$86)</f>
        <v>4</v>
      </c>
    </row>
    <row r="8" spans="1:10" x14ac:dyDescent="0.3">
      <c r="A8" s="237">
        <v>860076656</v>
      </c>
      <c r="B8" s="237" t="s">
        <v>1135</v>
      </c>
      <c r="C8" s="240" t="s">
        <v>962</v>
      </c>
      <c r="D8" s="240" t="s">
        <v>974</v>
      </c>
      <c r="E8" s="237" t="s">
        <v>1136</v>
      </c>
      <c r="F8" s="237" t="s">
        <v>275</v>
      </c>
      <c r="G8" s="237" t="s">
        <v>1137</v>
      </c>
      <c r="H8" s="237" t="s">
        <v>310</v>
      </c>
      <c r="I8" s="143">
        <f t="shared" si="0"/>
        <v>1</v>
      </c>
      <c r="J8" s="6">
        <f>SUMIF(Oct!$E$4:$E$86,A8,Oct!$H$4:$H$86)</f>
        <v>1</v>
      </c>
    </row>
    <row r="9" spans="1:10" x14ac:dyDescent="0.3">
      <c r="A9" s="237">
        <v>894952958</v>
      </c>
      <c r="B9" s="237" t="s">
        <v>1138</v>
      </c>
      <c r="C9" s="240" t="s">
        <v>1018</v>
      </c>
      <c r="D9" s="240" t="s">
        <v>1026</v>
      </c>
      <c r="E9" s="237" t="s">
        <v>1139</v>
      </c>
      <c r="F9" s="237" t="s">
        <v>275</v>
      </c>
      <c r="G9" s="237" t="s">
        <v>1140</v>
      </c>
      <c r="H9" s="237" t="s">
        <v>310</v>
      </c>
      <c r="I9" s="143">
        <f t="shared" si="0"/>
        <v>4</v>
      </c>
      <c r="J9" s="277">
        <f>SUMIF(Oct!$E$4:$E$86,A9,Oct!$H$4:$H$86)</f>
        <v>4</v>
      </c>
    </row>
    <row r="10" spans="1:10" x14ac:dyDescent="0.3">
      <c r="A10" s="237">
        <v>906981492</v>
      </c>
      <c r="B10" s="237" t="s">
        <v>1141</v>
      </c>
      <c r="C10" s="240" t="s">
        <v>1072</v>
      </c>
      <c r="D10" s="240" t="s">
        <v>1092</v>
      </c>
      <c r="E10" s="237" t="s">
        <v>1142</v>
      </c>
      <c r="F10" s="237" t="s">
        <v>275</v>
      </c>
      <c r="G10" s="237" t="s">
        <v>1143</v>
      </c>
      <c r="H10" s="237" t="s">
        <v>310</v>
      </c>
      <c r="I10" s="143">
        <f t="shared" si="0"/>
        <v>3</v>
      </c>
      <c r="J10" s="6">
        <f>SUMIF(Oct!$E$4:$E$86,A10,Oct!$H$4:$H$86)</f>
        <v>3</v>
      </c>
    </row>
    <row r="11" spans="1:10" x14ac:dyDescent="0.3">
      <c r="A11" s="237">
        <v>910862881</v>
      </c>
      <c r="B11" s="237" t="s">
        <v>1144</v>
      </c>
      <c r="C11" s="240" t="s">
        <v>1062</v>
      </c>
      <c r="D11" s="240" t="s">
        <v>1081</v>
      </c>
      <c r="E11" s="237" t="s">
        <v>1145</v>
      </c>
      <c r="F11" s="237" t="s">
        <v>275</v>
      </c>
      <c r="G11" s="237" t="s">
        <v>1146</v>
      </c>
      <c r="H11" s="237" t="s">
        <v>310</v>
      </c>
      <c r="I11" s="143">
        <f t="shared" si="0"/>
        <v>3</v>
      </c>
      <c r="J11" s="6">
        <f>SUMIF(Oct!$E$4:$E$86,A11,Oct!$H$4:$H$86)</f>
        <v>3</v>
      </c>
    </row>
    <row r="12" spans="1:10" x14ac:dyDescent="0.3">
      <c r="A12" s="237">
        <v>911359084</v>
      </c>
      <c r="B12" s="237" t="s">
        <v>1147</v>
      </c>
      <c r="C12" s="240" t="s">
        <v>1030</v>
      </c>
      <c r="D12" s="240" t="s">
        <v>1051</v>
      </c>
      <c r="E12" s="237" t="s">
        <v>1148</v>
      </c>
      <c r="F12" s="237" t="s">
        <v>275</v>
      </c>
      <c r="G12" s="237" t="s">
        <v>1149</v>
      </c>
      <c r="H12" s="237" t="s">
        <v>310</v>
      </c>
      <c r="I12" s="143">
        <f t="shared" si="0"/>
        <v>3</v>
      </c>
      <c r="J12" s="6">
        <f>SUMIF(Oct!$E$4:$E$86,A12,Oct!$H$4:$H$86)</f>
        <v>3</v>
      </c>
    </row>
    <row r="13" spans="1:10" x14ac:dyDescent="0.3">
      <c r="A13" s="237">
        <v>911360390</v>
      </c>
      <c r="B13" s="237" t="s">
        <v>1147</v>
      </c>
      <c r="C13" s="240" t="s">
        <v>1064</v>
      </c>
      <c r="D13" s="240" t="s">
        <v>1150</v>
      </c>
      <c r="E13" s="237" t="s">
        <v>1151</v>
      </c>
      <c r="F13" s="237" t="s">
        <v>275</v>
      </c>
      <c r="G13" s="237" t="s">
        <v>1149</v>
      </c>
      <c r="H13" s="237" t="s">
        <v>310</v>
      </c>
      <c r="I13" s="143">
        <f t="shared" si="0"/>
        <v>2</v>
      </c>
      <c r="J13" s="6">
        <f>SUMIF(Oct!$E$4:$E$86,A13,Oct!$H$4:$H$86)</f>
        <v>2</v>
      </c>
    </row>
    <row r="14" spans="1:10" x14ac:dyDescent="0.3">
      <c r="A14" s="237">
        <v>914152253</v>
      </c>
      <c r="B14" s="237" t="s">
        <v>1152</v>
      </c>
      <c r="C14" s="240" t="s">
        <v>1040</v>
      </c>
      <c r="D14" s="240" t="s">
        <v>1026</v>
      </c>
      <c r="E14" s="237" t="s">
        <v>1153</v>
      </c>
      <c r="F14" s="237" t="s">
        <v>275</v>
      </c>
      <c r="G14" s="237" t="s">
        <v>1154</v>
      </c>
      <c r="H14" s="237" t="s">
        <v>310</v>
      </c>
      <c r="I14" s="143">
        <f t="shared" si="0"/>
        <v>2</v>
      </c>
      <c r="J14" s="6">
        <f>SUMIF(Oct!$E$4:$E$86,A14,Oct!$H$4:$H$86)</f>
        <v>2</v>
      </c>
    </row>
    <row r="15" spans="1:10" x14ac:dyDescent="0.3">
      <c r="A15" s="237">
        <v>917822231</v>
      </c>
      <c r="B15" s="237" t="s">
        <v>1155</v>
      </c>
      <c r="C15" s="240" t="s">
        <v>1058</v>
      </c>
      <c r="D15" s="240" t="s">
        <v>1150</v>
      </c>
      <c r="E15" s="237" t="s">
        <v>1156</v>
      </c>
      <c r="F15" s="237" t="s">
        <v>275</v>
      </c>
      <c r="G15" s="237" t="s">
        <v>1157</v>
      </c>
      <c r="H15" s="237" t="s">
        <v>310</v>
      </c>
      <c r="I15" s="143">
        <f t="shared" si="0"/>
        <v>3</v>
      </c>
      <c r="J15" s="6">
        <f>SUMIF(Oct!$E$4:$E$86,A15,Oct!$H$4:$H$86)</f>
        <v>3</v>
      </c>
    </row>
    <row r="16" spans="1:10" x14ac:dyDescent="0.3">
      <c r="A16" s="237"/>
      <c r="B16" s="237"/>
      <c r="C16" s="240"/>
      <c r="D16" s="240"/>
      <c r="E16" s="237"/>
      <c r="F16" s="237"/>
      <c r="G16" s="237"/>
      <c r="H16" s="237"/>
      <c r="I16" s="143">
        <f t="shared" si="0"/>
        <v>0</v>
      </c>
      <c r="J16" s="275">
        <f>SUMIF(Oct!$E$4:$E$86,A16,Oct!$H$4:$H$86)</f>
        <v>0</v>
      </c>
    </row>
    <row r="17" spans="1:11" ht="15" x14ac:dyDescent="0.25">
      <c r="A17" s="237"/>
      <c r="B17" s="237"/>
      <c r="C17" s="240"/>
      <c r="D17" s="240"/>
      <c r="E17" s="237"/>
      <c r="F17" s="237"/>
      <c r="G17" s="237"/>
      <c r="H17" s="237"/>
      <c r="I17" s="143">
        <f t="shared" si="0"/>
        <v>0</v>
      </c>
      <c r="J17" s="277">
        <f>SUMIF(Oct!$E$4:$E$86,A17,Oct!$H$4:$H$86)</f>
        <v>0</v>
      </c>
    </row>
    <row r="18" spans="1:11" ht="15" x14ac:dyDescent="0.25">
      <c r="A18" s="237"/>
      <c r="B18" s="237"/>
      <c r="C18" s="240"/>
      <c r="D18" s="240"/>
      <c r="E18" s="237"/>
      <c r="F18" s="237"/>
      <c r="G18" s="237"/>
      <c r="H18" s="237"/>
      <c r="I18" s="143">
        <f t="shared" si="0"/>
        <v>0</v>
      </c>
      <c r="J18" s="6">
        <f>SUMIF(Oct!$E$4:$E$86,A18,Oct!$H$4:$H$86)</f>
        <v>0</v>
      </c>
    </row>
    <row r="19" spans="1:11" ht="15" x14ac:dyDescent="0.25">
      <c r="C19" s="136"/>
      <c r="D19" s="136"/>
      <c r="I19" s="143">
        <f t="shared" si="0"/>
        <v>0</v>
      </c>
      <c r="J19" s="6">
        <f>SUMIF(Oct!$E$4:$E$86,A19,Oct!$H$4:$H$86)</f>
        <v>0</v>
      </c>
    </row>
    <row r="20" spans="1:11" ht="15" x14ac:dyDescent="0.25">
      <c r="C20" s="136"/>
      <c r="D20" s="136"/>
      <c r="I20" s="143">
        <f t="shared" si="0"/>
        <v>0</v>
      </c>
      <c r="J20" s="6">
        <f>SUMIF(Oct!$E$4:$E$86,A20,Oct!$H$4:$H$86)</f>
        <v>0</v>
      </c>
    </row>
    <row r="21" spans="1:11" ht="15" x14ac:dyDescent="0.25">
      <c r="I21" s="143">
        <f t="shared" ref="I21:I23" si="1">D21-C21</f>
        <v>0</v>
      </c>
      <c r="J21" s="6">
        <f>SUMIF(Oct!$E$4:$E$86,A21,Oct!$H$4:$H$86)</f>
        <v>0</v>
      </c>
    </row>
    <row r="22" spans="1:11" ht="15" x14ac:dyDescent="0.25">
      <c r="I22" s="143">
        <f t="shared" si="1"/>
        <v>0</v>
      </c>
      <c r="J22" s="6">
        <f>SUMIF(Oct!$E$4:$E$86,A22,Oct!$H$4:$H$86)</f>
        <v>0</v>
      </c>
    </row>
    <row r="23" spans="1:11" ht="15" x14ac:dyDescent="0.25">
      <c r="I23" s="143">
        <f t="shared" si="1"/>
        <v>0</v>
      </c>
      <c r="J23" s="6">
        <f>SUMIF(Oct!$E$4:$E$86,A23,Oct!$H$4:$H$86)</f>
        <v>0</v>
      </c>
    </row>
    <row r="24" spans="1:11" ht="15" x14ac:dyDescent="0.25">
      <c r="I24" s="157">
        <f>SUM(I5:I23)</f>
        <v>37</v>
      </c>
      <c r="J24" s="157">
        <f>SUM(J5:J23)</f>
        <v>37</v>
      </c>
      <c r="K24" s="117">
        <f>SUM(K6:K20)</f>
        <v>0</v>
      </c>
    </row>
  </sheetData>
  <sortState ref="A5:H15">
    <sortCondition ref="C5:C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54"/>
  <sheetViews>
    <sheetView zoomScale="55" zoomScaleNormal="55" workbookViewId="0">
      <selection activeCell="B48" sqref="B48"/>
    </sheetView>
  </sheetViews>
  <sheetFormatPr baseColWidth="10" defaultRowHeight="14.4" x14ac:dyDescent="0.3"/>
  <cols>
    <col min="1" max="1" width="15.33203125" style="60" customWidth="1"/>
    <col min="2" max="2" width="24.109375" style="60" customWidth="1"/>
    <col min="3" max="3" width="11.6640625" style="60" customWidth="1"/>
    <col min="4" max="4" width="9.33203125" style="60" customWidth="1"/>
    <col min="5" max="5" width="21.33203125" style="60" customWidth="1"/>
    <col min="6" max="6" width="9.88671875" style="60" customWidth="1"/>
    <col min="7" max="7" width="21.33203125" style="60" customWidth="1"/>
    <col min="8" max="8" width="13.33203125" style="60" customWidth="1"/>
    <col min="9" max="9" width="18.88671875" style="184" customWidth="1"/>
    <col min="10" max="10" width="15.33203125" style="184" customWidth="1"/>
    <col min="11" max="11" width="13.33203125" style="60" customWidth="1"/>
    <col min="12" max="12" width="21" style="184" customWidth="1"/>
    <col min="13" max="13" width="14.33203125" style="60" customWidth="1"/>
    <col min="14" max="14" width="14.6640625" style="60" customWidth="1"/>
    <col min="15" max="15" width="5.33203125" style="60" customWidth="1"/>
    <col min="16" max="16" width="9.33203125" style="60" customWidth="1"/>
    <col min="17" max="17" width="12.88671875" style="60" customWidth="1"/>
    <col min="18" max="18" width="14.6640625" style="60" customWidth="1"/>
    <col min="19" max="19" width="13.33203125" style="60" customWidth="1"/>
    <col min="20" max="20" width="7.33203125" style="60" customWidth="1"/>
    <col min="21" max="21" width="10.33203125" style="60" customWidth="1"/>
    <col min="22" max="22" width="11.88671875" style="60" customWidth="1"/>
    <col min="23" max="23" width="18.33203125" style="60" customWidth="1"/>
    <col min="24" max="35" width="7.33203125" style="60" customWidth="1"/>
    <col min="36" max="228" width="9.109375" style="60" customWidth="1"/>
    <col min="229" max="229" width="30.109375" style="60" customWidth="1"/>
    <col min="230" max="230" width="52.109375" style="60" customWidth="1"/>
    <col min="231" max="231" width="47.6640625" style="60" customWidth="1"/>
    <col min="232" max="232" width="13.33203125" style="60" customWidth="1"/>
    <col min="233" max="233" width="9.88671875" style="60" customWidth="1"/>
    <col min="234" max="234" width="17.109375" style="60" customWidth="1"/>
    <col min="235" max="235" width="9.109375" style="60" customWidth="1"/>
    <col min="236" max="236" width="10.88671875" style="60" customWidth="1"/>
    <col min="237" max="237" width="11.33203125" style="60" customWidth="1"/>
    <col min="238" max="238" width="16.33203125" style="60" customWidth="1"/>
    <col min="239" max="239" width="8.33203125" style="60" customWidth="1"/>
    <col min="240" max="240" width="10.33203125" style="60" customWidth="1"/>
    <col min="241" max="241" width="11.33203125" style="60" customWidth="1"/>
    <col min="242" max="242" width="9.6640625" style="60" customWidth="1"/>
    <col min="243" max="484" width="9.109375" style="60" customWidth="1"/>
    <col min="485" max="485" width="30.109375" style="60" customWidth="1"/>
    <col min="486" max="486" width="52.109375" style="60" customWidth="1"/>
    <col min="487" max="487" width="47.6640625" style="60" customWidth="1"/>
    <col min="488" max="488" width="13.33203125" style="60" customWidth="1"/>
    <col min="489" max="489" width="9.88671875" style="60" customWidth="1"/>
    <col min="490" max="490" width="17.109375" style="60" customWidth="1"/>
    <col min="491" max="491" width="9.109375" style="60" customWidth="1"/>
    <col min="492" max="492" width="10.88671875" style="60" customWidth="1"/>
    <col min="493" max="493" width="11.33203125" style="60" customWidth="1"/>
    <col min="494" max="494" width="16.33203125" style="60" customWidth="1"/>
    <col min="495" max="495" width="8.33203125" style="60" customWidth="1"/>
    <col min="496" max="496" width="10.33203125" style="60" customWidth="1"/>
    <col min="497" max="497" width="11.33203125" style="60" customWidth="1"/>
    <col min="498" max="498" width="9.6640625" style="60" customWidth="1"/>
    <col min="499" max="740" width="9.109375" style="60" customWidth="1"/>
    <col min="741" max="741" width="30.109375" style="60" customWidth="1"/>
    <col min="742" max="742" width="52.109375" style="60" customWidth="1"/>
    <col min="743" max="743" width="47.6640625" style="60" customWidth="1"/>
    <col min="744" max="744" width="13.33203125" style="60" customWidth="1"/>
    <col min="745" max="745" width="9.88671875" style="60" customWidth="1"/>
    <col min="746" max="746" width="17.109375" style="60" customWidth="1"/>
    <col min="747" max="747" width="9.109375" style="60" customWidth="1"/>
    <col min="748" max="748" width="10.88671875" style="60" customWidth="1"/>
    <col min="749" max="749" width="11.33203125" style="60" customWidth="1"/>
    <col min="750" max="750" width="16.33203125" style="60" customWidth="1"/>
    <col min="751" max="751" width="8.33203125" style="60" customWidth="1"/>
    <col min="752" max="752" width="10.33203125" style="60" customWidth="1"/>
    <col min="753" max="753" width="11.33203125" style="60" customWidth="1"/>
    <col min="754" max="754" width="9.6640625" style="60" customWidth="1"/>
    <col min="755" max="996" width="9.109375" style="60" customWidth="1"/>
    <col min="997" max="997" width="30.109375" style="60" customWidth="1"/>
    <col min="998" max="998" width="52.109375" style="60" customWidth="1"/>
    <col min="999" max="999" width="47.6640625" style="60" customWidth="1"/>
    <col min="1000" max="1000" width="13.33203125" style="60" customWidth="1"/>
    <col min="1001" max="1001" width="9.88671875" style="60" customWidth="1"/>
    <col min="1002" max="1002" width="17.109375" style="60" customWidth="1"/>
    <col min="1003" max="1003" width="9.109375" style="60" customWidth="1"/>
    <col min="1004" max="1004" width="10.88671875" style="60" customWidth="1"/>
    <col min="1005" max="1005" width="11.33203125" style="60" customWidth="1"/>
    <col min="1006" max="1006" width="16.33203125" style="60" customWidth="1"/>
    <col min="1007" max="1007" width="8.33203125" style="60" customWidth="1"/>
    <col min="1008" max="1008" width="10.33203125" style="60" customWidth="1"/>
    <col min="1009" max="1009" width="11.33203125" style="60" customWidth="1"/>
    <col min="1010" max="1010" width="9.6640625" style="60" customWidth="1"/>
    <col min="1011" max="1252" width="9.109375" style="60" customWidth="1"/>
    <col min="1253" max="1253" width="30.109375" style="60" customWidth="1"/>
    <col min="1254" max="1254" width="52.109375" style="60" customWidth="1"/>
    <col min="1255" max="1255" width="47.6640625" style="60" customWidth="1"/>
    <col min="1256" max="1256" width="13.33203125" style="60" customWidth="1"/>
    <col min="1257" max="1257" width="9.88671875" style="60" customWidth="1"/>
    <col min="1258" max="1258" width="17.109375" style="60" customWidth="1"/>
    <col min="1259" max="1259" width="9.109375" style="60" customWidth="1"/>
    <col min="1260" max="1260" width="10.88671875" style="60" customWidth="1"/>
    <col min="1261" max="1261" width="11.33203125" style="60" customWidth="1"/>
    <col min="1262" max="1262" width="16.33203125" style="60" customWidth="1"/>
    <col min="1263" max="1263" width="8.33203125" style="60" customWidth="1"/>
    <col min="1264" max="1264" width="10.33203125" style="60" customWidth="1"/>
    <col min="1265" max="1265" width="11.33203125" style="60" customWidth="1"/>
    <col min="1266" max="1266" width="9.6640625" style="60" customWidth="1"/>
    <col min="1267" max="1508" width="9.109375" style="60" customWidth="1"/>
    <col min="1509" max="1509" width="30.109375" style="60" customWidth="1"/>
    <col min="1510" max="1510" width="52.109375" style="60" customWidth="1"/>
    <col min="1511" max="1511" width="47.6640625" style="60" customWidth="1"/>
    <col min="1512" max="1512" width="13.33203125" style="60" customWidth="1"/>
    <col min="1513" max="1513" width="9.88671875" style="60" customWidth="1"/>
    <col min="1514" max="1514" width="17.109375" style="60" customWidth="1"/>
    <col min="1515" max="1515" width="9.109375" style="60" customWidth="1"/>
    <col min="1516" max="1516" width="10.88671875" style="60" customWidth="1"/>
    <col min="1517" max="1517" width="11.33203125" style="60" customWidth="1"/>
    <col min="1518" max="1518" width="16.33203125" style="60" customWidth="1"/>
    <col min="1519" max="1519" width="8.33203125" style="60" customWidth="1"/>
    <col min="1520" max="1520" width="10.33203125" style="60" customWidth="1"/>
    <col min="1521" max="1521" width="11.33203125" style="60" customWidth="1"/>
    <col min="1522" max="1522" width="9.6640625" style="60" customWidth="1"/>
    <col min="1523" max="1764" width="9.109375" style="60" customWidth="1"/>
    <col min="1765" max="1765" width="30.109375" style="60" customWidth="1"/>
    <col min="1766" max="1766" width="52.109375" style="60" customWidth="1"/>
    <col min="1767" max="1767" width="47.6640625" style="60" customWidth="1"/>
    <col min="1768" max="1768" width="13.33203125" style="60" customWidth="1"/>
    <col min="1769" max="1769" width="9.88671875" style="60" customWidth="1"/>
    <col min="1770" max="1770" width="17.109375" style="60" customWidth="1"/>
    <col min="1771" max="1771" width="9.109375" style="60" customWidth="1"/>
    <col min="1772" max="1772" width="10.88671875" style="60" customWidth="1"/>
    <col min="1773" max="1773" width="11.33203125" style="60" customWidth="1"/>
    <col min="1774" max="1774" width="16.33203125" style="60" customWidth="1"/>
    <col min="1775" max="1775" width="8.33203125" style="60" customWidth="1"/>
    <col min="1776" max="1776" width="10.33203125" style="60" customWidth="1"/>
    <col min="1777" max="1777" width="11.33203125" style="60" customWidth="1"/>
    <col min="1778" max="1778" width="9.6640625" style="60" customWidth="1"/>
    <col min="1779" max="2020" width="9.109375" style="60" customWidth="1"/>
    <col min="2021" max="2021" width="30.109375" style="60" customWidth="1"/>
    <col min="2022" max="2022" width="52.109375" style="60" customWidth="1"/>
    <col min="2023" max="2023" width="47.6640625" style="60" customWidth="1"/>
    <col min="2024" max="2024" width="13.33203125" style="60" customWidth="1"/>
    <col min="2025" max="2025" width="9.88671875" style="60" customWidth="1"/>
    <col min="2026" max="2026" width="17.109375" style="60" customWidth="1"/>
    <col min="2027" max="2027" width="9.109375" style="60" customWidth="1"/>
    <col min="2028" max="2028" width="10.88671875" style="60" customWidth="1"/>
    <col min="2029" max="2029" width="11.33203125" style="60" customWidth="1"/>
    <col min="2030" max="2030" width="16.33203125" style="60" customWidth="1"/>
    <col min="2031" max="2031" width="8.33203125" style="60" customWidth="1"/>
    <col min="2032" max="2032" width="10.33203125" style="60" customWidth="1"/>
    <col min="2033" max="2033" width="11.33203125" style="60" customWidth="1"/>
    <col min="2034" max="2034" width="9.6640625" style="60" customWidth="1"/>
    <col min="2035" max="2276" width="9.109375" style="60" customWidth="1"/>
    <col min="2277" max="2277" width="30.109375" style="60" customWidth="1"/>
    <col min="2278" max="2278" width="52.109375" style="60" customWidth="1"/>
    <col min="2279" max="2279" width="47.6640625" style="60" customWidth="1"/>
    <col min="2280" max="2280" width="13.33203125" style="60" customWidth="1"/>
    <col min="2281" max="2281" width="9.88671875" style="60" customWidth="1"/>
    <col min="2282" max="2282" width="17.109375" style="60" customWidth="1"/>
    <col min="2283" max="2283" width="9.109375" style="60" customWidth="1"/>
    <col min="2284" max="2284" width="10.88671875" style="60" customWidth="1"/>
    <col min="2285" max="2285" width="11.33203125" style="60" customWidth="1"/>
    <col min="2286" max="2286" width="16.33203125" style="60" customWidth="1"/>
    <col min="2287" max="2287" width="8.33203125" style="60" customWidth="1"/>
    <col min="2288" max="2288" width="10.33203125" style="60" customWidth="1"/>
    <col min="2289" max="2289" width="11.33203125" style="60" customWidth="1"/>
    <col min="2290" max="2290" width="9.6640625" style="60" customWidth="1"/>
    <col min="2291" max="2532" width="9.109375" style="60" customWidth="1"/>
    <col min="2533" max="2533" width="30.109375" style="60" customWidth="1"/>
    <col min="2534" max="2534" width="52.109375" style="60" customWidth="1"/>
    <col min="2535" max="2535" width="47.6640625" style="60" customWidth="1"/>
    <col min="2536" max="2536" width="13.33203125" style="60" customWidth="1"/>
    <col min="2537" max="2537" width="9.88671875" style="60" customWidth="1"/>
    <col min="2538" max="2538" width="17.109375" style="60" customWidth="1"/>
    <col min="2539" max="2539" width="9.109375" style="60" customWidth="1"/>
    <col min="2540" max="2540" width="10.88671875" style="60" customWidth="1"/>
    <col min="2541" max="2541" width="11.33203125" style="60" customWidth="1"/>
    <col min="2542" max="2542" width="16.33203125" style="60" customWidth="1"/>
    <col min="2543" max="2543" width="8.33203125" style="60" customWidth="1"/>
    <col min="2544" max="2544" width="10.33203125" style="60" customWidth="1"/>
    <col min="2545" max="2545" width="11.33203125" style="60" customWidth="1"/>
    <col min="2546" max="2546" width="9.6640625" style="60" customWidth="1"/>
    <col min="2547" max="2788" width="9.109375" style="60" customWidth="1"/>
    <col min="2789" max="2789" width="30.109375" style="60" customWidth="1"/>
    <col min="2790" max="2790" width="52.109375" style="60" customWidth="1"/>
    <col min="2791" max="2791" width="47.6640625" style="60" customWidth="1"/>
    <col min="2792" max="2792" width="13.33203125" style="60" customWidth="1"/>
    <col min="2793" max="2793" width="9.88671875" style="60" customWidth="1"/>
    <col min="2794" max="2794" width="17.109375" style="60" customWidth="1"/>
    <col min="2795" max="2795" width="9.109375" style="60" customWidth="1"/>
    <col min="2796" max="2796" width="10.88671875" style="60" customWidth="1"/>
    <col min="2797" max="2797" width="11.33203125" style="60" customWidth="1"/>
    <col min="2798" max="2798" width="16.33203125" style="60" customWidth="1"/>
    <col min="2799" max="2799" width="8.33203125" style="60" customWidth="1"/>
    <col min="2800" max="2800" width="10.33203125" style="60" customWidth="1"/>
    <col min="2801" max="2801" width="11.33203125" style="60" customWidth="1"/>
    <col min="2802" max="2802" width="9.6640625" style="60" customWidth="1"/>
    <col min="2803" max="3044" width="9.109375" style="60" customWidth="1"/>
    <col min="3045" max="3045" width="30.109375" style="60" customWidth="1"/>
    <col min="3046" max="3046" width="52.109375" style="60" customWidth="1"/>
    <col min="3047" max="3047" width="47.6640625" style="60" customWidth="1"/>
    <col min="3048" max="3048" width="13.33203125" style="60" customWidth="1"/>
    <col min="3049" max="3049" width="9.88671875" style="60" customWidth="1"/>
    <col min="3050" max="3050" width="17.109375" style="60" customWidth="1"/>
    <col min="3051" max="3051" width="9.109375" style="60" customWidth="1"/>
    <col min="3052" max="3052" width="10.88671875" style="60" customWidth="1"/>
    <col min="3053" max="3053" width="11.33203125" style="60" customWidth="1"/>
    <col min="3054" max="3054" width="16.33203125" style="60" customWidth="1"/>
    <col min="3055" max="3055" width="8.33203125" style="60" customWidth="1"/>
    <col min="3056" max="3056" width="10.33203125" style="60" customWidth="1"/>
    <col min="3057" max="3057" width="11.33203125" style="60" customWidth="1"/>
    <col min="3058" max="3058" width="9.6640625" style="60" customWidth="1"/>
    <col min="3059" max="3300" width="9.109375" style="60" customWidth="1"/>
    <col min="3301" max="3301" width="30.109375" style="60" customWidth="1"/>
    <col min="3302" max="3302" width="52.109375" style="60" customWidth="1"/>
    <col min="3303" max="3303" width="47.6640625" style="60" customWidth="1"/>
    <col min="3304" max="3304" width="13.33203125" style="60" customWidth="1"/>
    <col min="3305" max="3305" width="9.88671875" style="60" customWidth="1"/>
    <col min="3306" max="3306" width="17.109375" style="60" customWidth="1"/>
    <col min="3307" max="3307" width="9.109375" style="60" customWidth="1"/>
    <col min="3308" max="3308" width="10.88671875" style="60" customWidth="1"/>
    <col min="3309" max="3309" width="11.33203125" style="60" customWidth="1"/>
    <col min="3310" max="3310" width="16.33203125" style="60" customWidth="1"/>
    <col min="3311" max="3311" width="8.33203125" style="60" customWidth="1"/>
    <col min="3312" max="3312" width="10.33203125" style="60" customWidth="1"/>
    <col min="3313" max="3313" width="11.33203125" style="60" customWidth="1"/>
    <col min="3314" max="3314" width="9.6640625" style="60" customWidth="1"/>
    <col min="3315" max="3556" width="9.109375" style="60" customWidth="1"/>
    <col min="3557" max="3557" width="30.109375" style="60" customWidth="1"/>
    <col min="3558" max="3558" width="52.109375" style="60" customWidth="1"/>
    <col min="3559" max="3559" width="47.6640625" style="60" customWidth="1"/>
    <col min="3560" max="3560" width="13.33203125" style="60" customWidth="1"/>
    <col min="3561" max="3561" width="9.88671875" style="60" customWidth="1"/>
    <col min="3562" max="3562" width="17.109375" style="60" customWidth="1"/>
    <col min="3563" max="3563" width="9.109375" style="60" customWidth="1"/>
    <col min="3564" max="3564" width="10.88671875" style="60" customWidth="1"/>
    <col min="3565" max="3565" width="11.33203125" style="60" customWidth="1"/>
    <col min="3566" max="3566" width="16.33203125" style="60" customWidth="1"/>
    <col min="3567" max="3567" width="8.33203125" style="60" customWidth="1"/>
    <col min="3568" max="3568" width="10.33203125" style="60" customWidth="1"/>
    <col min="3569" max="3569" width="11.33203125" style="60" customWidth="1"/>
    <col min="3570" max="3570" width="9.6640625" style="60" customWidth="1"/>
    <col min="3571" max="3812" width="9.109375" style="60" customWidth="1"/>
    <col min="3813" max="3813" width="30.109375" style="60" customWidth="1"/>
    <col min="3814" max="3814" width="52.109375" style="60" customWidth="1"/>
    <col min="3815" max="3815" width="47.6640625" style="60" customWidth="1"/>
    <col min="3816" max="3816" width="13.33203125" style="60" customWidth="1"/>
    <col min="3817" max="3817" width="9.88671875" style="60" customWidth="1"/>
    <col min="3818" max="3818" width="17.109375" style="60" customWidth="1"/>
    <col min="3819" max="3819" width="9.109375" style="60" customWidth="1"/>
    <col min="3820" max="3820" width="10.88671875" style="60" customWidth="1"/>
    <col min="3821" max="3821" width="11.33203125" style="60" customWidth="1"/>
    <col min="3822" max="3822" width="16.33203125" style="60" customWidth="1"/>
    <col min="3823" max="3823" width="8.33203125" style="60" customWidth="1"/>
    <col min="3824" max="3824" width="10.33203125" style="60" customWidth="1"/>
    <col min="3825" max="3825" width="11.33203125" style="60" customWidth="1"/>
    <col min="3826" max="3826" width="9.6640625" style="60" customWidth="1"/>
    <col min="3827" max="4068" width="9.109375" style="60" customWidth="1"/>
    <col min="4069" max="4069" width="30.109375" style="60" customWidth="1"/>
    <col min="4070" max="4070" width="52.109375" style="60" customWidth="1"/>
    <col min="4071" max="4071" width="47.6640625" style="60" customWidth="1"/>
    <col min="4072" max="4072" width="13.33203125" style="60" customWidth="1"/>
    <col min="4073" max="4073" width="9.88671875" style="60" customWidth="1"/>
    <col min="4074" max="4074" width="17.109375" style="60" customWidth="1"/>
    <col min="4075" max="4075" width="9.109375" style="60" customWidth="1"/>
    <col min="4076" max="4076" width="10.88671875" style="60" customWidth="1"/>
    <col min="4077" max="4077" width="11.33203125" style="60" customWidth="1"/>
    <col min="4078" max="4078" width="16.33203125" style="60" customWidth="1"/>
    <col min="4079" max="4079" width="8.33203125" style="60" customWidth="1"/>
    <col min="4080" max="4080" width="10.33203125" style="60" customWidth="1"/>
    <col min="4081" max="4081" width="11.33203125" style="60" customWidth="1"/>
    <col min="4082" max="4082" width="9.6640625" style="60" customWidth="1"/>
    <col min="4083" max="4324" width="9.109375" style="60" customWidth="1"/>
    <col min="4325" max="4325" width="30.109375" style="60" customWidth="1"/>
    <col min="4326" max="4326" width="52.109375" style="60" customWidth="1"/>
    <col min="4327" max="4327" width="47.6640625" style="60" customWidth="1"/>
    <col min="4328" max="4328" width="13.33203125" style="60" customWidth="1"/>
    <col min="4329" max="4329" width="9.88671875" style="60" customWidth="1"/>
    <col min="4330" max="4330" width="17.109375" style="60" customWidth="1"/>
    <col min="4331" max="4331" width="9.109375" style="60" customWidth="1"/>
    <col min="4332" max="4332" width="10.88671875" style="60" customWidth="1"/>
    <col min="4333" max="4333" width="11.33203125" style="60" customWidth="1"/>
    <col min="4334" max="4334" width="16.33203125" style="60" customWidth="1"/>
    <col min="4335" max="4335" width="8.33203125" style="60" customWidth="1"/>
    <col min="4336" max="4336" width="10.33203125" style="60" customWidth="1"/>
    <col min="4337" max="4337" width="11.33203125" style="60" customWidth="1"/>
    <col min="4338" max="4338" width="9.6640625" style="60" customWidth="1"/>
    <col min="4339" max="4580" width="9.109375" style="60" customWidth="1"/>
    <col min="4581" max="4581" width="30.109375" style="60" customWidth="1"/>
    <col min="4582" max="4582" width="52.109375" style="60" customWidth="1"/>
    <col min="4583" max="4583" width="47.6640625" style="60" customWidth="1"/>
    <col min="4584" max="4584" width="13.33203125" style="60" customWidth="1"/>
    <col min="4585" max="4585" width="9.88671875" style="60" customWidth="1"/>
    <col min="4586" max="4586" width="17.109375" style="60" customWidth="1"/>
    <col min="4587" max="4587" width="9.109375" style="60" customWidth="1"/>
    <col min="4588" max="4588" width="10.88671875" style="60" customWidth="1"/>
    <col min="4589" max="4589" width="11.33203125" style="60" customWidth="1"/>
    <col min="4590" max="4590" width="16.33203125" style="60" customWidth="1"/>
    <col min="4591" max="4591" width="8.33203125" style="60" customWidth="1"/>
    <col min="4592" max="4592" width="10.33203125" style="60" customWidth="1"/>
    <col min="4593" max="4593" width="11.33203125" style="60" customWidth="1"/>
    <col min="4594" max="4594" width="9.6640625" style="60" customWidth="1"/>
    <col min="4595" max="4836" width="9.109375" style="60" customWidth="1"/>
    <col min="4837" max="4837" width="30.109375" style="60" customWidth="1"/>
    <col min="4838" max="4838" width="52.109375" style="60" customWidth="1"/>
    <col min="4839" max="4839" width="47.6640625" style="60" customWidth="1"/>
    <col min="4840" max="4840" width="13.33203125" style="60" customWidth="1"/>
    <col min="4841" max="4841" width="9.88671875" style="60" customWidth="1"/>
    <col min="4842" max="4842" width="17.109375" style="60" customWidth="1"/>
    <col min="4843" max="4843" width="9.109375" style="60" customWidth="1"/>
    <col min="4844" max="4844" width="10.88671875" style="60" customWidth="1"/>
    <col min="4845" max="4845" width="11.33203125" style="60" customWidth="1"/>
    <col min="4846" max="4846" width="16.33203125" style="60" customWidth="1"/>
    <col min="4847" max="4847" width="8.33203125" style="60" customWidth="1"/>
    <col min="4848" max="4848" width="10.33203125" style="60" customWidth="1"/>
    <col min="4849" max="4849" width="11.33203125" style="60" customWidth="1"/>
    <col min="4850" max="4850" width="9.6640625" style="60" customWidth="1"/>
    <col min="4851" max="5092" width="9.109375" style="60" customWidth="1"/>
    <col min="5093" max="5093" width="30.109375" style="60" customWidth="1"/>
    <col min="5094" max="5094" width="52.109375" style="60" customWidth="1"/>
    <col min="5095" max="5095" width="47.6640625" style="60" customWidth="1"/>
    <col min="5096" max="5096" width="13.33203125" style="60" customWidth="1"/>
    <col min="5097" max="5097" width="9.88671875" style="60" customWidth="1"/>
    <col min="5098" max="5098" width="17.109375" style="60" customWidth="1"/>
    <col min="5099" max="5099" width="9.109375" style="60" customWidth="1"/>
    <col min="5100" max="5100" width="10.88671875" style="60" customWidth="1"/>
    <col min="5101" max="5101" width="11.33203125" style="60" customWidth="1"/>
    <col min="5102" max="5102" width="16.33203125" style="60" customWidth="1"/>
    <col min="5103" max="5103" width="8.33203125" style="60" customWidth="1"/>
    <col min="5104" max="5104" width="10.33203125" style="60" customWidth="1"/>
    <col min="5105" max="5105" width="11.33203125" style="60" customWidth="1"/>
    <col min="5106" max="5106" width="9.6640625" style="60" customWidth="1"/>
    <col min="5107" max="5348" width="9.109375" style="60" customWidth="1"/>
    <col min="5349" max="5349" width="30.109375" style="60" customWidth="1"/>
    <col min="5350" max="5350" width="52.109375" style="60" customWidth="1"/>
    <col min="5351" max="5351" width="47.6640625" style="60" customWidth="1"/>
    <col min="5352" max="5352" width="13.33203125" style="60" customWidth="1"/>
    <col min="5353" max="5353" width="9.88671875" style="60" customWidth="1"/>
    <col min="5354" max="5354" width="17.109375" style="60" customWidth="1"/>
    <col min="5355" max="5355" width="9.109375" style="60" customWidth="1"/>
    <col min="5356" max="5356" width="10.88671875" style="60" customWidth="1"/>
    <col min="5357" max="5357" width="11.33203125" style="60" customWidth="1"/>
    <col min="5358" max="5358" width="16.33203125" style="60" customWidth="1"/>
    <col min="5359" max="5359" width="8.33203125" style="60" customWidth="1"/>
    <col min="5360" max="5360" width="10.33203125" style="60" customWidth="1"/>
    <col min="5361" max="5361" width="11.33203125" style="60" customWidth="1"/>
    <col min="5362" max="5362" width="9.6640625" style="60" customWidth="1"/>
    <col min="5363" max="5604" width="9.109375" style="60" customWidth="1"/>
    <col min="5605" max="5605" width="30.109375" style="60" customWidth="1"/>
    <col min="5606" max="5606" width="52.109375" style="60" customWidth="1"/>
    <col min="5607" max="5607" width="47.6640625" style="60" customWidth="1"/>
    <col min="5608" max="5608" width="13.33203125" style="60" customWidth="1"/>
    <col min="5609" max="5609" width="9.88671875" style="60" customWidth="1"/>
    <col min="5610" max="5610" width="17.109375" style="60" customWidth="1"/>
    <col min="5611" max="5611" width="9.109375" style="60" customWidth="1"/>
    <col min="5612" max="5612" width="10.88671875" style="60" customWidth="1"/>
    <col min="5613" max="5613" width="11.33203125" style="60" customWidth="1"/>
    <col min="5614" max="5614" width="16.33203125" style="60" customWidth="1"/>
    <col min="5615" max="5615" width="8.33203125" style="60" customWidth="1"/>
    <col min="5616" max="5616" width="10.33203125" style="60" customWidth="1"/>
    <col min="5617" max="5617" width="11.33203125" style="60" customWidth="1"/>
    <col min="5618" max="5618" width="9.6640625" style="60" customWidth="1"/>
    <col min="5619" max="5860" width="9.109375" style="60" customWidth="1"/>
    <col min="5861" max="5861" width="30.109375" style="60" customWidth="1"/>
    <col min="5862" max="5862" width="52.109375" style="60" customWidth="1"/>
    <col min="5863" max="5863" width="47.6640625" style="60" customWidth="1"/>
    <col min="5864" max="5864" width="13.33203125" style="60" customWidth="1"/>
    <col min="5865" max="5865" width="9.88671875" style="60" customWidth="1"/>
    <col min="5866" max="5866" width="17.109375" style="60" customWidth="1"/>
    <col min="5867" max="5867" width="9.109375" style="60" customWidth="1"/>
    <col min="5868" max="5868" width="10.88671875" style="60" customWidth="1"/>
    <col min="5869" max="5869" width="11.33203125" style="60" customWidth="1"/>
    <col min="5870" max="5870" width="16.33203125" style="60" customWidth="1"/>
    <col min="5871" max="5871" width="8.33203125" style="60" customWidth="1"/>
    <col min="5872" max="5872" width="10.33203125" style="60" customWidth="1"/>
    <col min="5873" max="5873" width="11.33203125" style="60" customWidth="1"/>
    <col min="5874" max="5874" width="9.6640625" style="60" customWidth="1"/>
    <col min="5875" max="6116" width="9.109375" style="60" customWidth="1"/>
    <col min="6117" max="6117" width="30.109375" style="60" customWidth="1"/>
    <col min="6118" max="6118" width="52.109375" style="60" customWidth="1"/>
    <col min="6119" max="6119" width="47.6640625" style="60" customWidth="1"/>
    <col min="6120" max="6120" width="13.33203125" style="60" customWidth="1"/>
    <col min="6121" max="6121" width="9.88671875" style="60" customWidth="1"/>
    <col min="6122" max="6122" width="17.109375" style="60" customWidth="1"/>
    <col min="6123" max="6123" width="9.109375" style="60" customWidth="1"/>
    <col min="6124" max="6124" width="10.88671875" style="60" customWidth="1"/>
    <col min="6125" max="6125" width="11.33203125" style="60" customWidth="1"/>
    <col min="6126" max="6126" width="16.33203125" style="60" customWidth="1"/>
    <col min="6127" max="6127" width="8.33203125" style="60" customWidth="1"/>
    <col min="6128" max="6128" width="10.33203125" style="60" customWidth="1"/>
    <col min="6129" max="6129" width="11.33203125" style="60" customWidth="1"/>
    <col min="6130" max="6130" width="9.6640625" style="60" customWidth="1"/>
    <col min="6131" max="6372" width="9.109375" style="60" customWidth="1"/>
    <col min="6373" max="6373" width="30.109375" style="60" customWidth="1"/>
    <col min="6374" max="6374" width="52.109375" style="60" customWidth="1"/>
    <col min="6375" max="6375" width="47.6640625" style="60" customWidth="1"/>
    <col min="6376" max="6376" width="13.33203125" style="60" customWidth="1"/>
    <col min="6377" max="6377" width="9.88671875" style="60" customWidth="1"/>
    <col min="6378" max="6378" width="17.109375" style="60" customWidth="1"/>
    <col min="6379" max="6379" width="9.109375" style="60" customWidth="1"/>
    <col min="6380" max="6380" width="10.88671875" style="60" customWidth="1"/>
    <col min="6381" max="6381" width="11.33203125" style="60" customWidth="1"/>
    <col min="6382" max="6382" width="16.33203125" style="60" customWidth="1"/>
    <col min="6383" max="6383" width="8.33203125" style="60" customWidth="1"/>
    <col min="6384" max="6384" width="10.33203125" style="60" customWidth="1"/>
    <col min="6385" max="6385" width="11.33203125" style="60" customWidth="1"/>
    <col min="6386" max="6386" width="9.6640625" style="60" customWidth="1"/>
    <col min="6387" max="6628" width="9.109375" style="60" customWidth="1"/>
    <col min="6629" max="6629" width="30.109375" style="60" customWidth="1"/>
    <col min="6630" max="6630" width="52.109375" style="60" customWidth="1"/>
    <col min="6631" max="6631" width="47.6640625" style="60" customWidth="1"/>
    <col min="6632" max="6632" width="13.33203125" style="60" customWidth="1"/>
    <col min="6633" max="6633" width="9.88671875" style="60" customWidth="1"/>
    <col min="6634" max="6634" width="17.109375" style="60" customWidth="1"/>
    <col min="6635" max="6635" width="9.109375" style="60" customWidth="1"/>
    <col min="6636" max="6636" width="10.88671875" style="60" customWidth="1"/>
    <col min="6637" max="6637" width="11.33203125" style="60" customWidth="1"/>
    <col min="6638" max="6638" width="16.33203125" style="60" customWidth="1"/>
    <col min="6639" max="6639" width="8.33203125" style="60" customWidth="1"/>
    <col min="6640" max="6640" width="10.33203125" style="60" customWidth="1"/>
    <col min="6641" max="6641" width="11.33203125" style="60" customWidth="1"/>
    <col min="6642" max="6642" width="9.6640625" style="60" customWidth="1"/>
    <col min="6643" max="6884" width="9.109375" style="60" customWidth="1"/>
    <col min="6885" max="6885" width="30.109375" style="60" customWidth="1"/>
    <col min="6886" max="6886" width="52.109375" style="60" customWidth="1"/>
    <col min="6887" max="6887" width="47.6640625" style="60" customWidth="1"/>
    <col min="6888" max="6888" width="13.33203125" style="60" customWidth="1"/>
    <col min="6889" max="6889" width="9.88671875" style="60" customWidth="1"/>
    <col min="6890" max="6890" width="17.109375" style="60" customWidth="1"/>
    <col min="6891" max="6891" width="9.109375" style="60" customWidth="1"/>
    <col min="6892" max="6892" width="10.88671875" style="60" customWidth="1"/>
    <col min="6893" max="6893" width="11.33203125" style="60" customWidth="1"/>
    <col min="6894" max="6894" width="16.33203125" style="60" customWidth="1"/>
    <col min="6895" max="6895" width="8.33203125" style="60" customWidth="1"/>
    <col min="6896" max="6896" width="10.33203125" style="60" customWidth="1"/>
    <col min="6897" max="6897" width="11.33203125" style="60" customWidth="1"/>
    <col min="6898" max="6898" width="9.6640625" style="60" customWidth="1"/>
    <col min="6899" max="7140" width="9.109375" style="60" customWidth="1"/>
    <col min="7141" max="7141" width="30.109375" style="60" customWidth="1"/>
    <col min="7142" max="7142" width="52.109375" style="60" customWidth="1"/>
    <col min="7143" max="7143" width="47.6640625" style="60" customWidth="1"/>
    <col min="7144" max="7144" width="13.33203125" style="60" customWidth="1"/>
    <col min="7145" max="7145" width="9.88671875" style="60" customWidth="1"/>
    <col min="7146" max="7146" width="17.109375" style="60" customWidth="1"/>
    <col min="7147" max="7147" width="9.109375" style="60" customWidth="1"/>
    <col min="7148" max="7148" width="10.88671875" style="60" customWidth="1"/>
    <col min="7149" max="7149" width="11.33203125" style="60" customWidth="1"/>
    <col min="7150" max="7150" width="16.33203125" style="60" customWidth="1"/>
    <col min="7151" max="7151" width="8.33203125" style="60" customWidth="1"/>
    <col min="7152" max="7152" width="10.33203125" style="60" customWidth="1"/>
    <col min="7153" max="7153" width="11.33203125" style="60" customWidth="1"/>
    <col min="7154" max="7154" width="9.6640625" style="60" customWidth="1"/>
    <col min="7155" max="7396" width="9.109375" style="60" customWidth="1"/>
    <col min="7397" max="7397" width="30.109375" style="60" customWidth="1"/>
    <col min="7398" max="7398" width="52.109375" style="60" customWidth="1"/>
    <col min="7399" max="7399" width="47.6640625" style="60" customWidth="1"/>
    <col min="7400" max="7400" width="13.33203125" style="60" customWidth="1"/>
    <col min="7401" max="7401" width="9.88671875" style="60" customWidth="1"/>
    <col min="7402" max="7402" width="17.109375" style="60" customWidth="1"/>
    <col min="7403" max="7403" width="9.109375" style="60" customWidth="1"/>
    <col min="7404" max="7404" width="10.88671875" style="60" customWidth="1"/>
    <col min="7405" max="7405" width="11.33203125" style="60" customWidth="1"/>
    <col min="7406" max="7406" width="16.33203125" style="60" customWidth="1"/>
    <col min="7407" max="7407" width="8.33203125" style="60" customWidth="1"/>
    <col min="7408" max="7408" width="10.33203125" style="60" customWidth="1"/>
    <col min="7409" max="7409" width="11.33203125" style="60" customWidth="1"/>
    <col min="7410" max="7410" width="9.6640625" style="60" customWidth="1"/>
    <col min="7411" max="7652" width="9.109375" style="60" customWidth="1"/>
    <col min="7653" max="7653" width="30.109375" style="60" customWidth="1"/>
    <col min="7654" max="7654" width="52.109375" style="60" customWidth="1"/>
    <col min="7655" max="7655" width="47.6640625" style="60" customWidth="1"/>
    <col min="7656" max="7656" width="13.33203125" style="60" customWidth="1"/>
    <col min="7657" max="7657" width="9.88671875" style="60" customWidth="1"/>
    <col min="7658" max="7658" width="17.109375" style="60" customWidth="1"/>
    <col min="7659" max="7659" width="9.109375" style="60" customWidth="1"/>
    <col min="7660" max="7660" width="10.88671875" style="60" customWidth="1"/>
    <col min="7661" max="7661" width="11.33203125" style="60" customWidth="1"/>
    <col min="7662" max="7662" width="16.33203125" style="60" customWidth="1"/>
    <col min="7663" max="7663" width="8.33203125" style="60" customWidth="1"/>
    <col min="7664" max="7664" width="10.33203125" style="60" customWidth="1"/>
    <col min="7665" max="7665" width="11.33203125" style="60" customWidth="1"/>
    <col min="7666" max="7666" width="9.6640625" style="60" customWidth="1"/>
    <col min="7667" max="7908" width="9.109375" style="60" customWidth="1"/>
    <col min="7909" max="7909" width="30.109375" style="60" customWidth="1"/>
    <col min="7910" max="7910" width="52.109375" style="60" customWidth="1"/>
    <col min="7911" max="7911" width="47.6640625" style="60" customWidth="1"/>
    <col min="7912" max="7912" width="13.33203125" style="60" customWidth="1"/>
    <col min="7913" max="7913" width="9.88671875" style="60" customWidth="1"/>
    <col min="7914" max="7914" width="17.109375" style="60" customWidth="1"/>
    <col min="7915" max="7915" width="9.109375" style="60" customWidth="1"/>
    <col min="7916" max="7916" width="10.88671875" style="60" customWidth="1"/>
    <col min="7917" max="7917" width="11.33203125" style="60" customWidth="1"/>
    <col min="7918" max="7918" width="16.33203125" style="60" customWidth="1"/>
    <col min="7919" max="7919" width="8.33203125" style="60" customWidth="1"/>
    <col min="7920" max="7920" width="10.33203125" style="60" customWidth="1"/>
    <col min="7921" max="7921" width="11.33203125" style="60" customWidth="1"/>
    <col min="7922" max="7922" width="9.6640625" style="60" customWidth="1"/>
    <col min="7923" max="8164" width="9.109375" style="60" customWidth="1"/>
    <col min="8165" max="8165" width="30.109375" style="60" customWidth="1"/>
    <col min="8166" max="8166" width="52.109375" style="60" customWidth="1"/>
    <col min="8167" max="8167" width="47.6640625" style="60" customWidth="1"/>
    <col min="8168" max="8168" width="13.33203125" style="60" customWidth="1"/>
    <col min="8169" max="8169" width="9.88671875" style="60" customWidth="1"/>
    <col min="8170" max="8170" width="17.109375" style="60" customWidth="1"/>
    <col min="8171" max="8171" width="9.109375" style="60" customWidth="1"/>
    <col min="8172" max="8172" width="10.88671875" style="60" customWidth="1"/>
    <col min="8173" max="8173" width="11.33203125" style="60" customWidth="1"/>
    <col min="8174" max="8174" width="16.33203125" style="60" customWidth="1"/>
    <col min="8175" max="8175" width="8.33203125" style="60" customWidth="1"/>
    <col min="8176" max="8176" width="10.33203125" style="60" customWidth="1"/>
    <col min="8177" max="8177" width="11.33203125" style="60" customWidth="1"/>
    <col min="8178" max="8178" width="9.6640625" style="60" customWidth="1"/>
    <col min="8179" max="8420" width="9.109375" style="60" customWidth="1"/>
    <col min="8421" max="8421" width="30.109375" style="60" customWidth="1"/>
    <col min="8422" max="8422" width="52.109375" style="60" customWidth="1"/>
    <col min="8423" max="8423" width="47.6640625" style="60" customWidth="1"/>
    <col min="8424" max="8424" width="13.33203125" style="60" customWidth="1"/>
    <col min="8425" max="8425" width="9.88671875" style="60" customWidth="1"/>
    <col min="8426" max="8426" width="17.109375" style="60" customWidth="1"/>
    <col min="8427" max="8427" width="9.109375" style="60" customWidth="1"/>
    <col min="8428" max="8428" width="10.88671875" style="60" customWidth="1"/>
    <col min="8429" max="8429" width="11.33203125" style="60" customWidth="1"/>
    <col min="8430" max="8430" width="16.33203125" style="60" customWidth="1"/>
    <col min="8431" max="8431" width="8.33203125" style="60" customWidth="1"/>
    <col min="8432" max="8432" width="10.33203125" style="60" customWidth="1"/>
    <col min="8433" max="8433" width="11.33203125" style="60" customWidth="1"/>
    <col min="8434" max="8434" width="9.6640625" style="60" customWidth="1"/>
    <col min="8435" max="8676" width="9.109375" style="60" customWidth="1"/>
    <col min="8677" max="8677" width="30.109375" style="60" customWidth="1"/>
    <col min="8678" max="8678" width="52.109375" style="60" customWidth="1"/>
    <col min="8679" max="8679" width="47.6640625" style="60" customWidth="1"/>
    <col min="8680" max="8680" width="13.33203125" style="60" customWidth="1"/>
    <col min="8681" max="8681" width="9.88671875" style="60" customWidth="1"/>
    <col min="8682" max="8682" width="17.109375" style="60" customWidth="1"/>
    <col min="8683" max="8683" width="9.109375" style="60" customWidth="1"/>
    <col min="8684" max="8684" width="10.88671875" style="60" customWidth="1"/>
    <col min="8685" max="8685" width="11.33203125" style="60" customWidth="1"/>
    <col min="8686" max="8686" width="16.33203125" style="60" customWidth="1"/>
    <col min="8687" max="8687" width="8.33203125" style="60" customWidth="1"/>
    <col min="8688" max="8688" width="10.33203125" style="60" customWidth="1"/>
    <col min="8689" max="8689" width="11.33203125" style="60" customWidth="1"/>
    <col min="8690" max="8690" width="9.6640625" style="60" customWidth="1"/>
    <col min="8691" max="8932" width="9.109375" style="60" customWidth="1"/>
    <col min="8933" max="8933" width="30.109375" style="60" customWidth="1"/>
    <col min="8934" max="8934" width="52.109375" style="60" customWidth="1"/>
    <col min="8935" max="8935" width="47.6640625" style="60" customWidth="1"/>
    <col min="8936" max="8936" width="13.33203125" style="60" customWidth="1"/>
    <col min="8937" max="8937" width="9.88671875" style="60" customWidth="1"/>
    <col min="8938" max="8938" width="17.109375" style="60" customWidth="1"/>
    <col min="8939" max="8939" width="9.109375" style="60" customWidth="1"/>
    <col min="8940" max="8940" width="10.88671875" style="60" customWidth="1"/>
    <col min="8941" max="8941" width="11.33203125" style="60" customWidth="1"/>
    <col min="8942" max="8942" width="16.33203125" style="60" customWidth="1"/>
    <col min="8943" max="8943" width="8.33203125" style="60" customWidth="1"/>
    <col min="8944" max="8944" width="10.33203125" style="60" customWidth="1"/>
    <col min="8945" max="8945" width="11.33203125" style="60" customWidth="1"/>
    <col min="8946" max="8946" width="9.6640625" style="60" customWidth="1"/>
    <col min="8947" max="9188" width="9.109375" style="60" customWidth="1"/>
    <col min="9189" max="9189" width="30.109375" style="60" customWidth="1"/>
    <col min="9190" max="9190" width="52.109375" style="60" customWidth="1"/>
    <col min="9191" max="9191" width="47.6640625" style="60" customWidth="1"/>
    <col min="9192" max="9192" width="13.33203125" style="60" customWidth="1"/>
    <col min="9193" max="9193" width="9.88671875" style="60" customWidth="1"/>
    <col min="9194" max="9194" width="17.109375" style="60" customWidth="1"/>
    <col min="9195" max="9195" width="9.109375" style="60" customWidth="1"/>
    <col min="9196" max="9196" width="10.88671875" style="60" customWidth="1"/>
    <col min="9197" max="9197" width="11.33203125" style="60" customWidth="1"/>
    <col min="9198" max="9198" width="16.33203125" style="60" customWidth="1"/>
    <col min="9199" max="9199" width="8.33203125" style="60" customWidth="1"/>
    <col min="9200" max="9200" width="10.33203125" style="60" customWidth="1"/>
    <col min="9201" max="9201" width="11.33203125" style="60" customWidth="1"/>
    <col min="9202" max="9202" width="9.6640625" style="60" customWidth="1"/>
    <col min="9203" max="9444" width="9.109375" style="60" customWidth="1"/>
    <col min="9445" max="9445" width="30.109375" style="60" customWidth="1"/>
    <col min="9446" max="9446" width="52.109375" style="60" customWidth="1"/>
    <col min="9447" max="9447" width="47.6640625" style="60" customWidth="1"/>
    <col min="9448" max="9448" width="13.33203125" style="60" customWidth="1"/>
    <col min="9449" max="9449" width="9.88671875" style="60" customWidth="1"/>
    <col min="9450" max="9450" width="17.109375" style="60" customWidth="1"/>
    <col min="9451" max="9451" width="9.109375" style="60" customWidth="1"/>
    <col min="9452" max="9452" width="10.88671875" style="60" customWidth="1"/>
    <col min="9453" max="9453" width="11.33203125" style="60" customWidth="1"/>
    <col min="9454" max="9454" width="16.33203125" style="60" customWidth="1"/>
    <col min="9455" max="9455" width="8.33203125" style="60" customWidth="1"/>
    <col min="9456" max="9456" width="10.33203125" style="60" customWidth="1"/>
    <col min="9457" max="9457" width="11.33203125" style="60" customWidth="1"/>
    <col min="9458" max="9458" width="9.6640625" style="60" customWidth="1"/>
    <col min="9459" max="9700" width="9.109375" style="60" customWidth="1"/>
    <col min="9701" max="9701" width="30.109375" style="60" customWidth="1"/>
    <col min="9702" max="9702" width="52.109375" style="60" customWidth="1"/>
    <col min="9703" max="9703" width="47.6640625" style="60" customWidth="1"/>
    <col min="9704" max="9704" width="13.33203125" style="60" customWidth="1"/>
    <col min="9705" max="9705" width="9.88671875" style="60" customWidth="1"/>
    <col min="9706" max="9706" width="17.109375" style="60" customWidth="1"/>
    <col min="9707" max="9707" width="9.109375" style="60" customWidth="1"/>
    <col min="9708" max="9708" width="10.88671875" style="60" customWidth="1"/>
    <col min="9709" max="9709" width="11.33203125" style="60" customWidth="1"/>
    <col min="9710" max="9710" width="16.33203125" style="60" customWidth="1"/>
    <col min="9711" max="9711" width="8.33203125" style="60" customWidth="1"/>
    <col min="9712" max="9712" width="10.33203125" style="60" customWidth="1"/>
    <col min="9713" max="9713" width="11.33203125" style="60" customWidth="1"/>
    <col min="9714" max="9714" width="9.6640625" style="60" customWidth="1"/>
    <col min="9715" max="9956" width="9.109375" style="60" customWidth="1"/>
    <col min="9957" max="9957" width="30.109375" style="60" customWidth="1"/>
    <col min="9958" max="9958" width="52.109375" style="60" customWidth="1"/>
    <col min="9959" max="9959" width="47.6640625" style="60" customWidth="1"/>
    <col min="9960" max="9960" width="13.33203125" style="60" customWidth="1"/>
    <col min="9961" max="9961" width="9.88671875" style="60" customWidth="1"/>
    <col min="9962" max="9962" width="17.109375" style="60" customWidth="1"/>
    <col min="9963" max="9963" width="9.109375" style="60" customWidth="1"/>
    <col min="9964" max="9964" width="10.88671875" style="60" customWidth="1"/>
    <col min="9965" max="9965" width="11.33203125" style="60" customWidth="1"/>
    <col min="9966" max="9966" width="16.33203125" style="60" customWidth="1"/>
    <col min="9967" max="9967" width="8.33203125" style="60" customWidth="1"/>
    <col min="9968" max="9968" width="10.33203125" style="60" customWidth="1"/>
    <col min="9969" max="9969" width="11.33203125" style="60" customWidth="1"/>
    <col min="9970" max="9970" width="9.6640625" style="60" customWidth="1"/>
    <col min="9971" max="10212" width="9.109375" style="60" customWidth="1"/>
    <col min="10213" max="10213" width="30.109375" style="60" customWidth="1"/>
    <col min="10214" max="10214" width="52.109375" style="60" customWidth="1"/>
    <col min="10215" max="10215" width="47.6640625" style="60" customWidth="1"/>
    <col min="10216" max="10216" width="13.33203125" style="60" customWidth="1"/>
    <col min="10217" max="10217" width="9.88671875" style="60" customWidth="1"/>
    <col min="10218" max="10218" width="17.109375" style="60" customWidth="1"/>
    <col min="10219" max="10219" width="9.109375" style="60" customWidth="1"/>
    <col min="10220" max="10220" width="10.88671875" style="60" customWidth="1"/>
    <col min="10221" max="10221" width="11.33203125" style="60" customWidth="1"/>
    <col min="10222" max="10222" width="16.33203125" style="60" customWidth="1"/>
    <col min="10223" max="10223" width="8.33203125" style="60" customWidth="1"/>
    <col min="10224" max="10224" width="10.33203125" style="60" customWidth="1"/>
    <col min="10225" max="10225" width="11.33203125" style="60" customWidth="1"/>
    <col min="10226" max="10226" width="9.6640625" style="60" customWidth="1"/>
    <col min="10227" max="10468" width="9.109375" style="60" customWidth="1"/>
    <col min="10469" max="10469" width="30.109375" style="60" customWidth="1"/>
    <col min="10470" max="10470" width="52.109375" style="60" customWidth="1"/>
    <col min="10471" max="10471" width="47.6640625" style="60" customWidth="1"/>
    <col min="10472" max="10472" width="13.33203125" style="60" customWidth="1"/>
    <col min="10473" max="10473" width="9.88671875" style="60" customWidth="1"/>
    <col min="10474" max="10474" width="17.109375" style="60" customWidth="1"/>
    <col min="10475" max="10475" width="9.109375" style="60" customWidth="1"/>
    <col min="10476" max="10476" width="10.88671875" style="60" customWidth="1"/>
    <col min="10477" max="10477" width="11.33203125" style="60" customWidth="1"/>
    <col min="10478" max="10478" width="16.33203125" style="60" customWidth="1"/>
    <col min="10479" max="10479" width="8.33203125" style="60" customWidth="1"/>
    <col min="10480" max="10480" width="10.33203125" style="60" customWidth="1"/>
    <col min="10481" max="10481" width="11.33203125" style="60" customWidth="1"/>
    <col min="10482" max="10482" width="9.6640625" style="60" customWidth="1"/>
    <col min="10483" max="10724" width="9.109375" style="60" customWidth="1"/>
    <col min="10725" max="10725" width="30.109375" style="60" customWidth="1"/>
    <col min="10726" max="10726" width="52.109375" style="60" customWidth="1"/>
    <col min="10727" max="10727" width="47.6640625" style="60" customWidth="1"/>
    <col min="10728" max="10728" width="13.33203125" style="60" customWidth="1"/>
    <col min="10729" max="10729" width="9.88671875" style="60" customWidth="1"/>
    <col min="10730" max="10730" width="17.109375" style="60" customWidth="1"/>
    <col min="10731" max="10731" width="9.109375" style="60" customWidth="1"/>
    <col min="10732" max="10732" width="10.88671875" style="60" customWidth="1"/>
    <col min="10733" max="10733" width="11.33203125" style="60" customWidth="1"/>
    <col min="10734" max="10734" width="16.33203125" style="60" customWidth="1"/>
    <col min="10735" max="10735" width="8.33203125" style="60" customWidth="1"/>
    <col min="10736" max="10736" width="10.33203125" style="60" customWidth="1"/>
    <col min="10737" max="10737" width="11.33203125" style="60" customWidth="1"/>
    <col min="10738" max="10738" width="9.6640625" style="60" customWidth="1"/>
    <col min="10739" max="10980" width="9.109375" style="60" customWidth="1"/>
    <col min="10981" max="10981" width="30.109375" style="60" customWidth="1"/>
    <col min="10982" max="10982" width="52.109375" style="60" customWidth="1"/>
    <col min="10983" max="10983" width="47.6640625" style="60" customWidth="1"/>
    <col min="10984" max="10984" width="13.33203125" style="60" customWidth="1"/>
    <col min="10985" max="10985" width="9.88671875" style="60" customWidth="1"/>
    <col min="10986" max="10986" width="17.109375" style="60" customWidth="1"/>
    <col min="10987" max="10987" width="9.109375" style="60" customWidth="1"/>
    <col min="10988" max="10988" width="10.88671875" style="60" customWidth="1"/>
    <col min="10989" max="10989" width="11.33203125" style="60" customWidth="1"/>
    <col min="10990" max="10990" width="16.33203125" style="60" customWidth="1"/>
    <col min="10991" max="10991" width="8.33203125" style="60" customWidth="1"/>
    <col min="10992" max="10992" width="10.33203125" style="60" customWidth="1"/>
    <col min="10993" max="10993" width="11.33203125" style="60" customWidth="1"/>
    <col min="10994" max="10994" width="9.6640625" style="60" customWidth="1"/>
    <col min="10995" max="11236" width="9.109375" style="60" customWidth="1"/>
    <col min="11237" max="11237" width="30.109375" style="60" customWidth="1"/>
    <col min="11238" max="11238" width="52.109375" style="60" customWidth="1"/>
    <col min="11239" max="11239" width="47.6640625" style="60" customWidth="1"/>
    <col min="11240" max="11240" width="13.33203125" style="60" customWidth="1"/>
    <col min="11241" max="11241" width="9.88671875" style="60" customWidth="1"/>
    <col min="11242" max="11242" width="17.109375" style="60" customWidth="1"/>
    <col min="11243" max="11243" width="9.109375" style="60" customWidth="1"/>
    <col min="11244" max="11244" width="10.88671875" style="60" customWidth="1"/>
    <col min="11245" max="11245" width="11.33203125" style="60" customWidth="1"/>
    <col min="11246" max="11246" width="16.33203125" style="60" customWidth="1"/>
    <col min="11247" max="11247" width="8.33203125" style="60" customWidth="1"/>
    <col min="11248" max="11248" width="10.33203125" style="60" customWidth="1"/>
    <col min="11249" max="11249" width="11.33203125" style="60" customWidth="1"/>
    <col min="11250" max="11250" width="9.6640625" style="60" customWidth="1"/>
    <col min="11251" max="11492" width="9.109375" style="60" customWidth="1"/>
    <col min="11493" max="11493" width="30.109375" style="60" customWidth="1"/>
    <col min="11494" max="11494" width="52.109375" style="60" customWidth="1"/>
    <col min="11495" max="11495" width="47.6640625" style="60" customWidth="1"/>
    <col min="11496" max="11496" width="13.33203125" style="60" customWidth="1"/>
    <col min="11497" max="11497" width="9.88671875" style="60" customWidth="1"/>
    <col min="11498" max="11498" width="17.109375" style="60" customWidth="1"/>
    <col min="11499" max="11499" width="9.109375" style="60" customWidth="1"/>
    <col min="11500" max="11500" width="10.88671875" style="60" customWidth="1"/>
    <col min="11501" max="11501" width="11.33203125" style="60" customWidth="1"/>
    <col min="11502" max="11502" width="16.33203125" style="60" customWidth="1"/>
    <col min="11503" max="11503" width="8.33203125" style="60" customWidth="1"/>
    <col min="11504" max="11504" width="10.33203125" style="60" customWidth="1"/>
    <col min="11505" max="11505" width="11.33203125" style="60" customWidth="1"/>
    <col min="11506" max="11506" width="9.6640625" style="60" customWidth="1"/>
    <col min="11507" max="11748" width="9.109375" style="60" customWidth="1"/>
    <col min="11749" max="11749" width="30.109375" style="60" customWidth="1"/>
    <col min="11750" max="11750" width="52.109375" style="60" customWidth="1"/>
    <col min="11751" max="11751" width="47.6640625" style="60" customWidth="1"/>
    <col min="11752" max="11752" width="13.33203125" style="60" customWidth="1"/>
    <col min="11753" max="11753" width="9.88671875" style="60" customWidth="1"/>
    <col min="11754" max="11754" width="17.109375" style="60" customWidth="1"/>
    <col min="11755" max="11755" width="9.109375" style="60" customWidth="1"/>
    <col min="11756" max="11756" width="10.88671875" style="60" customWidth="1"/>
    <col min="11757" max="11757" width="11.33203125" style="60" customWidth="1"/>
    <col min="11758" max="11758" width="16.33203125" style="60" customWidth="1"/>
    <col min="11759" max="11759" width="8.33203125" style="60" customWidth="1"/>
    <col min="11760" max="11760" width="10.33203125" style="60" customWidth="1"/>
    <col min="11761" max="11761" width="11.33203125" style="60" customWidth="1"/>
    <col min="11762" max="11762" width="9.6640625" style="60" customWidth="1"/>
    <col min="11763" max="12004" width="9.109375" style="60" customWidth="1"/>
    <col min="12005" max="12005" width="30.109375" style="60" customWidth="1"/>
    <col min="12006" max="12006" width="52.109375" style="60" customWidth="1"/>
    <col min="12007" max="12007" width="47.6640625" style="60" customWidth="1"/>
    <col min="12008" max="12008" width="13.33203125" style="60" customWidth="1"/>
    <col min="12009" max="12009" width="9.88671875" style="60" customWidth="1"/>
    <col min="12010" max="12010" width="17.109375" style="60" customWidth="1"/>
    <col min="12011" max="12011" width="9.109375" style="60" customWidth="1"/>
    <col min="12012" max="12012" width="10.88671875" style="60" customWidth="1"/>
    <col min="12013" max="12013" width="11.33203125" style="60" customWidth="1"/>
    <col min="12014" max="12014" width="16.33203125" style="60" customWidth="1"/>
    <col min="12015" max="12015" width="8.33203125" style="60" customWidth="1"/>
    <col min="12016" max="12016" width="10.33203125" style="60" customWidth="1"/>
    <col min="12017" max="12017" width="11.33203125" style="60" customWidth="1"/>
    <col min="12018" max="12018" width="9.6640625" style="60" customWidth="1"/>
    <col min="12019" max="12260" width="9.109375" style="60" customWidth="1"/>
    <col min="12261" max="12261" width="30.109375" style="60" customWidth="1"/>
    <col min="12262" max="12262" width="52.109375" style="60" customWidth="1"/>
    <col min="12263" max="12263" width="47.6640625" style="60" customWidth="1"/>
    <col min="12264" max="12264" width="13.33203125" style="60" customWidth="1"/>
    <col min="12265" max="12265" width="9.88671875" style="60" customWidth="1"/>
    <col min="12266" max="12266" width="17.109375" style="60" customWidth="1"/>
    <col min="12267" max="12267" width="9.109375" style="60" customWidth="1"/>
    <col min="12268" max="12268" width="10.88671875" style="60" customWidth="1"/>
    <col min="12269" max="12269" width="11.33203125" style="60" customWidth="1"/>
    <col min="12270" max="12270" width="16.33203125" style="60" customWidth="1"/>
    <col min="12271" max="12271" width="8.33203125" style="60" customWidth="1"/>
    <col min="12272" max="12272" width="10.33203125" style="60" customWidth="1"/>
    <col min="12273" max="12273" width="11.33203125" style="60" customWidth="1"/>
    <col min="12274" max="12274" width="9.6640625" style="60" customWidth="1"/>
    <col min="12275" max="12516" width="9.109375" style="60" customWidth="1"/>
    <col min="12517" max="12517" width="30.109375" style="60" customWidth="1"/>
    <col min="12518" max="12518" width="52.109375" style="60" customWidth="1"/>
    <col min="12519" max="12519" width="47.6640625" style="60" customWidth="1"/>
    <col min="12520" max="12520" width="13.33203125" style="60" customWidth="1"/>
    <col min="12521" max="12521" width="9.88671875" style="60" customWidth="1"/>
    <col min="12522" max="12522" width="17.109375" style="60" customWidth="1"/>
    <col min="12523" max="12523" width="9.109375" style="60" customWidth="1"/>
    <col min="12524" max="12524" width="10.88671875" style="60" customWidth="1"/>
    <col min="12525" max="12525" width="11.33203125" style="60" customWidth="1"/>
    <col min="12526" max="12526" width="16.33203125" style="60" customWidth="1"/>
    <col min="12527" max="12527" width="8.33203125" style="60" customWidth="1"/>
    <col min="12528" max="12528" width="10.33203125" style="60" customWidth="1"/>
    <col min="12529" max="12529" width="11.33203125" style="60" customWidth="1"/>
    <col min="12530" max="12530" width="9.6640625" style="60" customWidth="1"/>
    <col min="12531" max="12772" width="9.109375" style="60" customWidth="1"/>
    <col min="12773" max="12773" width="30.109375" style="60" customWidth="1"/>
    <col min="12774" max="12774" width="52.109375" style="60" customWidth="1"/>
    <col min="12775" max="12775" width="47.6640625" style="60" customWidth="1"/>
    <col min="12776" max="12776" width="13.33203125" style="60" customWidth="1"/>
    <col min="12777" max="12777" width="9.88671875" style="60" customWidth="1"/>
    <col min="12778" max="12778" width="17.109375" style="60" customWidth="1"/>
    <col min="12779" max="12779" width="9.109375" style="60" customWidth="1"/>
    <col min="12780" max="12780" width="10.88671875" style="60" customWidth="1"/>
    <col min="12781" max="12781" width="11.33203125" style="60" customWidth="1"/>
    <col min="12782" max="12782" width="16.33203125" style="60" customWidth="1"/>
    <col min="12783" max="12783" width="8.33203125" style="60" customWidth="1"/>
    <col min="12784" max="12784" width="10.33203125" style="60" customWidth="1"/>
    <col min="12785" max="12785" width="11.33203125" style="60" customWidth="1"/>
    <col min="12786" max="12786" width="9.6640625" style="60" customWidth="1"/>
    <col min="12787" max="13028" width="9.109375" style="60" customWidth="1"/>
    <col min="13029" max="13029" width="30.109375" style="60" customWidth="1"/>
    <col min="13030" max="13030" width="52.109375" style="60" customWidth="1"/>
    <col min="13031" max="13031" width="47.6640625" style="60" customWidth="1"/>
    <col min="13032" max="13032" width="13.33203125" style="60" customWidth="1"/>
    <col min="13033" max="13033" width="9.88671875" style="60" customWidth="1"/>
    <col min="13034" max="13034" width="17.109375" style="60" customWidth="1"/>
    <col min="13035" max="13035" width="9.109375" style="60" customWidth="1"/>
    <col min="13036" max="13036" width="10.88671875" style="60" customWidth="1"/>
    <col min="13037" max="13037" width="11.33203125" style="60" customWidth="1"/>
    <col min="13038" max="13038" width="16.33203125" style="60" customWidth="1"/>
    <col min="13039" max="13039" width="8.33203125" style="60" customWidth="1"/>
    <col min="13040" max="13040" width="10.33203125" style="60" customWidth="1"/>
    <col min="13041" max="13041" width="11.33203125" style="60" customWidth="1"/>
    <col min="13042" max="13042" width="9.6640625" style="60" customWidth="1"/>
    <col min="13043" max="13284" width="9.109375" style="60" customWidth="1"/>
    <col min="13285" max="13285" width="30.109375" style="60" customWidth="1"/>
    <col min="13286" max="13286" width="52.109375" style="60" customWidth="1"/>
    <col min="13287" max="13287" width="47.6640625" style="60" customWidth="1"/>
    <col min="13288" max="13288" width="13.33203125" style="60" customWidth="1"/>
    <col min="13289" max="13289" width="9.88671875" style="60" customWidth="1"/>
    <col min="13290" max="13290" width="17.109375" style="60" customWidth="1"/>
    <col min="13291" max="13291" width="9.109375" style="60" customWidth="1"/>
    <col min="13292" max="13292" width="10.88671875" style="60" customWidth="1"/>
    <col min="13293" max="13293" width="11.33203125" style="60" customWidth="1"/>
    <col min="13294" max="13294" width="16.33203125" style="60" customWidth="1"/>
    <col min="13295" max="13295" width="8.33203125" style="60" customWidth="1"/>
    <col min="13296" max="13296" width="10.33203125" style="60" customWidth="1"/>
    <col min="13297" max="13297" width="11.33203125" style="60" customWidth="1"/>
    <col min="13298" max="13298" width="9.6640625" style="60" customWidth="1"/>
    <col min="13299" max="13540" width="9.109375" style="60" customWidth="1"/>
    <col min="13541" max="13541" width="30.109375" style="60" customWidth="1"/>
    <col min="13542" max="13542" width="52.109375" style="60" customWidth="1"/>
    <col min="13543" max="13543" width="47.6640625" style="60" customWidth="1"/>
    <col min="13544" max="13544" width="13.33203125" style="60" customWidth="1"/>
    <col min="13545" max="13545" width="9.88671875" style="60" customWidth="1"/>
    <col min="13546" max="13546" width="17.109375" style="60" customWidth="1"/>
    <col min="13547" max="13547" width="9.109375" style="60" customWidth="1"/>
    <col min="13548" max="13548" width="10.88671875" style="60" customWidth="1"/>
    <col min="13549" max="13549" width="11.33203125" style="60" customWidth="1"/>
    <col min="13550" max="13550" width="16.33203125" style="60" customWidth="1"/>
    <col min="13551" max="13551" width="8.33203125" style="60" customWidth="1"/>
    <col min="13552" max="13552" width="10.33203125" style="60" customWidth="1"/>
    <col min="13553" max="13553" width="11.33203125" style="60" customWidth="1"/>
    <col min="13554" max="13554" width="9.6640625" style="60" customWidth="1"/>
    <col min="13555" max="13796" width="9.109375" style="60" customWidth="1"/>
    <col min="13797" max="13797" width="30.109375" style="60" customWidth="1"/>
    <col min="13798" max="13798" width="52.109375" style="60" customWidth="1"/>
    <col min="13799" max="13799" width="47.6640625" style="60" customWidth="1"/>
    <col min="13800" max="13800" width="13.33203125" style="60" customWidth="1"/>
    <col min="13801" max="13801" width="9.88671875" style="60" customWidth="1"/>
    <col min="13802" max="13802" width="17.109375" style="60" customWidth="1"/>
    <col min="13803" max="13803" width="9.109375" style="60" customWidth="1"/>
    <col min="13804" max="13804" width="10.88671875" style="60" customWidth="1"/>
    <col min="13805" max="13805" width="11.33203125" style="60" customWidth="1"/>
    <col min="13806" max="13806" width="16.33203125" style="60" customWidth="1"/>
    <col min="13807" max="13807" width="8.33203125" style="60" customWidth="1"/>
    <col min="13808" max="13808" width="10.33203125" style="60" customWidth="1"/>
    <col min="13809" max="13809" width="11.33203125" style="60" customWidth="1"/>
    <col min="13810" max="13810" width="9.6640625" style="60" customWidth="1"/>
    <col min="13811" max="14052" width="9.109375" style="60" customWidth="1"/>
    <col min="14053" max="14053" width="30.109375" style="60" customWidth="1"/>
    <col min="14054" max="14054" width="52.109375" style="60" customWidth="1"/>
    <col min="14055" max="14055" width="47.6640625" style="60" customWidth="1"/>
    <col min="14056" max="14056" width="13.33203125" style="60" customWidth="1"/>
    <col min="14057" max="14057" width="9.88671875" style="60" customWidth="1"/>
    <col min="14058" max="14058" width="17.109375" style="60" customWidth="1"/>
    <col min="14059" max="14059" width="9.109375" style="60" customWidth="1"/>
    <col min="14060" max="14060" width="10.88671875" style="60" customWidth="1"/>
    <col min="14061" max="14061" width="11.33203125" style="60" customWidth="1"/>
    <col min="14062" max="14062" width="16.33203125" style="60" customWidth="1"/>
    <col min="14063" max="14063" width="8.33203125" style="60" customWidth="1"/>
    <col min="14064" max="14064" width="10.33203125" style="60" customWidth="1"/>
    <col min="14065" max="14065" width="11.33203125" style="60" customWidth="1"/>
    <col min="14066" max="14066" width="9.6640625" style="60" customWidth="1"/>
    <col min="14067" max="14308" width="9.109375" style="60" customWidth="1"/>
    <col min="14309" max="14309" width="30.109375" style="60" customWidth="1"/>
    <col min="14310" max="14310" width="52.109375" style="60" customWidth="1"/>
    <col min="14311" max="14311" width="47.6640625" style="60" customWidth="1"/>
    <col min="14312" max="14312" width="13.33203125" style="60" customWidth="1"/>
    <col min="14313" max="14313" width="9.88671875" style="60" customWidth="1"/>
    <col min="14314" max="14314" width="17.109375" style="60" customWidth="1"/>
    <col min="14315" max="14315" width="9.109375" style="60" customWidth="1"/>
    <col min="14316" max="14316" width="10.88671875" style="60" customWidth="1"/>
    <col min="14317" max="14317" width="11.33203125" style="60" customWidth="1"/>
    <col min="14318" max="14318" width="16.33203125" style="60" customWidth="1"/>
    <col min="14319" max="14319" width="8.33203125" style="60" customWidth="1"/>
    <col min="14320" max="14320" width="10.33203125" style="60" customWidth="1"/>
    <col min="14321" max="14321" width="11.33203125" style="60" customWidth="1"/>
    <col min="14322" max="14322" width="9.6640625" style="60" customWidth="1"/>
    <col min="14323" max="14564" width="9.109375" style="60" customWidth="1"/>
    <col min="14565" max="14565" width="30.109375" style="60" customWidth="1"/>
    <col min="14566" max="14566" width="52.109375" style="60" customWidth="1"/>
    <col min="14567" max="14567" width="47.6640625" style="60" customWidth="1"/>
    <col min="14568" max="14568" width="13.33203125" style="60" customWidth="1"/>
    <col min="14569" max="14569" width="9.88671875" style="60" customWidth="1"/>
    <col min="14570" max="14570" width="17.109375" style="60" customWidth="1"/>
    <col min="14571" max="14571" width="9.109375" style="60" customWidth="1"/>
    <col min="14572" max="14572" width="10.88671875" style="60" customWidth="1"/>
    <col min="14573" max="14573" width="11.33203125" style="60" customWidth="1"/>
    <col min="14574" max="14574" width="16.33203125" style="60" customWidth="1"/>
    <col min="14575" max="14575" width="8.33203125" style="60" customWidth="1"/>
    <col min="14576" max="14576" width="10.33203125" style="60" customWidth="1"/>
    <col min="14577" max="14577" width="11.33203125" style="60" customWidth="1"/>
    <col min="14578" max="14578" width="9.6640625" style="60" customWidth="1"/>
    <col min="14579" max="14820" width="9.109375" style="60" customWidth="1"/>
    <col min="14821" max="14821" width="30.109375" style="60" customWidth="1"/>
    <col min="14822" max="14822" width="52.109375" style="60" customWidth="1"/>
    <col min="14823" max="14823" width="47.6640625" style="60" customWidth="1"/>
    <col min="14824" max="14824" width="13.33203125" style="60" customWidth="1"/>
    <col min="14825" max="14825" width="9.88671875" style="60" customWidth="1"/>
    <col min="14826" max="14826" width="17.109375" style="60" customWidth="1"/>
    <col min="14827" max="14827" width="9.109375" style="60" customWidth="1"/>
    <col min="14828" max="14828" width="10.88671875" style="60" customWidth="1"/>
    <col min="14829" max="14829" width="11.33203125" style="60" customWidth="1"/>
    <col min="14830" max="14830" width="16.33203125" style="60" customWidth="1"/>
    <col min="14831" max="14831" width="8.33203125" style="60" customWidth="1"/>
    <col min="14832" max="14832" width="10.33203125" style="60" customWidth="1"/>
    <col min="14833" max="14833" width="11.33203125" style="60" customWidth="1"/>
    <col min="14834" max="14834" width="9.6640625" style="60" customWidth="1"/>
    <col min="14835" max="15076" width="9.109375" style="60" customWidth="1"/>
    <col min="15077" max="15077" width="30.109375" style="60" customWidth="1"/>
    <col min="15078" max="15078" width="52.109375" style="60" customWidth="1"/>
    <col min="15079" max="15079" width="47.6640625" style="60" customWidth="1"/>
    <col min="15080" max="15080" width="13.33203125" style="60" customWidth="1"/>
    <col min="15081" max="15081" width="9.88671875" style="60" customWidth="1"/>
    <col min="15082" max="15082" width="17.109375" style="60" customWidth="1"/>
    <col min="15083" max="15083" width="9.109375" style="60" customWidth="1"/>
    <col min="15084" max="15084" width="10.88671875" style="60" customWidth="1"/>
    <col min="15085" max="15085" width="11.33203125" style="60" customWidth="1"/>
    <col min="15086" max="15086" width="16.33203125" style="60" customWidth="1"/>
    <col min="15087" max="15087" width="8.33203125" style="60" customWidth="1"/>
    <col min="15088" max="15088" width="10.33203125" style="60" customWidth="1"/>
    <col min="15089" max="15089" width="11.33203125" style="60" customWidth="1"/>
    <col min="15090" max="15090" width="9.6640625" style="60" customWidth="1"/>
    <col min="15091" max="15332" width="9.109375" style="60" customWidth="1"/>
    <col min="15333" max="15333" width="30.109375" style="60" customWidth="1"/>
    <col min="15334" max="15334" width="52.109375" style="60" customWidth="1"/>
    <col min="15335" max="15335" width="47.6640625" style="60" customWidth="1"/>
    <col min="15336" max="15336" width="13.33203125" style="60" customWidth="1"/>
    <col min="15337" max="15337" width="9.88671875" style="60" customWidth="1"/>
    <col min="15338" max="15338" width="17.109375" style="60" customWidth="1"/>
    <col min="15339" max="15339" width="9.109375" style="60" customWidth="1"/>
    <col min="15340" max="15340" width="10.88671875" style="60" customWidth="1"/>
    <col min="15341" max="15341" width="11.33203125" style="60" customWidth="1"/>
    <col min="15342" max="15342" width="16.33203125" style="60" customWidth="1"/>
    <col min="15343" max="15343" width="8.33203125" style="60" customWidth="1"/>
    <col min="15344" max="15344" width="10.33203125" style="60" customWidth="1"/>
    <col min="15345" max="15345" width="11.33203125" style="60" customWidth="1"/>
    <col min="15346" max="15346" width="9.6640625" style="60" customWidth="1"/>
    <col min="15347" max="15588" width="9.109375" style="60" customWidth="1"/>
    <col min="15589" max="15589" width="30.109375" style="60" customWidth="1"/>
    <col min="15590" max="15590" width="52.109375" style="60" customWidth="1"/>
    <col min="15591" max="15591" width="47.6640625" style="60" customWidth="1"/>
    <col min="15592" max="15592" width="13.33203125" style="60" customWidth="1"/>
    <col min="15593" max="15593" width="9.88671875" style="60" customWidth="1"/>
    <col min="15594" max="15594" width="17.109375" style="60" customWidth="1"/>
    <col min="15595" max="15595" width="9.109375" style="60" customWidth="1"/>
    <col min="15596" max="15596" width="10.88671875" style="60" customWidth="1"/>
    <col min="15597" max="15597" width="11.33203125" style="60" customWidth="1"/>
    <col min="15598" max="15598" width="16.33203125" style="60" customWidth="1"/>
    <col min="15599" max="15599" width="8.33203125" style="60" customWidth="1"/>
    <col min="15600" max="15600" width="10.33203125" style="60" customWidth="1"/>
    <col min="15601" max="15601" width="11.33203125" style="60" customWidth="1"/>
    <col min="15602" max="15602" width="9.6640625" style="60" customWidth="1"/>
    <col min="15603" max="15844" width="9.109375" style="60" customWidth="1"/>
    <col min="15845" max="15845" width="30.109375" style="60" customWidth="1"/>
    <col min="15846" max="15846" width="52.109375" style="60" customWidth="1"/>
    <col min="15847" max="15847" width="47.6640625" style="60" customWidth="1"/>
    <col min="15848" max="15848" width="13.33203125" style="60" customWidth="1"/>
    <col min="15849" max="15849" width="9.88671875" style="60" customWidth="1"/>
    <col min="15850" max="15850" width="17.109375" style="60" customWidth="1"/>
    <col min="15851" max="15851" width="9.109375" style="60" customWidth="1"/>
    <col min="15852" max="15852" width="10.88671875" style="60" customWidth="1"/>
    <col min="15853" max="15853" width="11.33203125" style="60" customWidth="1"/>
    <col min="15854" max="15854" width="16.33203125" style="60" customWidth="1"/>
    <col min="15855" max="15855" width="8.33203125" style="60" customWidth="1"/>
    <col min="15856" max="15856" width="10.33203125" style="60" customWidth="1"/>
    <col min="15857" max="15857" width="11.33203125" style="60" customWidth="1"/>
    <col min="15858" max="15858" width="9.6640625" style="60" customWidth="1"/>
    <col min="15859" max="16100" width="9.109375" style="60" customWidth="1"/>
    <col min="16101" max="16101" width="30.109375" style="60" customWidth="1"/>
    <col min="16102" max="16102" width="52.109375" style="60" customWidth="1"/>
    <col min="16103" max="16103" width="47.6640625" style="60" customWidth="1"/>
    <col min="16104" max="16104" width="13.33203125" style="60" customWidth="1"/>
    <col min="16105" max="16105" width="9.88671875" style="60" customWidth="1"/>
    <col min="16106" max="16106" width="17.109375" style="60" customWidth="1"/>
    <col min="16107" max="16107" width="9.109375" style="60" customWidth="1"/>
    <col min="16108" max="16108" width="10.88671875" style="60" customWidth="1"/>
    <col min="16109" max="16109" width="11.33203125" style="60" customWidth="1"/>
    <col min="16110" max="16110" width="16.33203125" style="60" customWidth="1"/>
    <col min="16111" max="16111" width="8.33203125" style="60" customWidth="1"/>
    <col min="16112" max="16112" width="10.33203125" style="60" customWidth="1"/>
    <col min="16113" max="16113" width="11.33203125" style="60" customWidth="1"/>
    <col min="16114" max="16114" width="9.6640625" style="60" customWidth="1"/>
    <col min="16115" max="16384" width="9.109375" style="60" customWidth="1"/>
  </cols>
  <sheetData>
    <row r="1" spans="1:16" x14ac:dyDescent="0.3">
      <c r="A1" s="170" t="s">
        <v>142</v>
      </c>
      <c r="B1" s="204" t="s">
        <v>143</v>
      </c>
      <c r="C1" s="170" t="s">
        <v>144</v>
      </c>
      <c r="D1" s="170" t="s">
        <v>145</v>
      </c>
      <c r="E1" s="170" t="s">
        <v>146</v>
      </c>
      <c r="F1" s="170" t="s">
        <v>147</v>
      </c>
      <c r="G1" s="170" t="s">
        <v>148</v>
      </c>
      <c r="H1" s="170" t="s">
        <v>149</v>
      </c>
      <c r="I1" s="172" t="s">
        <v>150</v>
      </c>
      <c r="J1" s="172" t="s">
        <v>151</v>
      </c>
      <c r="K1" s="170" t="s">
        <v>152</v>
      </c>
      <c r="L1" s="172" t="s">
        <v>127</v>
      </c>
      <c r="M1" s="205" t="s">
        <v>81</v>
      </c>
      <c r="N1" s="205" t="s">
        <v>127</v>
      </c>
      <c r="O1" s="205" t="s">
        <v>81</v>
      </c>
      <c r="P1" s="205" t="s">
        <v>127</v>
      </c>
    </row>
    <row r="2" spans="1:16" x14ac:dyDescent="0.3">
      <c r="A2" s="314">
        <v>93537</v>
      </c>
      <c r="B2" s="315" t="s">
        <v>590</v>
      </c>
      <c r="C2" s="316" t="s">
        <v>591</v>
      </c>
      <c r="D2" s="316" t="s">
        <v>169</v>
      </c>
      <c r="E2" s="316" t="s">
        <v>173</v>
      </c>
      <c r="F2" s="316" t="s">
        <v>174</v>
      </c>
      <c r="G2" s="316" t="s">
        <v>472</v>
      </c>
      <c r="H2" s="316" t="s">
        <v>173</v>
      </c>
      <c r="I2" s="317">
        <v>3000</v>
      </c>
      <c r="J2" s="317"/>
      <c r="K2" s="316" t="s">
        <v>592</v>
      </c>
      <c r="L2" s="192">
        <f>I2+J2*EERR!$D$2</f>
        <v>3000</v>
      </c>
      <c r="M2" s="123">
        <f>L2/EERR!$D$2</f>
        <v>4.7656870532168387</v>
      </c>
      <c r="N2" s="123">
        <f>SUMIF(Oct!$B$3:$B$89,A2,Oct!$T$3:$T$89)</f>
        <v>0</v>
      </c>
    </row>
    <row r="3" spans="1:16" x14ac:dyDescent="0.3">
      <c r="A3" s="314">
        <v>5189</v>
      </c>
      <c r="B3" s="315" t="s">
        <v>593</v>
      </c>
      <c r="C3" s="316" t="s">
        <v>594</v>
      </c>
      <c r="D3" s="316" t="s">
        <v>169</v>
      </c>
      <c r="E3" s="316" t="s">
        <v>170</v>
      </c>
      <c r="F3" s="316" t="s">
        <v>174</v>
      </c>
      <c r="G3" s="316" t="s">
        <v>595</v>
      </c>
      <c r="H3" s="316" t="s">
        <v>172</v>
      </c>
      <c r="I3" s="317"/>
      <c r="J3" s="317">
        <v>780</v>
      </c>
      <c r="K3" s="316" t="s">
        <v>596</v>
      </c>
      <c r="L3" s="192">
        <f>I3+J3*EERR!$D$2</f>
        <v>491010</v>
      </c>
      <c r="M3" s="123">
        <f>L3/EERR!$D$2</f>
        <v>780</v>
      </c>
      <c r="N3" s="123">
        <f>SUMIF(Oct!$B$3:$B$89,A3,Oct!$T$3:$T$89)</f>
        <v>613762.5</v>
      </c>
    </row>
    <row r="4" spans="1:16" x14ac:dyDescent="0.3">
      <c r="A4" s="314">
        <v>40421</v>
      </c>
      <c r="B4" s="315" t="s">
        <v>597</v>
      </c>
      <c r="C4" s="316" t="s">
        <v>594</v>
      </c>
      <c r="D4" s="316" t="s">
        <v>169</v>
      </c>
      <c r="E4" s="316" t="s">
        <v>170</v>
      </c>
      <c r="F4" s="316" t="s">
        <v>175</v>
      </c>
      <c r="G4" s="316" t="s">
        <v>598</v>
      </c>
      <c r="H4" s="316" t="s">
        <v>172</v>
      </c>
      <c r="I4" s="317"/>
      <c r="J4" s="317">
        <v>351</v>
      </c>
      <c r="K4" s="316" t="s">
        <v>599</v>
      </c>
      <c r="L4" s="192">
        <f>I4+J4*EERR!$D$2</f>
        <v>220954.5</v>
      </c>
      <c r="M4" s="123">
        <f>L4/EERR!$D$2</f>
        <v>351</v>
      </c>
      <c r="N4" s="123">
        <f>SUMIF(Oct!$B$3:$B$89,A4,Oct!$T$3:$T$89)</f>
        <v>552386.25</v>
      </c>
    </row>
    <row r="5" spans="1:16" x14ac:dyDescent="0.3">
      <c r="A5" s="314">
        <v>6776</v>
      </c>
      <c r="B5" s="315" t="s">
        <v>600</v>
      </c>
      <c r="C5" s="316" t="s">
        <v>594</v>
      </c>
      <c r="D5" s="316" t="s">
        <v>169</v>
      </c>
      <c r="E5" s="316" t="s">
        <v>170</v>
      </c>
      <c r="F5" s="316" t="s">
        <v>175</v>
      </c>
      <c r="G5" s="316" t="s">
        <v>601</v>
      </c>
      <c r="H5" s="316" t="s">
        <v>172</v>
      </c>
      <c r="I5" s="317"/>
      <c r="J5" s="317">
        <v>185.25</v>
      </c>
      <c r="K5" s="316" t="s">
        <v>602</v>
      </c>
      <c r="L5" s="192">
        <f>I5+J5*EERR!$D$2</f>
        <v>116614.875</v>
      </c>
      <c r="M5" s="123">
        <f>L5/EERR!$D$2</f>
        <v>185.25</v>
      </c>
      <c r="N5" s="123">
        <f>SUMIF(Oct!$B$3:$B$89,A5,Oct!$T$3:$T$89)</f>
        <v>349529.875</v>
      </c>
    </row>
    <row r="6" spans="1:16" x14ac:dyDescent="0.3">
      <c r="A6" s="314">
        <v>6776</v>
      </c>
      <c r="B6" s="315" t="s">
        <v>603</v>
      </c>
      <c r="C6" s="316" t="s">
        <v>594</v>
      </c>
      <c r="D6" s="316" t="s">
        <v>169</v>
      </c>
      <c r="E6" s="316" t="s">
        <v>170</v>
      </c>
      <c r="F6" s="316" t="s">
        <v>175</v>
      </c>
      <c r="G6" s="316" t="s">
        <v>601</v>
      </c>
      <c r="H6" s="316" t="s">
        <v>172</v>
      </c>
      <c r="I6" s="317"/>
      <c r="J6" s="317">
        <v>185.25</v>
      </c>
      <c r="K6" s="316" t="s">
        <v>604</v>
      </c>
      <c r="L6" s="192">
        <f>I6+J6*EERR!$D$2</f>
        <v>116614.875</v>
      </c>
      <c r="M6" s="123">
        <f>L6/EERR!$D$2</f>
        <v>185.25</v>
      </c>
      <c r="N6" s="123">
        <f>SUMIF(Oct!$B$3:$B$89,A6,Oct!$T$3:$T$89)</f>
        <v>349529.875</v>
      </c>
    </row>
    <row r="7" spans="1:16" x14ac:dyDescent="0.3">
      <c r="A7" s="314">
        <v>6776</v>
      </c>
      <c r="B7" s="315" t="s">
        <v>1236</v>
      </c>
      <c r="C7" s="316" t="s">
        <v>594</v>
      </c>
      <c r="D7" s="316" t="s">
        <v>169</v>
      </c>
      <c r="E7" s="316" t="s">
        <v>1237</v>
      </c>
      <c r="F7" s="316" t="s">
        <v>175</v>
      </c>
      <c r="G7" s="316" t="s">
        <v>601</v>
      </c>
      <c r="H7" s="316" t="s">
        <v>172</v>
      </c>
      <c r="I7" s="317"/>
      <c r="J7" s="317">
        <v>-185.25</v>
      </c>
      <c r="K7" s="316" t="s">
        <v>602</v>
      </c>
      <c r="L7" s="192">
        <v>-115881.28499999999</v>
      </c>
      <c r="M7" s="123">
        <v>-185.25</v>
      </c>
      <c r="N7" s="123">
        <v>104621435.0226</v>
      </c>
    </row>
    <row r="8" spans="1:16" x14ac:dyDescent="0.3">
      <c r="A8" s="314">
        <v>90202</v>
      </c>
      <c r="B8" s="315" t="s">
        <v>605</v>
      </c>
      <c r="C8" s="316" t="s">
        <v>594</v>
      </c>
      <c r="D8" s="316" t="s">
        <v>169</v>
      </c>
      <c r="E8" s="316" t="s">
        <v>170</v>
      </c>
      <c r="F8" s="316" t="s">
        <v>175</v>
      </c>
      <c r="G8" s="316" t="s">
        <v>466</v>
      </c>
      <c r="H8" s="316" t="s">
        <v>172</v>
      </c>
      <c r="I8" s="317"/>
      <c r="J8" s="317">
        <v>610</v>
      </c>
      <c r="K8" s="316" t="s">
        <v>606</v>
      </c>
      <c r="L8" s="192">
        <f>I8+J8*EERR!$D$2</f>
        <v>383995</v>
      </c>
      <c r="M8" s="123">
        <f>L8/EERR!$D$2</f>
        <v>610</v>
      </c>
      <c r="N8" s="123">
        <f>SUMIF(Oct!$B$3:$B$89,A8,Oct!$T$3:$T$89)</f>
        <v>506747.5</v>
      </c>
    </row>
    <row r="9" spans="1:16" x14ac:dyDescent="0.3">
      <c r="A9" s="314">
        <v>80373</v>
      </c>
      <c r="B9" s="315" t="s">
        <v>607</v>
      </c>
      <c r="C9" s="316" t="s">
        <v>594</v>
      </c>
      <c r="D9" s="316" t="s">
        <v>169</v>
      </c>
      <c r="E9" s="316" t="s">
        <v>170</v>
      </c>
      <c r="F9" s="316" t="s">
        <v>174</v>
      </c>
      <c r="G9" s="316" t="s">
        <v>463</v>
      </c>
      <c r="H9" s="316" t="s">
        <v>172</v>
      </c>
      <c r="I9" s="317"/>
      <c r="J9" s="317">
        <v>610</v>
      </c>
      <c r="K9" s="316" t="s">
        <v>608</v>
      </c>
      <c r="L9" s="192">
        <f>I9+J9*EERR!$D$2</f>
        <v>383995</v>
      </c>
      <c r="M9" s="123">
        <f>L9/EERR!$D$2</f>
        <v>610</v>
      </c>
      <c r="N9" s="123">
        <f>SUMIF(Oct!$B$3:$B$89,A9,Oct!$T$3:$T$89)</f>
        <v>890742.5</v>
      </c>
    </row>
    <row r="10" spans="1:16" x14ac:dyDescent="0.3">
      <c r="A10" s="314">
        <v>80373</v>
      </c>
      <c r="B10" s="315" t="s">
        <v>609</v>
      </c>
      <c r="C10" s="316" t="s">
        <v>594</v>
      </c>
      <c r="D10" s="316" t="s">
        <v>169</v>
      </c>
      <c r="E10" s="316" t="s">
        <v>170</v>
      </c>
      <c r="F10" s="316" t="s">
        <v>174</v>
      </c>
      <c r="G10" s="316" t="s">
        <v>610</v>
      </c>
      <c r="H10" s="316" t="s">
        <v>172</v>
      </c>
      <c r="I10" s="317"/>
      <c r="J10" s="317">
        <v>610</v>
      </c>
      <c r="K10" s="316" t="s">
        <v>611</v>
      </c>
      <c r="L10" s="192">
        <f>I10+J10*EERR!$D$2</f>
        <v>383995</v>
      </c>
      <c r="M10" s="123">
        <f>L10/EERR!$D$2</f>
        <v>610</v>
      </c>
      <c r="N10" s="123">
        <f>SUMIF(Oct!$B$3:$B$89,A10,Oct!$T$3:$T$89)</f>
        <v>890742.5</v>
      </c>
    </row>
    <row r="11" spans="1:16" x14ac:dyDescent="0.3">
      <c r="A11" s="314">
        <v>94716</v>
      </c>
      <c r="B11" s="315" t="s">
        <v>612</v>
      </c>
      <c r="C11" s="316" t="s">
        <v>594</v>
      </c>
      <c r="D11" s="316" t="s">
        <v>169</v>
      </c>
      <c r="E11" s="316" t="s">
        <v>170</v>
      </c>
      <c r="F11" s="316" t="s">
        <v>175</v>
      </c>
      <c r="G11" s="316" t="s">
        <v>468</v>
      </c>
      <c r="H11" s="316" t="s">
        <v>172</v>
      </c>
      <c r="I11" s="317"/>
      <c r="J11" s="317">
        <v>370.5</v>
      </c>
      <c r="K11" s="316" t="s">
        <v>613</v>
      </c>
      <c r="L11" s="192">
        <f>I11+J11*EERR!$D$2</f>
        <v>233229.75</v>
      </c>
      <c r="M11" s="123">
        <f>L11/EERR!$D$2</f>
        <v>370.5</v>
      </c>
      <c r="N11" s="123">
        <f>SUMIF(Oct!$B$3:$B$89,A11,Oct!$T$3:$T$89)</f>
        <v>349844.625</v>
      </c>
    </row>
    <row r="12" spans="1:16" x14ac:dyDescent="0.3">
      <c r="A12" s="314">
        <v>6776</v>
      </c>
      <c r="B12" s="315" t="s">
        <v>614</v>
      </c>
      <c r="C12" s="316" t="s">
        <v>594</v>
      </c>
      <c r="D12" s="316" t="s">
        <v>169</v>
      </c>
      <c r="E12" s="316" t="s">
        <v>170</v>
      </c>
      <c r="F12" s="316" t="s">
        <v>175</v>
      </c>
      <c r="G12" s="316" t="s">
        <v>601</v>
      </c>
      <c r="H12" s="316" t="s">
        <v>172</v>
      </c>
      <c r="I12" s="317"/>
      <c r="J12" s="317">
        <v>370</v>
      </c>
      <c r="K12" s="316" t="s">
        <v>615</v>
      </c>
      <c r="L12" s="192">
        <f>I12+J12*EERR!$D$2</f>
        <v>232915</v>
      </c>
      <c r="M12" s="123">
        <f>L12/EERR!$D$2</f>
        <v>370</v>
      </c>
      <c r="N12" s="123">
        <f>SUMIF(Oct!$B$3:$B$89,A12,Oct!$T$3:$T$89)</f>
        <v>349529.875</v>
      </c>
    </row>
    <row r="13" spans="1:16" x14ac:dyDescent="0.3">
      <c r="A13" s="314">
        <v>4524</v>
      </c>
      <c r="B13" s="315" t="s">
        <v>616</v>
      </c>
      <c r="C13" s="316" t="s">
        <v>594</v>
      </c>
      <c r="D13" s="316" t="s">
        <v>169</v>
      </c>
      <c r="E13" s="316" t="s">
        <v>170</v>
      </c>
      <c r="F13" s="316" t="s">
        <v>174</v>
      </c>
      <c r="G13" s="316" t="s">
        <v>617</v>
      </c>
      <c r="H13" s="316" t="s">
        <v>172</v>
      </c>
      <c r="I13" s="317"/>
      <c r="J13" s="317">
        <v>195</v>
      </c>
      <c r="K13" s="316" t="s">
        <v>618</v>
      </c>
      <c r="L13" s="192">
        <f>I13+J13*EERR!$D$2</f>
        <v>122752.5</v>
      </c>
      <c r="M13" s="123">
        <f>L13/EERR!$D$2</f>
        <v>195</v>
      </c>
      <c r="N13" s="123">
        <f>SUMIF(Oct!$B$3:$B$89,A13,Oct!$T$3:$T$89)</f>
        <v>736515</v>
      </c>
    </row>
    <row r="14" spans="1:16" x14ac:dyDescent="0.3">
      <c r="A14" s="314">
        <v>12996</v>
      </c>
      <c r="B14" s="315" t="s">
        <v>619</v>
      </c>
      <c r="C14" s="316" t="s">
        <v>594</v>
      </c>
      <c r="D14" s="316" t="s">
        <v>169</v>
      </c>
      <c r="E14" s="316" t="s">
        <v>170</v>
      </c>
      <c r="F14" s="316" t="s">
        <v>175</v>
      </c>
      <c r="G14" s="316" t="s">
        <v>601</v>
      </c>
      <c r="H14" s="316" t="s">
        <v>172</v>
      </c>
      <c r="I14" s="317"/>
      <c r="J14" s="317">
        <v>209</v>
      </c>
      <c r="K14" s="316" t="s">
        <v>620</v>
      </c>
      <c r="L14" s="192">
        <f>I14+J14*EERR!$D$2</f>
        <v>131565.5</v>
      </c>
      <c r="M14" s="123">
        <f>L14/EERR!$D$2</f>
        <v>209</v>
      </c>
      <c r="N14" s="123">
        <f>SUMIF(Oct!$B$3:$B$89,A14,Oct!$T$3:$T$89)</f>
        <v>131565.5</v>
      </c>
    </row>
    <row r="15" spans="1:16" x14ac:dyDescent="0.3">
      <c r="A15" s="314">
        <v>40421</v>
      </c>
      <c r="B15" s="315" t="s">
        <v>621</v>
      </c>
      <c r="C15" s="316" t="s">
        <v>594</v>
      </c>
      <c r="D15" s="316" t="s">
        <v>169</v>
      </c>
      <c r="E15" s="316" t="s">
        <v>170</v>
      </c>
      <c r="F15" s="316" t="s">
        <v>175</v>
      </c>
      <c r="G15" s="316" t="s">
        <v>464</v>
      </c>
      <c r="H15" s="316" t="s">
        <v>172</v>
      </c>
      <c r="I15" s="317"/>
      <c r="J15" s="317">
        <v>351</v>
      </c>
      <c r="K15" s="316" t="s">
        <v>622</v>
      </c>
      <c r="L15" s="192">
        <f>I15+J15*EERR!$D$2</f>
        <v>220954.5</v>
      </c>
      <c r="M15" s="123">
        <f>L15/EERR!$D$2</f>
        <v>351</v>
      </c>
      <c r="N15" s="123">
        <f>SUMIF(Oct!$B$3:$B$89,A15,Oct!$T$3:$T$89)</f>
        <v>552386.25</v>
      </c>
    </row>
    <row r="16" spans="1:16" x14ac:dyDescent="0.3">
      <c r="A16" s="314">
        <v>22231</v>
      </c>
      <c r="B16" s="315" t="s">
        <v>623</v>
      </c>
      <c r="C16" s="316" t="s">
        <v>594</v>
      </c>
      <c r="D16" s="316" t="s">
        <v>169</v>
      </c>
      <c r="E16" s="316" t="s">
        <v>170</v>
      </c>
      <c r="F16" s="316" t="s">
        <v>175</v>
      </c>
      <c r="G16" s="316" t="s">
        <v>624</v>
      </c>
      <c r="H16" s="316" t="s">
        <v>172</v>
      </c>
      <c r="I16" s="317"/>
      <c r="J16" s="317">
        <v>195</v>
      </c>
      <c r="K16" s="316" t="s">
        <v>625</v>
      </c>
      <c r="L16" s="192">
        <f>I16+J16*EERR!$D$2</f>
        <v>122752.5</v>
      </c>
      <c r="M16" s="123">
        <f>L16/EERR!$D$2</f>
        <v>195</v>
      </c>
      <c r="N16" s="123">
        <f>SUMIF(Oct!$B$3:$B$89,A16,Oct!$T$3:$T$89)</f>
        <v>368257.5</v>
      </c>
    </row>
    <row r="17" spans="1:14" x14ac:dyDescent="0.3">
      <c r="A17" s="314">
        <v>70786</v>
      </c>
      <c r="B17" s="315" t="s">
        <v>626</v>
      </c>
      <c r="C17" s="316" t="s">
        <v>594</v>
      </c>
      <c r="D17" s="316" t="s">
        <v>169</v>
      </c>
      <c r="E17" s="316" t="s">
        <v>170</v>
      </c>
      <c r="F17" s="316" t="s">
        <v>175</v>
      </c>
      <c r="G17" s="316" t="s">
        <v>627</v>
      </c>
      <c r="H17" s="316" t="s">
        <v>172</v>
      </c>
      <c r="I17" s="317"/>
      <c r="J17" s="317">
        <v>175.5</v>
      </c>
      <c r="K17" s="316" t="s">
        <v>628</v>
      </c>
      <c r="L17" s="192">
        <f>I17+J17*EERR!$D$2</f>
        <v>110477.25</v>
      </c>
      <c r="M17" s="123">
        <f>L17/EERR!$D$2</f>
        <v>175.5</v>
      </c>
      <c r="N17" s="123">
        <f>SUMIF(Oct!$B$3:$B$89,A17,Oct!$T$3:$T$89)</f>
        <v>0</v>
      </c>
    </row>
    <row r="18" spans="1:14" x14ac:dyDescent="0.3">
      <c r="A18" s="314">
        <v>13782</v>
      </c>
      <c r="B18" s="315" t="s">
        <v>629</v>
      </c>
      <c r="C18" s="316" t="s">
        <v>594</v>
      </c>
      <c r="D18" s="316" t="s">
        <v>169</v>
      </c>
      <c r="E18" s="316" t="s">
        <v>170</v>
      </c>
      <c r="F18" s="316" t="s">
        <v>175</v>
      </c>
      <c r="G18" s="316" t="s">
        <v>630</v>
      </c>
      <c r="H18" s="316" t="s">
        <v>172</v>
      </c>
      <c r="I18" s="317"/>
      <c r="J18" s="317">
        <v>185.25</v>
      </c>
      <c r="K18" s="316" t="s">
        <v>631</v>
      </c>
      <c r="L18" s="192">
        <f>I18+J18*EERR!$D$2</f>
        <v>116614.875</v>
      </c>
      <c r="M18" s="123">
        <f>L18/EERR!$D$2</f>
        <v>185.25</v>
      </c>
      <c r="N18" s="123">
        <f>SUMIF(Oct!$B$3:$B$89,A18,Oct!$T$3:$T$89)</f>
        <v>0</v>
      </c>
    </row>
    <row r="19" spans="1:14" x14ac:dyDescent="0.3">
      <c r="A19" s="314">
        <v>73807</v>
      </c>
      <c r="B19" s="315" t="s">
        <v>632</v>
      </c>
      <c r="C19" s="316" t="s">
        <v>594</v>
      </c>
      <c r="D19" s="316" t="s">
        <v>169</v>
      </c>
      <c r="E19" s="316" t="s">
        <v>170</v>
      </c>
      <c r="F19" s="316" t="s">
        <v>174</v>
      </c>
      <c r="G19" s="316" t="s">
        <v>633</v>
      </c>
      <c r="H19" s="316" t="s">
        <v>172</v>
      </c>
      <c r="I19" s="317"/>
      <c r="J19" s="317">
        <v>185.25</v>
      </c>
      <c r="K19" s="316" t="s">
        <v>634</v>
      </c>
      <c r="L19" s="192">
        <f>I19+J19*EERR!$D$2</f>
        <v>116614.875</v>
      </c>
      <c r="M19" s="123">
        <f>L19/EERR!$D$2</f>
        <v>185.25</v>
      </c>
      <c r="N19" s="123">
        <f>SUMIF(Oct!$B$3:$B$89,A19,Oct!$T$3:$T$89)</f>
        <v>0</v>
      </c>
    </row>
    <row r="20" spans="1:14" x14ac:dyDescent="0.3">
      <c r="A20" s="314">
        <v>96105</v>
      </c>
      <c r="B20" s="315" t="s">
        <v>635</v>
      </c>
      <c r="C20" s="316" t="s">
        <v>594</v>
      </c>
      <c r="D20" s="316" t="s">
        <v>169</v>
      </c>
      <c r="E20" s="316" t="s">
        <v>170</v>
      </c>
      <c r="F20" s="316" t="s">
        <v>171</v>
      </c>
      <c r="G20" s="316" t="s">
        <v>636</v>
      </c>
      <c r="H20" s="316" t="s">
        <v>172</v>
      </c>
      <c r="I20" s="317"/>
      <c r="J20" s="317">
        <v>185.25</v>
      </c>
      <c r="K20" s="316" t="s">
        <v>637</v>
      </c>
      <c r="L20" s="192">
        <f>I20+J20*EERR!$D$2</f>
        <v>116614.875</v>
      </c>
      <c r="M20" s="123">
        <f>L20/EERR!$D$2</f>
        <v>185.25</v>
      </c>
      <c r="N20" s="123">
        <f>SUMIF(Oct!$B$3:$B$89,A20,Oct!$T$3:$T$89)</f>
        <v>0</v>
      </c>
    </row>
    <row r="21" spans="1:14" x14ac:dyDescent="0.3">
      <c r="A21" s="314">
        <v>40853</v>
      </c>
      <c r="B21" s="315" t="s">
        <v>638</v>
      </c>
      <c r="C21" s="316" t="s">
        <v>594</v>
      </c>
      <c r="D21" s="316" t="s">
        <v>169</v>
      </c>
      <c r="E21" s="316" t="s">
        <v>170</v>
      </c>
      <c r="F21" s="316" t="s">
        <v>174</v>
      </c>
      <c r="G21" s="316" t="s">
        <v>639</v>
      </c>
      <c r="H21" s="316" t="s">
        <v>172</v>
      </c>
      <c r="I21" s="317"/>
      <c r="J21" s="317">
        <v>195</v>
      </c>
      <c r="K21" s="316" t="s">
        <v>640</v>
      </c>
      <c r="L21" s="192">
        <f>I21+J21*EERR!$D$2</f>
        <v>122752.5</v>
      </c>
      <c r="M21" s="123">
        <f>L21/EERR!$D$2</f>
        <v>195</v>
      </c>
      <c r="N21" s="123">
        <f>SUMIF(Oct!$B$3:$B$89,A21,Oct!$T$3:$T$89)</f>
        <v>0</v>
      </c>
    </row>
    <row r="22" spans="1:14" x14ac:dyDescent="0.3">
      <c r="A22" s="314">
        <v>85963</v>
      </c>
      <c r="B22" s="315" t="s">
        <v>641</v>
      </c>
      <c r="C22" s="316" t="s">
        <v>594</v>
      </c>
      <c r="D22" s="316" t="s">
        <v>169</v>
      </c>
      <c r="E22" s="316" t="s">
        <v>170</v>
      </c>
      <c r="F22" s="316" t="s">
        <v>175</v>
      </c>
      <c r="G22" s="316" t="s">
        <v>642</v>
      </c>
      <c r="H22" s="316" t="s">
        <v>172</v>
      </c>
      <c r="I22" s="317"/>
      <c r="J22" s="317">
        <v>195</v>
      </c>
      <c r="K22" s="316" t="s">
        <v>643</v>
      </c>
      <c r="L22" s="192">
        <f>I22+J22*EERR!$D$2</f>
        <v>122752.5</v>
      </c>
      <c r="M22" s="123">
        <f>L22/EERR!$D$2</f>
        <v>195</v>
      </c>
      <c r="N22" s="123">
        <f>SUMIF(Oct!$B$3:$B$89,A22,Oct!$T$3:$T$89)</f>
        <v>0</v>
      </c>
    </row>
    <row r="23" spans="1:14" x14ac:dyDescent="0.3">
      <c r="A23" s="314">
        <v>18243</v>
      </c>
      <c r="B23" s="315" t="s">
        <v>644</v>
      </c>
      <c r="C23" s="316" t="s">
        <v>591</v>
      </c>
      <c r="D23" s="316" t="s">
        <v>169</v>
      </c>
      <c r="E23" s="316" t="s">
        <v>173</v>
      </c>
      <c r="F23" s="316" t="s">
        <v>175</v>
      </c>
      <c r="G23" s="316" t="s">
        <v>645</v>
      </c>
      <c r="H23" s="316" t="s">
        <v>173</v>
      </c>
      <c r="I23" s="317">
        <v>592076</v>
      </c>
      <c r="J23" s="317"/>
      <c r="K23" s="316" t="s">
        <v>646</v>
      </c>
      <c r="L23" s="192">
        <f>I23+J23*EERR!$D$2</f>
        <v>592076</v>
      </c>
      <c r="M23" s="123">
        <f>L23/EERR!$D$2</f>
        <v>940.54964257347103</v>
      </c>
      <c r="N23" s="123">
        <f>SUMIF(Oct!$B$3:$B$89,A23,Oct!$T$3:$T$89)</f>
        <v>746525</v>
      </c>
    </row>
    <row r="24" spans="1:14" x14ac:dyDescent="0.3">
      <c r="A24" s="314">
        <v>68965</v>
      </c>
      <c r="B24" s="315" t="s">
        <v>647</v>
      </c>
      <c r="C24" s="316" t="s">
        <v>591</v>
      </c>
      <c r="D24" s="316" t="s">
        <v>169</v>
      </c>
      <c r="E24" s="316" t="s">
        <v>173</v>
      </c>
      <c r="F24" s="316" t="s">
        <v>175</v>
      </c>
      <c r="G24" s="316" t="s">
        <v>480</v>
      </c>
      <c r="H24" s="316" t="s">
        <v>173</v>
      </c>
      <c r="I24" s="317">
        <v>330391</v>
      </c>
      <c r="J24" s="317"/>
      <c r="K24" s="316" t="s">
        <v>648</v>
      </c>
      <c r="L24" s="192">
        <f>I24+J24*EERR!$D$2</f>
        <v>330391</v>
      </c>
      <c r="M24" s="123">
        <f>L24/EERR!$D$2</f>
        <v>524.84670373312156</v>
      </c>
      <c r="N24" s="123">
        <f>SUMIF(Oct!$B$3:$B$89,A24,Oct!$T$3:$T$89)</f>
        <v>491660</v>
      </c>
    </row>
    <row r="25" spans="1:14" x14ac:dyDescent="0.3">
      <c r="A25" s="314">
        <v>10241</v>
      </c>
      <c r="B25" s="315" t="s">
        <v>649</v>
      </c>
      <c r="C25" s="316" t="s">
        <v>591</v>
      </c>
      <c r="D25" s="316" t="s">
        <v>169</v>
      </c>
      <c r="E25" s="316" t="s">
        <v>173</v>
      </c>
      <c r="F25" s="316" t="s">
        <v>174</v>
      </c>
      <c r="G25" s="316" t="s">
        <v>485</v>
      </c>
      <c r="H25" s="316" t="s">
        <v>173</v>
      </c>
      <c r="I25" s="317">
        <v>476815</v>
      </c>
      <c r="J25" s="317"/>
      <c r="K25" s="316" t="s">
        <v>650</v>
      </c>
      <c r="L25" s="192">
        <f>I25+J25*EERR!$D$2</f>
        <v>476815</v>
      </c>
      <c r="M25" s="123">
        <f>L25/EERR!$D$2</f>
        <v>757.45035742652897</v>
      </c>
      <c r="N25" s="123">
        <f>SUMIF(Oct!$B$3:$B$89,A25,Oct!$T$3:$T$89)</f>
        <v>638084</v>
      </c>
    </row>
    <row r="26" spans="1:14" x14ac:dyDescent="0.3">
      <c r="A26" s="314">
        <v>73580</v>
      </c>
      <c r="B26" s="315" t="s">
        <v>651</v>
      </c>
      <c r="C26" s="316" t="s">
        <v>594</v>
      </c>
      <c r="D26" s="316" t="s">
        <v>169</v>
      </c>
      <c r="E26" s="316" t="s">
        <v>170</v>
      </c>
      <c r="F26" s="316" t="s">
        <v>174</v>
      </c>
      <c r="G26" s="316" t="s">
        <v>652</v>
      </c>
      <c r="H26" s="316" t="s">
        <v>172</v>
      </c>
      <c r="I26" s="317"/>
      <c r="J26" s="317">
        <v>1000</v>
      </c>
      <c r="K26" s="316" t="s">
        <v>653</v>
      </c>
      <c r="L26" s="192">
        <f>I26+J26*EERR!$D$2</f>
        <v>629500</v>
      </c>
      <c r="M26" s="123">
        <f>L26/EERR!$D$2</f>
        <v>1000</v>
      </c>
      <c r="N26" s="123">
        <f>SUMIF(Oct!$B$3:$B$89,A26,Oct!$T$3:$T$89)</f>
        <v>767990</v>
      </c>
    </row>
    <row r="27" spans="1:14" x14ac:dyDescent="0.3">
      <c r="A27" s="314">
        <v>75080</v>
      </c>
      <c r="B27" s="315" t="s">
        <v>654</v>
      </c>
      <c r="C27" s="316" t="s">
        <v>594</v>
      </c>
      <c r="D27" s="316" t="s">
        <v>169</v>
      </c>
      <c r="E27" s="316" t="s">
        <v>170</v>
      </c>
      <c r="F27" s="316" t="s">
        <v>174</v>
      </c>
      <c r="G27" s="316" t="s">
        <v>486</v>
      </c>
      <c r="H27" s="316" t="s">
        <v>172</v>
      </c>
      <c r="I27" s="317"/>
      <c r="J27" s="317">
        <v>500</v>
      </c>
      <c r="K27" s="316" t="s">
        <v>655</v>
      </c>
      <c r="L27" s="192">
        <f>I27+J27*EERR!$D$2</f>
        <v>314750</v>
      </c>
      <c r="M27" s="123">
        <f>L27/EERR!$D$2</f>
        <v>500</v>
      </c>
      <c r="N27" s="123">
        <f>SUMIF(Oct!$B$3:$B$89,A27,Oct!$T$3:$T$89)</f>
        <v>767990</v>
      </c>
    </row>
    <row r="28" spans="1:14" x14ac:dyDescent="0.3">
      <c r="A28" s="314">
        <v>75080</v>
      </c>
      <c r="B28" s="315" t="s">
        <v>654</v>
      </c>
      <c r="C28" s="316" t="s">
        <v>594</v>
      </c>
      <c r="D28" s="316" t="s">
        <v>169</v>
      </c>
      <c r="E28" s="316" t="s">
        <v>170</v>
      </c>
      <c r="F28" s="316" t="s">
        <v>175</v>
      </c>
      <c r="G28" s="316" t="s">
        <v>656</v>
      </c>
      <c r="H28" s="316" t="s">
        <v>172</v>
      </c>
      <c r="I28" s="317"/>
      <c r="J28" s="317">
        <v>500</v>
      </c>
      <c r="K28" s="316" t="s">
        <v>657</v>
      </c>
      <c r="L28" s="192">
        <f>I28+J28*EERR!$D$2</f>
        <v>314750</v>
      </c>
      <c r="M28" s="123">
        <f>L28/EERR!$D$2</f>
        <v>500</v>
      </c>
      <c r="N28" s="123">
        <f>SUMIF(Oct!$B$3:$B$89,A28,Oct!$T$3:$T$89)</f>
        <v>767990</v>
      </c>
    </row>
    <row r="29" spans="1:14" x14ac:dyDescent="0.3">
      <c r="A29" s="314">
        <v>95306</v>
      </c>
      <c r="B29" s="315" t="s">
        <v>658</v>
      </c>
      <c r="C29" s="316" t="s">
        <v>594</v>
      </c>
      <c r="D29" s="316" t="s">
        <v>169</v>
      </c>
      <c r="E29" s="316" t="s">
        <v>170</v>
      </c>
      <c r="F29" s="316" t="s">
        <v>174</v>
      </c>
      <c r="G29" s="316" t="s">
        <v>479</v>
      </c>
      <c r="H29" s="316" t="s">
        <v>172</v>
      </c>
      <c r="I29" s="317"/>
      <c r="J29" s="317">
        <v>635</v>
      </c>
      <c r="K29" s="316" t="s">
        <v>659</v>
      </c>
      <c r="L29" s="192">
        <f>I29+J29*EERR!$D$2</f>
        <v>399732.5</v>
      </c>
      <c r="M29" s="123">
        <f>L29/EERR!$D$2</f>
        <v>635</v>
      </c>
      <c r="N29" s="123">
        <f>SUMIF(Oct!$B$3:$B$89,A29,Oct!$T$3:$T$89)</f>
        <v>538222.5</v>
      </c>
    </row>
    <row r="30" spans="1:14" x14ac:dyDescent="0.3">
      <c r="A30" s="314">
        <v>80373</v>
      </c>
      <c r="B30" s="315" t="s">
        <v>660</v>
      </c>
      <c r="C30" s="316" t="s">
        <v>591</v>
      </c>
      <c r="D30" s="316" t="s">
        <v>169</v>
      </c>
      <c r="E30" s="316" t="s">
        <v>173</v>
      </c>
      <c r="F30" s="316" t="s">
        <v>174</v>
      </c>
      <c r="G30" s="316" t="s">
        <v>610</v>
      </c>
      <c r="H30" s="316" t="s">
        <v>173</v>
      </c>
      <c r="I30" s="317">
        <v>30000</v>
      </c>
      <c r="J30" s="317"/>
      <c r="K30" s="316" t="s">
        <v>661</v>
      </c>
      <c r="L30" s="192">
        <f>I30+J30*EERR!$D$2</f>
        <v>30000</v>
      </c>
      <c r="M30" s="123">
        <f>L30/EERR!$D$2</f>
        <v>47.656870532168391</v>
      </c>
      <c r="N30" s="123">
        <f>SUMIF(Oct!$B$3:$B$89,A30,Oct!$T$3:$T$89)</f>
        <v>890742.5</v>
      </c>
    </row>
    <row r="31" spans="1:14" x14ac:dyDescent="0.3">
      <c r="A31" s="314">
        <v>59192</v>
      </c>
      <c r="B31" s="315" t="s">
        <v>662</v>
      </c>
      <c r="C31" s="316" t="s">
        <v>594</v>
      </c>
      <c r="D31" s="316" t="s">
        <v>169</v>
      </c>
      <c r="E31" s="316" t="s">
        <v>170</v>
      </c>
      <c r="F31" s="316" t="s">
        <v>175</v>
      </c>
      <c r="G31" s="316" t="s">
        <v>663</v>
      </c>
      <c r="H31" s="316" t="s">
        <v>172</v>
      </c>
      <c r="I31" s="317"/>
      <c r="J31" s="317">
        <v>780</v>
      </c>
      <c r="K31" s="316" t="s">
        <v>664</v>
      </c>
      <c r="L31" s="192">
        <f>I31+J31*EERR!$D$2</f>
        <v>491010</v>
      </c>
      <c r="M31" s="123">
        <f>L31/EERR!$D$2</f>
        <v>780</v>
      </c>
      <c r="N31" s="123">
        <f>SUMIF(Oct!$B$3:$B$89,A31,Oct!$T$3:$T$89)</f>
        <v>1259000</v>
      </c>
    </row>
    <row r="32" spans="1:14" x14ac:dyDescent="0.3">
      <c r="A32" s="314">
        <v>59192</v>
      </c>
      <c r="B32" s="315" t="s">
        <v>665</v>
      </c>
      <c r="C32" s="316" t="s">
        <v>594</v>
      </c>
      <c r="D32" s="316" t="s">
        <v>169</v>
      </c>
      <c r="E32" s="316" t="s">
        <v>170</v>
      </c>
      <c r="F32" s="316" t="s">
        <v>174</v>
      </c>
      <c r="G32" s="316" t="s">
        <v>666</v>
      </c>
      <c r="H32" s="316" t="s">
        <v>172</v>
      </c>
      <c r="I32" s="317"/>
      <c r="J32" s="317">
        <v>780</v>
      </c>
      <c r="K32" s="316" t="s">
        <v>667</v>
      </c>
      <c r="L32" s="192">
        <f>I32+J32*EERR!$D$2</f>
        <v>491010</v>
      </c>
      <c r="M32" s="123">
        <f>L32/EERR!$D$2</f>
        <v>780</v>
      </c>
      <c r="N32" s="123">
        <f>SUMIF(Oct!$B$3:$B$89,A32,Oct!$T$3:$T$89)</f>
        <v>1259000</v>
      </c>
    </row>
    <row r="33" spans="1:14" x14ac:dyDescent="0.3">
      <c r="A33" s="314">
        <v>76220</v>
      </c>
      <c r="B33" s="315" t="s">
        <v>668</v>
      </c>
      <c r="C33" s="316" t="s">
        <v>594</v>
      </c>
      <c r="D33" s="316" t="s">
        <v>169</v>
      </c>
      <c r="E33" s="316" t="s">
        <v>170</v>
      </c>
      <c r="F33" s="316" t="s">
        <v>171</v>
      </c>
      <c r="G33" s="316" t="s">
        <v>501</v>
      </c>
      <c r="H33" s="316" t="s">
        <v>172</v>
      </c>
      <c r="I33" s="317"/>
      <c r="J33" s="317">
        <v>195</v>
      </c>
      <c r="K33" s="316" t="s">
        <v>669</v>
      </c>
      <c r="L33" s="192">
        <f>I33+J33*EERR!$D$2</f>
        <v>122752.5</v>
      </c>
      <c r="M33" s="123">
        <f>L33/EERR!$D$2</f>
        <v>195</v>
      </c>
      <c r="N33" s="123">
        <f>SUMIF(Oct!$B$3:$B$89,A33,Oct!$T$3:$T$89)</f>
        <v>368257.5</v>
      </c>
    </row>
    <row r="34" spans="1:14" x14ac:dyDescent="0.3">
      <c r="A34" s="314">
        <v>1019</v>
      </c>
      <c r="B34" s="315" t="s">
        <v>670</v>
      </c>
      <c r="C34" s="316" t="s">
        <v>591</v>
      </c>
      <c r="D34" s="316" t="s">
        <v>169</v>
      </c>
      <c r="E34" s="316" t="s">
        <v>173</v>
      </c>
      <c r="F34" s="316" t="s">
        <v>174</v>
      </c>
      <c r="G34" s="316" t="s">
        <v>671</v>
      </c>
      <c r="H34" s="316" t="s">
        <v>173</v>
      </c>
      <c r="I34" s="317">
        <v>291918</v>
      </c>
      <c r="J34" s="317"/>
      <c r="K34" s="316" t="s">
        <v>672</v>
      </c>
      <c r="L34" s="192">
        <f>I34+J34*EERR!$D$2</f>
        <v>291918</v>
      </c>
      <c r="M34" s="123">
        <f>L34/EERR!$D$2</f>
        <v>463.72994440031772</v>
      </c>
      <c r="N34" s="123">
        <f>SUMIF(Oct!$B$3:$B$89,A34,Oct!$T$3:$T$89)</f>
        <v>0</v>
      </c>
    </row>
    <row r="35" spans="1:14" x14ac:dyDescent="0.3">
      <c r="A35" s="314">
        <v>70786</v>
      </c>
      <c r="B35" s="315" t="s">
        <v>673</v>
      </c>
      <c r="C35" s="316" t="s">
        <v>594</v>
      </c>
      <c r="D35" s="316" t="s">
        <v>169</v>
      </c>
      <c r="E35" s="316" t="s">
        <v>170</v>
      </c>
      <c r="F35" s="316" t="s">
        <v>175</v>
      </c>
      <c r="G35" s="316" t="s">
        <v>627</v>
      </c>
      <c r="H35" s="316" t="s">
        <v>172</v>
      </c>
      <c r="I35" s="317"/>
      <c r="J35" s="317">
        <v>175.5</v>
      </c>
      <c r="K35" s="316" t="s">
        <v>674</v>
      </c>
      <c r="L35" s="192">
        <f>I35+J35*EERR!$D$2</f>
        <v>110477.25</v>
      </c>
      <c r="M35" s="123">
        <f>L35/EERR!$D$2</f>
        <v>175.5</v>
      </c>
      <c r="N35" s="123">
        <f>SUMIF(Oct!$B$3:$B$89,A35,Oct!$T$3:$T$89)</f>
        <v>0</v>
      </c>
    </row>
    <row r="36" spans="1:14" x14ac:dyDescent="0.3">
      <c r="A36" s="314">
        <v>32224</v>
      </c>
      <c r="B36" s="315" t="s">
        <v>675</v>
      </c>
      <c r="C36" s="316" t="s">
        <v>591</v>
      </c>
      <c r="D36" s="316" t="s">
        <v>169</v>
      </c>
      <c r="E36" s="316" t="s">
        <v>173</v>
      </c>
      <c r="F36" s="316" t="s">
        <v>174</v>
      </c>
      <c r="G36" s="316" t="s">
        <v>676</v>
      </c>
      <c r="H36" s="316" t="s">
        <v>173</v>
      </c>
      <c r="I36" s="317">
        <v>130945</v>
      </c>
      <c r="J36" s="317"/>
      <c r="K36" s="316" t="s">
        <v>677</v>
      </c>
      <c r="L36" s="192">
        <f>I36+J36*EERR!$D$2</f>
        <v>130945</v>
      </c>
      <c r="M36" s="123">
        <f>L36/EERR!$D$2</f>
        <v>208.01429706115965</v>
      </c>
      <c r="N36" s="123">
        <f>SUMIF(Oct!$B$3:$B$89,A36,Oct!$T$3:$T$89)</f>
        <v>0</v>
      </c>
    </row>
    <row r="37" spans="1:14" x14ac:dyDescent="0.3">
      <c r="A37" s="314">
        <v>84233</v>
      </c>
      <c r="B37" s="315" t="s">
        <v>678</v>
      </c>
      <c r="C37" s="316" t="s">
        <v>594</v>
      </c>
      <c r="D37" s="316" t="s">
        <v>169</v>
      </c>
      <c r="E37" s="316" t="s">
        <v>170</v>
      </c>
      <c r="F37" s="316" t="s">
        <v>174</v>
      </c>
      <c r="G37" s="316" t="s">
        <v>679</v>
      </c>
      <c r="H37" s="316" t="s">
        <v>172</v>
      </c>
      <c r="I37" s="317"/>
      <c r="J37" s="317">
        <v>390</v>
      </c>
      <c r="K37" s="316" t="s">
        <v>680</v>
      </c>
      <c r="L37" s="192">
        <f>I37+J37*EERR!$D$2</f>
        <v>245505</v>
      </c>
      <c r="M37" s="123">
        <f>L37/EERR!$D$2</f>
        <v>390</v>
      </c>
      <c r="N37" s="123">
        <f>SUMIF(Oct!$B$3:$B$89,A37,Oct!$T$3:$T$89)</f>
        <v>0</v>
      </c>
    </row>
    <row r="38" spans="1:14" x14ac:dyDescent="0.3">
      <c r="A38" s="314">
        <v>20101</v>
      </c>
      <c r="B38" s="315" t="s">
        <v>681</v>
      </c>
      <c r="C38" s="316" t="s">
        <v>594</v>
      </c>
      <c r="D38" s="316" t="s">
        <v>169</v>
      </c>
      <c r="E38" s="316" t="s">
        <v>170</v>
      </c>
      <c r="F38" s="316" t="s">
        <v>174</v>
      </c>
      <c r="G38" s="316" t="s">
        <v>682</v>
      </c>
      <c r="H38" s="316" t="s">
        <v>172</v>
      </c>
      <c r="I38" s="317"/>
      <c r="J38" s="317">
        <v>195</v>
      </c>
      <c r="K38" s="316" t="s">
        <v>683</v>
      </c>
      <c r="L38" s="192">
        <f>I38+J38*EERR!$D$2</f>
        <v>122752.5</v>
      </c>
      <c r="M38" s="123">
        <f>L38/EERR!$D$2</f>
        <v>195</v>
      </c>
      <c r="N38" s="123">
        <f>SUMIF(Oct!$B$3:$B$89,A38,Oct!$T$3:$T$89)</f>
        <v>0</v>
      </c>
    </row>
    <row r="39" spans="1:14" x14ac:dyDescent="0.3">
      <c r="A39" s="314">
        <v>40628</v>
      </c>
      <c r="B39" s="315" t="s">
        <v>684</v>
      </c>
      <c r="C39" s="316" t="s">
        <v>594</v>
      </c>
      <c r="D39" s="316" t="s">
        <v>169</v>
      </c>
      <c r="E39" s="316" t="s">
        <v>170</v>
      </c>
      <c r="F39" s="316" t="s">
        <v>174</v>
      </c>
      <c r="G39" s="316" t="s">
        <v>685</v>
      </c>
      <c r="H39" s="316" t="s">
        <v>172</v>
      </c>
      <c r="I39" s="317"/>
      <c r="J39" s="317">
        <v>175.5</v>
      </c>
      <c r="K39" s="316" t="s">
        <v>686</v>
      </c>
      <c r="L39" s="192">
        <f>I39+J39*EERR!$D$2</f>
        <v>110477.25</v>
      </c>
      <c r="M39" s="123">
        <f>L39/EERR!$D$2</f>
        <v>175.5</v>
      </c>
      <c r="N39" s="123">
        <f>SUMIF(Oct!$B$3:$B$89,A39,Oct!$T$3:$T$89)</f>
        <v>0</v>
      </c>
    </row>
    <row r="40" spans="1:14" x14ac:dyDescent="0.3">
      <c r="A40" s="314">
        <v>52958</v>
      </c>
      <c r="B40" s="315" t="s">
        <v>687</v>
      </c>
      <c r="C40" s="316" t="s">
        <v>594</v>
      </c>
      <c r="D40" s="316" t="s">
        <v>169</v>
      </c>
      <c r="E40" s="316" t="s">
        <v>170</v>
      </c>
      <c r="F40" s="316" t="s">
        <v>175</v>
      </c>
      <c r="G40" s="316" t="s">
        <v>688</v>
      </c>
      <c r="H40" s="316" t="s">
        <v>172</v>
      </c>
      <c r="I40" s="317"/>
      <c r="J40" s="317">
        <v>585</v>
      </c>
      <c r="K40" s="316" t="s">
        <v>689</v>
      </c>
      <c r="L40" s="192">
        <f>I40+J40*EERR!$D$2</f>
        <v>368257.5</v>
      </c>
      <c r="M40" s="123">
        <f>L40/EERR!$D$2</f>
        <v>585</v>
      </c>
      <c r="N40" s="123">
        <f>SUMIF(Oct!$B$3:$B$89,A40,Oct!$T$3:$T$89)</f>
        <v>491010</v>
      </c>
    </row>
    <row r="41" spans="1:14" x14ac:dyDescent="0.3">
      <c r="A41" s="314">
        <v>33337</v>
      </c>
      <c r="B41" s="315" t="s">
        <v>690</v>
      </c>
      <c r="C41" s="316" t="s">
        <v>594</v>
      </c>
      <c r="D41" s="316" t="s">
        <v>169</v>
      </c>
      <c r="E41" s="316" t="s">
        <v>170</v>
      </c>
      <c r="F41" s="316" t="s">
        <v>171</v>
      </c>
      <c r="G41" s="316" t="s">
        <v>547</v>
      </c>
      <c r="H41" s="316" t="s">
        <v>172</v>
      </c>
      <c r="I41" s="317"/>
      <c r="J41" s="317">
        <v>415</v>
      </c>
      <c r="K41" s="316" t="s">
        <v>691</v>
      </c>
      <c r="L41" s="192">
        <f>I41+J41*EERR!$D$2</f>
        <v>261242.5</v>
      </c>
      <c r="M41" s="123">
        <f>L41/EERR!$D$2</f>
        <v>415</v>
      </c>
      <c r="N41" s="123">
        <f>SUMIF(Oct!$B$3:$B$89,A41,Oct!$T$3:$T$89)</f>
        <v>399732.5</v>
      </c>
    </row>
    <row r="42" spans="1:14" x14ac:dyDescent="0.3">
      <c r="A42" s="314">
        <v>53063</v>
      </c>
      <c r="B42" s="315" t="s">
        <v>692</v>
      </c>
      <c r="C42" s="316" t="s">
        <v>594</v>
      </c>
      <c r="D42" s="316" t="s">
        <v>169</v>
      </c>
      <c r="E42" s="316" t="s">
        <v>170</v>
      </c>
      <c r="F42" s="316" t="s">
        <v>175</v>
      </c>
      <c r="G42" s="316" t="s">
        <v>693</v>
      </c>
      <c r="H42" s="316" t="s">
        <v>172</v>
      </c>
      <c r="I42" s="317"/>
      <c r="J42" s="317">
        <v>195</v>
      </c>
      <c r="K42" s="316" t="s">
        <v>694</v>
      </c>
      <c r="L42" s="192">
        <f>I42+J42*EERR!$D$2</f>
        <v>122752.5</v>
      </c>
      <c r="M42" s="123">
        <f>L42/EERR!$D$2</f>
        <v>195</v>
      </c>
      <c r="N42" s="123">
        <f>SUMIF(Oct!$B$3:$B$89,A42,Oct!$T$3:$T$89)</f>
        <v>0</v>
      </c>
    </row>
    <row r="43" spans="1:14" x14ac:dyDescent="0.3">
      <c r="A43" s="314">
        <v>98885</v>
      </c>
      <c r="B43" s="315" t="s">
        <v>695</v>
      </c>
      <c r="C43" s="316" t="s">
        <v>591</v>
      </c>
      <c r="D43" s="316" t="s">
        <v>169</v>
      </c>
      <c r="E43" s="316" t="s">
        <v>173</v>
      </c>
      <c r="F43" s="316" t="s">
        <v>174</v>
      </c>
      <c r="G43" s="316" t="s">
        <v>498</v>
      </c>
      <c r="H43" s="316" t="s">
        <v>173</v>
      </c>
      <c r="I43" s="317">
        <v>130945</v>
      </c>
      <c r="J43" s="317"/>
      <c r="K43" s="316" t="s">
        <v>696</v>
      </c>
      <c r="L43" s="192">
        <f>I43+J43*EERR!$D$2</f>
        <v>130945</v>
      </c>
      <c r="M43" s="123">
        <f>L43/EERR!$D$2</f>
        <v>208.01429706115965</v>
      </c>
      <c r="N43" s="123">
        <f>SUMIF(Oct!$B$3:$B$89,A43,Oct!$T$3:$T$89)</f>
        <v>261890</v>
      </c>
    </row>
    <row r="44" spans="1:14" x14ac:dyDescent="0.3">
      <c r="A44" s="314">
        <v>10596</v>
      </c>
      <c r="B44" s="315" t="s">
        <v>697</v>
      </c>
      <c r="C44" s="316" t="s">
        <v>594</v>
      </c>
      <c r="D44" s="316" t="s">
        <v>169</v>
      </c>
      <c r="E44" s="316" t="s">
        <v>170</v>
      </c>
      <c r="F44" s="316" t="s">
        <v>175</v>
      </c>
      <c r="G44" s="316" t="s">
        <v>698</v>
      </c>
      <c r="H44" s="316" t="s">
        <v>172</v>
      </c>
      <c r="I44" s="317"/>
      <c r="J44" s="317">
        <v>195</v>
      </c>
      <c r="K44" s="316" t="s">
        <v>699</v>
      </c>
      <c r="L44" s="192">
        <f>I44+J44*EERR!$D$2</f>
        <v>122752.5</v>
      </c>
      <c r="M44" s="123">
        <f>L44/EERR!$D$2</f>
        <v>195</v>
      </c>
      <c r="N44" s="123">
        <f>SUMIF(Oct!$B$3:$B$89,A44,Oct!$T$3:$T$89)</f>
        <v>0</v>
      </c>
    </row>
    <row r="45" spans="1:14" x14ac:dyDescent="0.3">
      <c r="A45" s="314">
        <v>88425</v>
      </c>
      <c r="B45" s="315" t="s">
        <v>700</v>
      </c>
      <c r="C45" s="316" t="s">
        <v>594</v>
      </c>
      <c r="D45" s="316" t="s">
        <v>169</v>
      </c>
      <c r="E45" s="316" t="s">
        <v>170</v>
      </c>
      <c r="F45" s="316" t="s">
        <v>175</v>
      </c>
      <c r="G45" s="316" t="s">
        <v>701</v>
      </c>
      <c r="H45" s="316" t="s">
        <v>172</v>
      </c>
      <c r="I45" s="317"/>
      <c r="J45" s="317">
        <v>175.5</v>
      </c>
      <c r="K45" s="316" t="s">
        <v>702</v>
      </c>
      <c r="L45" s="192">
        <f>I45+J45*EERR!$D$2</f>
        <v>110477.25</v>
      </c>
      <c r="M45" s="123">
        <f>L45/EERR!$D$2</f>
        <v>175.5</v>
      </c>
      <c r="N45" s="123">
        <f>SUMIF(Oct!$B$3:$B$89,A45,Oct!$T$3:$T$89)</f>
        <v>0</v>
      </c>
    </row>
    <row r="46" spans="1:14" x14ac:dyDescent="0.3">
      <c r="A46" s="314">
        <v>18955</v>
      </c>
      <c r="B46" s="315" t="s">
        <v>703</v>
      </c>
      <c r="C46" s="316" t="s">
        <v>594</v>
      </c>
      <c r="D46" s="316" t="s">
        <v>169</v>
      </c>
      <c r="E46" s="316" t="s">
        <v>170</v>
      </c>
      <c r="F46" s="316" t="s">
        <v>175</v>
      </c>
      <c r="G46" s="316" t="s">
        <v>704</v>
      </c>
      <c r="H46" s="316" t="s">
        <v>172</v>
      </c>
      <c r="I46" s="317"/>
      <c r="J46" s="317">
        <v>185.25</v>
      </c>
      <c r="K46" s="316" t="s">
        <v>705</v>
      </c>
      <c r="L46" s="192">
        <f>I46+J46*EERR!$D$2</f>
        <v>116614.875</v>
      </c>
      <c r="M46" s="123">
        <f>L46/EERR!$D$2</f>
        <v>185.25</v>
      </c>
      <c r="N46" s="123">
        <f>SUMIF(Oct!$B$3:$B$89,A46,Oct!$T$3:$T$89)</f>
        <v>0</v>
      </c>
    </row>
    <row r="47" spans="1:14" x14ac:dyDescent="0.3">
      <c r="A47" s="314">
        <v>56845</v>
      </c>
      <c r="B47" s="315" t="s">
        <v>706</v>
      </c>
      <c r="C47" s="316" t="s">
        <v>594</v>
      </c>
      <c r="D47" s="316" t="s">
        <v>169</v>
      </c>
      <c r="E47" s="316" t="s">
        <v>170</v>
      </c>
      <c r="F47" s="316" t="s">
        <v>174</v>
      </c>
      <c r="G47" s="316" t="s">
        <v>707</v>
      </c>
      <c r="H47" s="316" t="s">
        <v>172</v>
      </c>
      <c r="I47" s="317"/>
      <c r="J47" s="317">
        <v>195</v>
      </c>
      <c r="K47" s="316" t="s">
        <v>708</v>
      </c>
      <c r="L47" s="192">
        <f>I47+J47*EERR!$D$2</f>
        <v>122752.5</v>
      </c>
      <c r="M47" s="123">
        <f>L47/EERR!$D$2</f>
        <v>195</v>
      </c>
      <c r="N47" s="123">
        <f>SUMIF(Oct!$B$3:$B$89,A47,Oct!$T$3:$T$89)</f>
        <v>0</v>
      </c>
    </row>
    <row r="48" spans="1:14" x14ac:dyDescent="0.3">
      <c r="A48" s="314">
        <v>79343</v>
      </c>
      <c r="B48" s="315" t="s">
        <v>709</v>
      </c>
      <c r="C48" s="316" t="s">
        <v>594</v>
      </c>
      <c r="D48" s="316" t="s">
        <v>169</v>
      </c>
      <c r="E48" s="316" t="s">
        <v>170</v>
      </c>
      <c r="F48" s="316" t="s">
        <v>174</v>
      </c>
      <c r="G48" s="316" t="s">
        <v>710</v>
      </c>
      <c r="H48" s="316" t="s">
        <v>172</v>
      </c>
      <c r="I48" s="317"/>
      <c r="J48" s="317">
        <v>195</v>
      </c>
      <c r="K48" s="316" t="s">
        <v>711</v>
      </c>
      <c r="L48" s="192">
        <f>I48+J48*EERR!$D$2</f>
        <v>122752.5</v>
      </c>
      <c r="M48" s="123">
        <f>L48/EERR!$D$2</f>
        <v>195</v>
      </c>
      <c r="N48" s="123">
        <f>SUMIF(Oct!$B$3:$B$89,A48,Oct!$T$3:$T$89)</f>
        <v>0</v>
      </c>
    </row>
    <row r="49" spans="1:14" x14ac:dyDescent="0.3">
      <c r="A49" s="314">
        <v>25849</v>
      </c>
      <c r="B49" s="315" t="s">
        <v>712</v>
      </c>
      <c r="C49" s="316" t="s">
        <v>594</v>
      </c>
      <c r="D49" s="316" t="s">
        <v>169</v>
      </c>
      <c r="E49" s="316" t="s">
        <v>170</v>
      </c>
      <c r="F49" s="316" t="s">
        <v>175</v>
      </c>
      <c r="G49" s="316" t="s">
        <v>713</v>
      </c>
      <c r="H49" s="316" t="s">
        <v>172</v>
      </c>
      <c r="I49" s="317"/>
      <c r="J49" s="317">
        <v>195</v>
      </c>
      <c r="K49" s="316" t="s">
        <v>714</v>
      </c>
      <c r="L49" s="192">
        <f>I49+J49*EERR!$D$2</f>
        <v>122752.5</v>
      </c>
      <c r="M49" s="123">
        <f>L49/EERR!$D$2</f>
        <v>195</v>
      </c>
      <c r="N49" s="123">
        <f>SUMIF(Oct!$B$3:$B$89,A49,Oct!$T$3:$T$89)</f>
        <v>0</v>
      </c>
    </row>
    <row r="50" spans="1:14" x14ac:dyDescent="0.3">
      <c r="A50" s="314">
        <v>21031</v>
      </c>
      <c r="B50" s="315" t="s">
        <v>715</v>
      </c>
      <c r="C50" s="316" t="s">
        <v>594</v>
      </c>
      <c r="D50" s="316" t="s">
        <v>169</v>
      </c>
      <c r="E50" s="316" t="s">
        <v>170</v>
      </c>
      <c r="F50" s="316" t="s">
        <v>174</v>
      </c>
      <c r="G50" s="316" t="s">
        <v>716</v>
      </c>
      <c r="H50" s="316" t="s">
        <v>172</v>
      </c>
      <c r="I50" s="317"/>
      <c r="J50" s="317">
        <v>175.5</v>
      </c>
      <c r="K50" s="316" t="s">
        <v>717</v>
      </c>
      <c r="L50" s="192">
        <f>I50+J50*EERR!$D$2</f>
        <v>110477.25</v>
      </c>
      <c r="M50" s="123">
        <f>L50/EERR!$D$2</f>
        <v>175.5</v>
      </c>
      <c r="N50" s="123">
        <f>SUMIF(Oct!$B$3:$B$89,A50,Oct!$T$3:$T$89)</f>
        <v>0</v>
      </c>
    </row>
    <row r="51" spans="1:14" x14ac:dyDescent="0.3">
      <c r="A51" s="314">
        <v>59360</v>
      </c>
      <c r="B51" s="315" t="s">
        <v>718</v>
      </c>
      <c r="C51" s="316" t="s">
        <v>591</v>
      </c>
      <c r="D51" s="316" t="s">
        <v>169</v>
      </c>
      <c r="E51" s="316" t="s">
        <v>173</v>
      </c>
      <c r="F51" s="316" t="s">
        <v>175</v>
      </c>
      <c r="G51" s="316" t="s">
        <v>497</v>
      </c>
      <c r="H51" s="316" t="s">
        <v>173</v>
      </c>
      <c r="I51" s="317">
        <v>145495</v>
      </c>
      <c r="J51" s="317"/>
      <c r="K51" s="316" t="s">
        <v>719</v>
      </c>
      <c r="L51" s="192">
        <f>I51+J51*EERR!$D$2</f>
        <v>145495</v>
      </c>
      <c r="M51" s="123">
        <f>L51/EERR!$D$2</f>
        <v>231.12787926926131</v>
      </c>
      <c r="N51" s="123">
        <f>SUMIF(Oct!$B$3:$B$89,A51,Oct!$T$3:$T$89)</f>
        <v>290990</v>
      </c>
    </row>
    <row r="52" spans="1:14" x14ac:dyDescent="0.3">
      <c r="A52" s="314">
        <v>28909</v>
      </c>
      <c r="B52" s="315" t="s">
        <v>720</v>
      </c>
      <c r="C52" s="316" t="s">
        <v>591</v>
      </c>
      <c r="D52" s="316" t="s">
        <v>169</v>
      </c>
      <c r="E52" s="316" t="s">
        <v>173</v>
      </c>
      <c r="F52" s="316" t="s">
        <v>175</v>
      </c>
      <c r="G52" s="316" t="s">
        <v>721</v>
      </c>
      <c r="H52" s="316" t="s">
        <v>173</v>
      </c>
      <c r="I52" s="317">
        <v>137594</v>
      </c>
      <c r="J52" s="317"/>
      <c r="K52" s="316" t="s">
        <v>722</v>
      </c>
      <c r="L52" s="192">
        <f>I52+J52*EERR!$D$2</f>
        <v>137594</v>
      </c>
      <c r="M52" s="123">
        <f>L52/EERR!$D$2</f>
        <v>218.57664813343925</v>
      </c>
      <c r="N52" s="123">
        <f>SUMIF(Oct!$B$3:$B$89,A52,Oct!$T$3:$T$89)</f>
        <v>349844.625</v>
      </c>
    </row>
    <row r="53" spans="1:14" x14ac:dyDescent="0.3">
      <c r="A53" s="314">
        <v>52567</v>
      </c>
      <c r="B53" s="315" t="s">
        <v>723</v>
      </c>
      <c r="C53" s="316" t="s">
        <v>591</v>
      </c>
      <c r="D53" s="316" t="s">
        <v>169</v>
      </c>
      <c r="E53" s="316" t="s">
        <v>173</v>
      </c>
      <c r="F53" s="316" t="s">
        <v>174</v>
      </c>
      <c r="G53" s="316" t="s">
        <v>521</v>
      </c>
      <c r="H53" s="316" t="s">
        <v>173</v>
      </c>
      <c r="I53" s="317">
        <v>290990</v>
      </c>
      <c r="J53" s="317"/>
      <c r="K53" s="316" t="s">
        <v>724</v>
      </c>
      <c r="L53" s="192">
        <f>I53+J53*EERR!$D$2</f>
        <v>290990</v>
      </c>
      <c r="M53" s="123">
        <f>L53/EERR!$D$2</f>
        <v>462.25575853852263</v>
      </c>
      <c r="N53" s="123">
        <f>SUMIF(Oct!$B$3:$B$89,A53,Oct!$T$3:$T$89)</f>
        <v>435789</v>
      </c>
    </row>
    <row r="54" spans="1:14" x14ac:dyDescent="0.3">
      <c r="A54" s="314">
        <v>25097</v>
      </c>
      <c r="B54" s="315" t="s">
        <v>725</v>
      </c>
      <c r="C54" s="316" t="s">
        <v>591</v>
      </c>
      <c r="D54" s="316" t="s">
        <v>169</v>
      </c>
      <c r="E54" s="316" t="s">
        <v>173</v>
      </c>
      <c r="F54" s="316" t="s">
        <v>174</v>
      </c>
      <c r="G54" s="316" t="s">
        <v>537</v>
      </c>
      <c r="H54" s="316" t="s">
        <v>173</v>
      </c>
      <c r="I54" s="317">
        <v>290990</v>
      </c>
      <c r="J54" s="317"/>
      <c r="K54" s="316" t="s">
        <v>726</v>
      </c>
      <c r="L54" s="192">
        <f>I54+J54*EERR!$D$2</f>
        <v>290990</v>
      </c>
      <c r="M54" s="123">
        <f>L54/EERR!$D$2</f>
        <v>462.25575853852263</v>
      </c>
      <c r="N54" s="123">
        <f>SUMIF(Oct!$B$3:$B$89,A54,Oct!$T$3:$T$89)</f>
        <v>437878</v>
      </c>
    </row>
    <row r="55" spans="1:14" x14ac:dyDescent="0.3">
      <c r="A55" s="314">
        <v>52253</v>
      </c>
      <c r="B55" s="315" t="s">
        <v>727</v>
      </c>
      <c r="C55" s="316" t="s">
        <v>591</v>
      </c>
      <c r="D55" s="316" t="s">
        <v>169</v>
      </c>
      <c r="E55" s="316" t="s">
        <v>173</v>
      </c>
      <c r="F55" s="316" t="s">
        <v>171</v>
      </c>
      <c r="G55" s="316" t="s">
        <v>527</v>
      </c>
      <c r="H55" s="316" t="s">
        <v>173</v>
      </c>
      <c r="I55" s="317">
        <v>145031</v>
      </c>
      <c r="J55" s="317"/>
      <c r="K55" s="316" t="s">
        <v>728</v>
      </c>
      <c r="L55" s="192">
        <f>I55+J55*EERR!$D$2</f>
        <v>145031</v>
      </c>
      <c r="M55" s="123">
        <f>L55/EERR!$D$2</f>
        <v>230.39078633836377</v>
      </c>
      <c r="N55" s="123">
        <f>SUMIF(Oct!$B$3:$B$89,A55,Oct!$T$3:$T$89)</f>
        <v>289830</v>
      </c>
    </row>
    <row r="56" spans="1:14" x14ac:dyDescent="0.3">
      <c r="A56" s="314">
        <v>91357</v>
      </c>
      <c r="B56" s="315" t="s">
        <v>729</v>
      </c>
      <c r="C56" s="316" t="s">
        <v>591</v>
      </c>
      <c r="D56" s="316" t="s">
        <v>169</v>
      </c>
      <c r="E56" s="316" t="s">
        <v>173</v>
      </c>
      <c r="F56" s="316" t="s">
        <v>174</v>
      </c>
      <c r="G56" s="316" t="s">
        <v>730</v>
      </c>
      <c r="H56" s="316" t="s">
        <v>173</v>
      </c>
      <c r="I56" s="317">
        <v>144335</v>
      </c>
      <c r="J56" s="317"/>
      <c r="K56" s="316" t="s">
        <v>731</v>
      </c>
      <c r="L56" s="192">
        <f>I56+J56*EERR!$D$2</f>
        <v>144335</v>
      </c>
      <c r="M56" s="123">
        <f>L56/EERR!$D$2</f>
        <v>229.28514694201746</v>
      </c>
      <c r="N56" s="123">
        <f>SUMIF(Oct!$B$3:$B$89,A56,Oct!$T$3:$T$89)</f>
        <v>144355</v>
      </c>
    </row>
    <row r="57" spans="1:14" x14ac:dyDescent="0.3">
      <c r="A57" s="314">
        <v>28909</v>
      </c>
      <c r="B57" s="315" t="s">
        <v>732</v>
      </c>
      <c r="C57" s="316" t="s">
        <v>594</v>
      </c>
      <c r="D57" s="316" t="s">
        <v>169</v>
      </c>
      <c r="E57" s="316" t="s">
        <v>170</v>
      </c>
      <c r="F57" s="316" t="s">
        <v>175</v>
      </c>
      <c r="G57" s="316" t="s">
        <v>733</v>
      </c>
      <c r="H57" s="316" t="s">
        <v>172</v>
      </c>
      <c r="I57" s="317"/>
      <c r="J57" s="317">
        <v>555.75</v>
      </c>
      <c r="K57" s="316" t="s">
        <v>734</v>
      </c>
      <c r="L57" s="192">
        <f>I57+J57*EERR!$D$2</f>
        <v>349844.625</v>
      </c>
      <c r="M57" s="123">
        <f>L57/EERR!$D$2</f>
        <v>555.75</v>
      </c>
      <c r="N57" s="123">
        <f>SUMIF(Oct!$B$3:$B$89,A57,Oct!$T$3:$T$89)</f>
        <v>349844.625</v>
      </c>
    </row>
    <row r="58" spans="1:14" x14ac:dyDescent="0.3">
      <c r="A58" s="314">
        <v>25097</v>
      </c>
      <c r="B58" s="315" t="s">
        <v>735</v>
      </c>
      <c r="C58" s="316" t="s">
        <v>591</v>
      </c>
      <c r="D58" s="316" t="s">
        <v>169</v>
      </c>
      <c r="E58" s="316" t="s">
        <v>173</v>
      </c>
      <c r="F58" s="316" t="s">
        <v>174</v>
      </c>
      <c r="G58" s="316" t="s">
        <v>537</v>
      </c>
      <c r="H58" s="316" t="s">
        <v>173</v>
      </c>
      <c r="I58" s="317">
        <v>5000</v>
      </c>
      <c r="J58" s="317"/>
      <c r="K58" s="316" t="s">
        <v>736</v>
      </c>
      <c r="L58" s="192">
        <f>I58+J58*EERR!$D$2</f>
        <v>5000</v>
      </c>
      <c r="M58" s="123">
        <f>L58/EERR!$D$2</f>
        <v>7.9428117553613982</v>
      </c>
      <c r="N58" s="123">
        <f>SUMIF(Oct!$B$3:$B$89,A58,Oct!$T$3:$T$89)</f>
        <v>437878</v>
      </c>
    </row>
    <row r="59" spans="1:14" x14ac:dyDescent="0.3">
      <c r="A59" s="314">
        <v>1807</v>
      </c>
      <c r="B59" s="315" t="s">
        <v>737</v>
      </c>
      <c r="C59" s="316" t="s">
        <v>594</v>
      </c>
      <c r="D59" s="316" t="s">
        <v>169</v>
      </c>
      <c r="E59" s="316" t="s">
        <v>170</v>
      </c>
      <c r="F59" s="316" t="s">
        <v>175</v>
      </c>
      <c r="G59" s="316" t="s">
        <v>738</v>
      </c>
      <c r="H59" s="316" t="s">
        <v>172</v>
      </c>
      <c r="I59" s="317"/>
      <c r="J59" s="317">
        <v>702</v>
      </c>
      <c r="K59" s="316" t="s">
        <v>739</v>
      </c>
      <c r="L59" s="192">
        <f>I59+J59*EERR!$D$2</f>
        <v>441909</v>
      </c>
      <c r="M59" s="123">
        <f>L59/EERR!$D$2</f>
        <v>702</v>
      </c>
      <c r="N59" s="123">
        <f>SUMIF(Oct!$B$3:$B$89,A59,Oct!$T$3:$T$89)</f>
        <v>662863.5</v>
      </c>
    </row>
    <row r="60" spans="1:14" x14ac:dyDescent="0.3">
      <c r="A60" s="314">
        <v>2656</v>
      </c>
      <c r="B60" s="315" t="s">
        <v>740</v>
      </c>
      <c r="C60" s="316" t="s">
        <v>594</v>
      </c>
      <c r="D60" s="316" t="s">
        <v>169</v>
      </c>
      <c r="E60" s="316" t="s">
        <v>170</v>
      </c>
      <c r="F60" s="316" t="s">
        <v>175</v>
      </c>
      <c r="G60" s="316" t="s">
        <v>741</v>
      </c>
      <c r="H60" s="316" t="s">
        <v>172</v>
      </c>
      <c r="I60" s="317"/>
      <c r="J60" s="317">
        <v>555.75</v>
      </c>
      <c r="K60" s="316" t="s">
        <v>742</v>
      </c>
      <c r="L60" s="192">
        <f>I60+J60*EERR!$D$2</f>
        <v>349844.625</v>
      </c>
      <c r="M60" s="123">
        <f>L60/EERR!$D$2</f>
        <v>555.75</v>
      </c>
      <c r="N60" s="123">
        <f>SUMIF(Oct!$B$3:$B$89,A60,Oct!$T$3:$T$89)</f>
        <v>349844.625</v>
      </c>
    </row>
    <row r="61" spans="1:14" x14ac:dyDescent="0.3">
      <c r="A61" s="314">
        <v>10879</v>
      </c>
      <c r="B61" s="315" t="s">
        <v>743</v>
      </c>
      <c r="C61" s="316" t="s">
        <v>594</v>
      </c>
      <c r="D61" s="316" t="s">
        <v>169</v>
      </c>
      <c r="E61" s="316" t="s">
        <v>170</v>
      </c>
      <c r="F61" s="316" t="s">
        <v>171</v>
      </c>
      <c r="G61" s="316" t="s">
        <v>517</v>
      </c>
      <c r="H61" s="316" t="s">
        <v>172</v>
      </c>
      <c r="I61" s="317"/>
      <c r="J61" s="317">
        <v>370.5</v>
      </c>
      <c r="K61" s="316" t="s">
        <v>744</v>
      </c>
      <c r="L61" s="192">
        <f>I61+J61*EERR!$D$2</f>
        <v>233229.75</v>
      </c>
      <c r="M61" s="123">
        <f>L61/EERR!$D$2</f>
        <v>370.5</v>
      </c>
      <c r="N61" s="123">
        <f>SUMIF(Oct!$B$3:$B$89,A61,Oct!$T$3:$T$89)</f>
        <v>349844.625</v>
      </c>
    </row>
    <row r="62" spans="1:14" x14ac:dyDescent="0.3">
      <c r="A62" s="314">
        <v>73297</v>
      </c>
      <c r="B62" s="315" t="s">
        <v>745</v>
      </c>
      <c r="C62" s="316" t="s">
        <v>594</v>
      </c>
      <c r="D62" s="316" t="s">
        <v>169</v>
      </c>
      <c r="E62" s="316" t="s">
        <v>170</v>
      </c>
      <c r="F62" s="316" t="s">
        <v>175</v>
      </c>
      <c r="G62" s="316" t="s">
        <v>746</v>
      </c>
      <c r="H62" s="316" t="s">
        <v>172</v>
      </c>
      <c r="I62" s="317"/>
      <c r="J62" s="317">
        <v>195</v>
      </c>
      <c r="K62" s="316" t="s">
        <v>747</v>
      </c>
      <c r="L62" s="192">
        <f>I62+J62*EERR!$D$2</f>
        <v>122752.5</v>
      </c>
      <c r="M62" s="123">
        <f>L62/EERR!$D$2</f>
        <v>195</v>
      </c>
      <c r="N62" s="123">
        <f>SUMIF(Oct!$B$3:$B$89,A62,Oct!$T$3:$T$89)</f>
        <v>122752.5</v>
      </c>
    </row>
    <row r="63" spans="1:14" x14ac:dyDescent="0.3">
      <c r="A63" s="314">
        <v>52559</v>
      </c>
      <c r="B63" s="315" t="s">
        <v>748</v>
      </c>
      <c r="C63" s="316" t="s">
        <v>594</v>
      </c>
      <c r="D63" s="316" t="s">
        <v>169</v>
      </c>
      <c r="E63" s="316" t="s">
        <v>170</v>
      </c>
      <c r="F63" s="316" t="s">
        <v>175</v>
      </c>
      <c r="G63" s="316" t="s">
        <v>522</v>
      </c>
      <c r="H63" s="316" t="s">
        <v>172</v>
      </c>
      <c r="I63" s="317"/>
      <c r="J63" s="317">
        <v>2205</v>
      </c>
      <c r="K63" s="316" t="s">
        <v>749</v>
      </c>
      <c r="L63" s="192">
        <f>I63+J63*EERR!$D$2</f>
        <v>1388047.5</v>
      </c>
      <c r="M63" s="123">
        <f>L63/EERR!$D$2</f>
        <v>2205</v>
      </c>
      <c r="N63" s="123">
        <f>SUMIF(Oct!$B$3:$B$89,A63,Oct!$T$3:$T$89)</f>
        <v>1633552.5</v>
      </c>
    </row>
    <row r="64" spans="1:14" x14ac:dyDescent="0.3">
      <c r="A64" s="314">
        <v>49529</v>
      </c>
      <c r="B64" s="315" t="s">
        <v>750</v>
      </c>
      <c r="C64" s="316" t="s">
        <v>594</v>
      </c>
      <c r="D64" s="316" t="s">
        <v>169</v>
      </c>
      <c r="E64" s="316" t="s">
        <v>170</v>
      </c>
      <c r="F64" s="316" t="s">
        <v>174</v>
      </c>
      <c r="G64" s="316" t="s">
        <v>751</v>
      </c>
      <c r="H64" s="316" t="s">
        <v>172</v>
      </c>
      <c r="I64" s="317"/>
      <c r="J64" s="317">
        <v>975</v>
      </c>
      <c r="K64" s="316" t="s">
        <v>752</v>
      </c>
      <c r="L64" s="192">
        <f>I64+J64*EERR!$D$2</f>
        <v>613762.5</v>
      </c>
      <c r="M64" s="123">
        <f>L64/EERR!$D$2</f>
        <v>975</v>
      </c>
      <c r="N64" s="123">
        <f>SUMIF(Oct!$B$3:$B$89,A64,Oct!$T$3:$T$89)</f>
        <v>1227525</v>
      </c>
    </row>
    <row r="65" spans="1:14" x14ac:dyDescent="0.3">
      <c r="A65" s="314">
        <v>49529</v>
      </c>
      <c r="B65" s="315" t="s">
        <v>753</v>
      </c>
      <c r="C65" s="316" t="s">
        <v>594</v>
      </c>
      <c r="D65" s="316" t="s">
        <v>169</v>
      </c>
      <c r="E65" s="316" t="s">
        <v>170</v>
      </c>
      <c r="F65" s="316" t="s">
        <v>174</v>
      </c>
      <c r="G65" s="316" t="s">
        <v>754</v>
      </c>
      <c r="H65" s="316" t="s">
        <v>172</v>
      </c>
      <c r="I65" s="317"/>
      <c r="J65" s="317">
        <v>780</v>
      </c>
      <c r="K65" s="316" t="s">
        <v>755</v>
      </c>
      <c r="L65" s="192">
        <f>I65+J65*EERR!$D$2</f>
        <v>491010</v>
      </c>
      <c r="M65" s="123">
        <f>L65/EERR!$D$2</f>
        <v>780</v>
      </c>
      <c r="N65" s="123">
        <f>SUMIF(Oct!$B$3:$B$89,A65,Oct!$T$3:$T$89)</f>
        <v>1227525</v>
      </c>
    </row>
    <row r="66" spans="1:14" x14ac:dyDescent="0.3">
      <c r="A66" s="314">
        <v>22231</v>
      </c>
      <c r="B66" s="315" t="s">
        <v>756</v>
      </c>
      <c r="C66" s="316" t="s">
        <v>594</v>
      </c>
      <c r="D66" s="316" t="s">
        <v>169</v>
      </c>
      <c r="E66" s="316" t="s">
        <v>170</v>
      </c>
      <c r="F66" s="316" t="s">
        <v>175</v>
      </c>
      <c r="G66" s="316" t="s">
        <v>624</v>
      </c>
      <c r="H66" s="316" t="s">
        <v>172</v>
      </c>
      <c r="I66" s="317"/>
      <c r="J66" s="317">
        <v>390</v>
      </c>
      <c r="K66" s="316" t="s">
        <v>757</v>
      </c>
      <c r="L66" s="192">
        <f>I66+J66*EERR!$D$2</f>
        <v>245505</v>
      </c>
      <c r="M66" s="123">
        <f>L66/EERR!$D$2</f>
        <v>390</v>
      </c>
      <c r="N66" s="123">
        <f>SUMIF(Oct!$B$3:$B$89,A66,Oct!$T$3:$T$89)</f>
        <v>368257.5</v>
      </c>
    </row>
    <row r="67" spans="1:14" x14ac:dyDescent="0.3">
      <c r="A67" s="314">
        <v>98518</v>
      </c>
      <c r="B67" s="315" t="s">
        <v>758</v>
      </c>
      <c r="C67" s="316" t="s">
        <v>594</v>
      </c>
      <c r="D67" s="316" t="s">
        <v>169</v>
      </c>
      <c r="E67" s="316" t="s">
        <v>170</v>
      </c>
      <c r="F67" s="316" t="s">
        <v>175</v>
      </c>
      <c r="G67" s="316" t="s">
        <v>759</v>
      </c>
      <c r="H67" s="316" t="s">
        <v>172</v>
      </c>
      <c r="I67" s="317"/>
      <c r="J67" s="317">
        <v>975</v>
      </c>
      <c r="K67" s="316" t="s">
        <v>760</v>
      </c>
      <c r="L67" s="192">
        <f>I67+J67*EERR!$D$2</f>
        <v>613762.5</v>
      </c>
      <c r="M67" s="123">
        <f>L67/EERR!$D$2</f>
        <v>975</v>
      </c>
      <c r="N67" s="123">
        <f>SUMIF(Oct!$B$3:$B$89,A67,Oct!$T$3:$T$89)</f>
        <v>736515</v>
      </c>
    </row>
    <row r="68" spans="1:14" x14ac:dyDescent="0.3">
      <c r="A68" s="314">
        <v>68732</v>
      </c>
      <c r="B68" s="315" t="s">
        <v>761</v>
      </c>
      <c r="C68" s="316" t="s">
        <v>594</v>
      </c>
      <c r="D68" s="316" t="s">
        <v>169</v>
      </c>
      <c r="E68" s="316" t="s">
        <v>170</v>
      </c>
      <c r="F68" s="316" t="s">
        <v>174</v>
      </c>
      <c r="G68" s="316" t="s">
        <v>762</v>
      </c>
      <c r="H68" s="316" t="s">
        <v>172</v>
      </c>
      <c r="I68" s="317"/>
      <c r="J68" s="317">
        <v>351</v>
      </c>
      <c r="K68" s="316" t="s">
        <v>763</v>
      </c>
      <c r="L68" s="192">
        <f>I68+J68*EERR!$D$2</f>
        <v>220954.5</v>
      </c>
      <c r="M68" s="123">
        <f>L68/EERR!$D$2</f>
        <v>351</v>
      </c>
      <c r="N68" s="123">
        <f>SUMIF(Oct!$B$3:$B$89,A68,Oct!$T$3:$T$89)</f>
        <v>331431.75</v>
      </c>
    </row>
    <row r="69" spans="1:14" x14ac:dyDescent="0.3">
      <c r="A69" s="314">
        <v>85634</v>
      </c>
      <c r="B69" s="315" t="s">
        <v>764</v>
      </c>
      <c r="C69" s="316" t="s">
        <v>594</v>
      </c>
      <c r="D69" s="316" t="s">
        <v>169</v>
      </c>
      <c r="E69" s="316" t="s">
        <v>170</v>
      </c>
      <c r="F69" s="316" t="s">
        <v>175</v>
      </c>
      <c r="G69" s="316" t="s">
        <v>765</v>
      </c>
      <c r="H69" s="316" t="s">
        <v>172</v>
      </c>
      <c r="I69" s="317"/>
      <c r="J69" s="317">
        <v>175.5</v>
      </c>
      <c r="K69" s="316" t="s">
        <v>766</v>
      </c>
      <c r="L69" s="192">
        <f>I69+J69*EERR!$D$2</f>
        <v>110477.25</v>
      </c>
      <c r="M69" s="123">
        <f>L69/EERR!$D$2</f>
        <v>175.5</v>
      </c>
      <c r="N69" s="123">
        <f>SUMIF(Oct!$B$3:$B$89,A69,Oct!$T$3:$T$89)</f>
        <v>0</v>
      </c>
    </row>
    <row r="70" spans="1:14" x14ac:dyDescent="0.3">
      <c r="A70" s="314">
        <v>5839</v>
      </c>
      <c r="B70" s="315" t="s">
        <v>767</v>
      </c>
      <c r="C70" s="316" t="s">
        <v>594</v>
      </c>
      <c r="D70" s="316" t="s">
        <v>169</v>
      </c>
      <c r="E70" s="316" t="s">
        <v>170</v>
      </c>
      <c r="F70" s="316" t="s">
        <v>171</v>
      </c>
      <c r="G70" s="316" t="s">
        <v>768</v>
      </c>
      <c r="H70" s="316" t="s">
        <v>172</v>
      </c>
      <c r="I70" s="317"/>
      <c r="J70" s="317">
        <v>195</v>
      </c>
      <c r="K70" s="316" t="s">
        <v>769</v>
      </c>
      <c r="L70" s="192">
        <f>I70+J70*EERR!$D$2</f>
        <v>122752.5</v>
      </c>
      <c r="M70" s="123">
        <f>L70/EERR!$D$2</f>
        <v>195</v>
      </c>
      <c r="N70" s="123">
        <f>SUMIF(Oct!$B$3:$B$89,A70,Oct!$T$3:$T$89)</f>
        <v>0</v>
      </c>
    </row>
    <row r="71" spans="1:14" x14ac:dyDescent="0.3">
      <c r="A71" s="314">
        <v>94305</v>
      </c>
      <c r="B71" s="315" t="s">
        <v>767</v>
      </c>
      <c r="C71" s="316" t="s">
        <v>594</v>
      </c>
      <c r="D71" s="316" t="s">
        <v>169</v>
      </c>
      <c r="E71" s="316" t="s">
        <v>170</v>
      </c>
      <c r="F71" s="316" t="s">
        <v>174</v>
      </c>
      <c r="G71" s="316" t="s">
        <v>770</v>
      </c>
      <c r="H71" s="316" t="s">
        <v>172</v>
      </c>
      <c r="I71" s="317"/>
      <c r="J71" s="317">
        <v>175.5</v>
      </c>
      <c r="K71" s="316" t="s">
        <v>771</v>
      </c>
      <c r="L71" s="192">
        <f>I71+J71*EERR!$D$2</f>
        <v>110477.25</v>
      </c>
      <c r="M71" s="123">
        <f>L71/EERR!$D$2</f>
        <v>175.5</v>
      </c>
      <c r="N71" s="123">
        <f>SUMIF(Oct!$B$3:$B$89,A71,Oct!$T$3:$T$89)</f>
        <v>0</v>
      </c>
    </row>
    <row r="72" spans="1:14" x14ac:dyDescent="0.3">
      <c r="A72" s="314">
        <v>46611</v>
      </c>
      <c r="B72" s="315" t="s">
        <v>772</v>
      </c>
      <c r="C72" s="316" t="s">
        <v>594</v>
      </c>
      <c r="D72" s="316" t="s">
        <v>169</v>
      </c>
      <c r="E72" s="316" t="s">
        <v>170</v>
      </c>
      <c r="F72" s="316" t="s">
        <v>171</v>
      </c>
      <c r="G72" s="316" t="s">
        <v>773</v>
      </c>
      <c r="H72" s="316" t="s">
        <v>172</v>
      </c>
      <c r="I72" s="317"/>
      <c r="J72" s="317">
        <v>175.5</v>
      </c>
      <c r="K72" s="316" t="s">
        <v>774</v>
      </c>
      <c r="L72" s="192">
        <f>I72+J72*EERR!$D$2</f>
        <v>110477.25</v>
      </c>
      <c r="M72" s="123">
        <f>L72/EERR!$D$2</f>
        <v>175.5</v>
      </c>
      <c r="N72" s="123">
        <f>SUMIF(Oct!$B$3:$B$89,A72,Oct!$T$3:$T$89)</f>
        <v>0</v>
      </c>
    </row>
    <row r="73" spans="1:14" x14ac:dyDescent="0.3">
      <c r="A73" s="314">
        <v>88081</v>
      </c>
      <c r="B73" s="315" t="s">
        <v>775</v>
      </c>
      <c r="C73" s="316" t="s">
        <v>594</v>
      </c>
      <c r="D73" s="316" t="s">
        <v>169</v>
      </c>
      <c r="E73" s="316" t="s">
        <v>170</v>
      </c>
      <c r="F73" s="316" t="s">
        <v>174</v>
      </c>
      <c r="G73" s="316" t="s">
        <v>776</v>
      </c>
      <c r="H73" s="316" t="s">
        <v>172</v>
      </c>
      <c r="I73" s="317"/>
      <c r="J73" s="317">
        <v>195</v>
      </c>
      <c r="K73" s="316" t="s">
        <v>777</v>
      </c>
      <c r="L73" s="192">
        <f>I73+J73*EERR!$D$2</f>
        <v>122752.5</v>
      </c>
      <c r="M73" s="123">
        <f>L73/EERR!$D$2</f>
        <v>195</v>
      </c>
      <c r="N73" s="123">
        <f>SUMIF(Oct!$B$3:$B$89,A73,Oct!$T$3:$T$89)</f>
        <v>0</v>
      </c>
    </row>
    <row r="74" spans="1:14" x14ac:dyDescent="0.3">
      <c r="A74" s="314">
        <v>44587</v>
      </c>
      <c r="B74" s="315" t="s">
        <v>778</v>
      </c>
      <c r="C74" s="316" t="s">
        <v>591</v>
      </c>
      <c r="D74" s="316" t="s">
        <v>169</v>
      </c>
      <c r="E74" s="316" t="s">
        <v>173</v>
      </c>
      <c r="F74" s="316" t="s">
        <v>175</v>
      </c>
      <c r="G74" s="316" t="s">
        <v>779</v>
      </c>
      <c r="H74" s="316" t="s">
        <v>173</v>
      </c>
      <c r="I74" s="317">
        <v>552000</v>
      </c>
      <c r="J74" s="317"/>
      <c r="K74" s="316" t="s">
        <v>780</v>
      </c>
      <c r="L74" s="192">
        <f>I74+J74*EERR!$D$2</f>
        <v>552000</v>
      </c>
      <c r="M74" s="123">
        <f>L74/EERR!$D$2</f>
        <v>876.88641779189834</v>
      </c>
      <c r="N74" s="123">
        <f>SUMIF(Oct!$B$3:$B$89,A74,Oct!$T$3:$T$89)</f>
        <v>0</v>
      </c>
    </row>
    <row r="75" spans="1:14" x14ac:dyDescent="0.3">
      <c r="A75" s="314">
        <v>44590</v>
      </c>
      <c r="B75" s="315" t="s">
        <v>781</v>
      </c>
      <c r="C75" s="316" t="s">
        <v>591</v>
      </c>
      <c r="D75" s="316" t="s">
        <v>169</v>
      </c>
      <c r="E75" s="316" t="s">
        <v>173</v>
      </c>
      <c r="F75" s="316" t="s">
        <v>175</v>
      </c>
      <c r="G75" s="316" t="s">
        <v>779</v>
      </c>
      <c r="H75" s="316" t="s">
        <v>173</v>
      </c>
      <c r="I75" s="317">
        <v>276000</v>
      </c>
      <c r="J75" s="317"/>
      <c r="K75" s="316" t="s">
        <v>782</v>
      </c>
      <c r="L75" s="192">
        <f>I75+J75*EERR!$D$2</f>
        <v>276000</v>
      </c>
      <c r="M75" s="123">
        <f>L75/EERR!$D$2</f>
        <v>438.44320889594917</v>
      </c>
      <c r="N75" s="123">
        <f>SUMIF(Oct!$B$3:$B$89,A75,Oct!$T$3:$T$89)</f>
        <v>0</v>
      </c>
    </row>
    <row r="76" spans="1:14" x14ac:dyDescent="0.3">
      <c r="A76" s="314">
        <v>75178</v>
      </c>
      <c r="B76" s="315" t="s">
        <v>783</v>
      </c>
      <c r="C76" s="316" t="s">
        <v>594</v>
      </c>
      <c r="D76" s="316" t="s">
        <v>169</v>
      </c>
      <c r="E76" s="316" t="s">
        <v>170</v>
      </c>
      <c r="F76" s="316" t="s">
        <v>175</v>
      </c>
      <c r="G76" s="316" t="s">
        <v>784</v>
      </c>
      <c r="H76" s="316" t="s">
        <v>172</v>
      </c>
      <c r="I76" s="317"/>
      <c r="J76" s="317">
        <v>351</v>
      </c>
      <c r="K76" s="316" t="s">
        <v>785</v>
      </c>
      <c r="L76" s="192">
        <f>I76+J76*EERR!$D$2</f>
        <v>220954.5</v>
      </c>
      <c r="M76" s="123">
        <f>L76/EERR!$D$2</f>
        <v>351</v>
      </c>
      <c r="N76" s="123">
        <f>SUMIF(Oct!$B$3:$B$89,A76,Oct!$T$3:$T$89)</f>
        <v>0</v>
      </c>
    </row>
    <row r="77" spans="1:14" x14ac:dyDescent="0.3">
      <c r="A77" s="314">
        <v>99416</v>
      </c>
      <c r="B77" s="315" t="s">
        <v>786</v>
      </c>
      <c r="C77" s="316" t="s">
        <v>591</v>
      </c>
      <c r="D77" s="316" t="s">
        <v>169</v>
      </c>
      <c r="E77" s="316" t="s">
        <v>173</v>
      </c>
      <c r="F77" s="316" t="s">
        <v>175</v>
      </c>
      <c r="G77" s="316" t="s">
        <v>787</v>
      </c>
      <c r="H77" s="316" t="s">
        <v>173</v>
      </c>
      <c r="I77" s="317">
        <v>145263</v>
      </c>
      <c r="J77" s="317"/>
      <c r="K77" s="316" t="s">
        <v>788</v>
      </c>
      <c r="L77" s="192">
        <f>I77+J77*EERR!$D$2</f>
        <v>145263</v>
      </c>
      <c r="M77" s="123">
        <f>L77/EERR!$D$2</f>
        <v>230.75933280381255</v>
      </c>
      <c r="N77" s="123">
        <f>SUMIF(Oct!$B$3:$B$89,A77,Oct!$T$3:$T$89)</f>
        <v>0</v>
      </c>
    </row>
    <row r="78" spans="1:14" x14ac:dyDescent="0.3">
      <c r="A78" s="314">
        <v>90848</v>
      </c>
      <c r="B78" s="315" t="s">
        <v>789</v>
      </c>
      <c r="C78" s="316" t="s">
        <v>594</v>
      </c>
      <c r="D78" s="316" t="s">
        <v>169</v>
      </c>
      <c r="E78" s="316" t="s">
        <v>170</v>
      </c>
      <c r="F78" s="316" t="s">
        <v>175</v>
      </c>
      <c r="G78" s="316" t="s">
        <v>790</v>
      </c>
      <c r="H78" s="316" t="s">
        <v>172</v>
      </c>
      <c r="I78" s="317"/>
      <c r="J78" s="317">
        <v>195</v>
      </c>
      <c r="K78" s="316" t="s">
        <v>791</v>
      </c>
      <c r="L78" s="192">
        <f>I78+J78*EERR!$D$2</f>
        <v>122752.5</v>
      </c>
      <c r="M78" s="123">
        <f>L78/EERR!$D$2</f>
        <v>195</v>
      </c>
      <c r="N78" s="123">
        <f>SUMIF(Oct!$B$3:$B$89,A78,Oct!$T$3:$T$89)</f>
        <v>0</v>
      </c>
    </row>
    <row r="79" spans="1:14" x14ac:dyDescent="0.3">
      <c r="A79" s="314">
        <v>2394</v>
      </c>
      <c r="B79" s="315" t="s">
        <v>792</v>
      </c>
      <c r="C79" s="316" t="s">
        <v>594</v>
      </c>
      <c r="D79" s="316" t="s">
        <v>169</v>
      </c>
      <c r="E79" s="316" t="s">
        <v>170</v>
      </c>
      <c r="F79" s="316" t="s">
        <v>175</v>
      </c>
      <c r="G79" s="316" t="s">
        <v>793</v>
      </c>
      <c r="H79" s="316" t="s">
        <v>172</v>
      </c>
      <c r="I79" s="317"/>
      <c r="J79" s="317">
        <v>185.25</v>
      </c>
      <c r="K79" s="316" t="s">
        <v>794</v>
      </c>
      <c r="L79" s="192">
        <f>I79+J79*EERR!$D$2</f>
        <v>116614.875</v>
      </c>
      <c r="M79" s="123">
        <f>L79/EERR!$D$2</f>
        <v>185.25</v>
      </c>
      <c r="N79" s="123">
        <f>SUMIF(Oct!$B$3:$B$89,A79,Oct!$T$3:$T$89)</f>
        <v>0</v>
      </c>
    </row>
    <row r="80" spans="1:14" x14ac:dyDescent="0.3">
      <c r="A80" s="314">
        <v>58083</v>
      </c>
      <c r="B80" s="315" t="s">
        <v>795</v>
      </c>
      <c r="C80" s="316" t="s">
        <v>594</v>
      </c>
      <c r="D80" s="316" t="s">
        <v>169</v>
      </c>
      <c r="E80" s="316" t="s">
        <v>170</v>
      </c>
      <c r="F80" s="316" t="s">
        <v>174</v>
      </c>
      <c r="G80" s="316" t="s">
        <v>796</v>
      </c>
      <c r="H80" s="316" t="s">
        <v>172</v>
      </c>
      <c r="I80" s="317"/>
      <c r="J80" s="317">
        <v>195</v>
      </c>
      <c r="K80" s="316" t="s">
        <v>797</v>
      </c>
      <c r="L80" s="192">
        <f>I80+J80*EERR!$D$2</f>
        <v>122752.5</v>
      </c>
      <c r="M80" s="123">
        <f>L80/EERR!$D$2</f>
        <v>195</v>
      </c>
      <c r="N80" s="123">
        <f>SUMIF(Oct!$B$3:$B$89,A80,Oct!$T$3:$T$89)</f>
        <v>0</v>
      </c>
    </row>
    <row r="81" spans="1:14" x14ac:dyDescent="0.3">
      <c r="A81" s="314">
        <v>1867</v>
      </c>
      <c r="B81" s="315" t="s">
        <v>798</v>
      </c>
      <c r="C81" s="316" t="s">
        <v>594</v>
      </c>
      <c r="D81" s="316" t="s">
        <v>169</v>
      </c>
      <c r="E81" s="316" t="s">
        <v>170</v>
      </c>
      <c r="F81" s="316" t="s">
        <v>174</v>
      </c>
      <c r="G81" s="316" t="s">
        <v>799</v>
      </c>
      <c r="H81" s="316" t="s">
        <v>172</v>
      </c>
      <c r="I81" s="317"/>
      <c r="J81" s="317">
        <v>195</v>
      </c>
      <c r="K81" s="316" t="s">
        <v>800</v>
      </c>
      <c r="L81" s="192">
        <f>I81+J81*EERR!$D$2</f>
        <v>122752.5</v>
      </c>
      <c r="M81" s="123">
        <f>L81/EERR!$D$2</f>
        <v>195</v>
      </c>
      <c r="N81" s="123">
        <f>SUMIF(Oct!$B$3:$B$89,A81,Oct!$T$3:$T$89)</f>
        <v>0</v>
      </c>
    </row>
    <row r="82" spans="1:14" x14ac:dyDescent="0.3">
      <c r="A82" s="314">
        <v>22190</v>
      </c>
      <c r="B82" s="315" t="s">
        <v>801</v>
      </c>
      <c r="C82" s="316" t="s">
        <v>591</v>
      </c>
      <c r="D82" s="316" t="s">
        <v>169</v>
      </c>
      <c r="E82" s="316" t="s">
        <v>173</v>
      </c>
      <c r="F82" s="316" t="s">
        <v>174</v>
      </c>
      <c r="G82" s="316" t="s">
        <v>802</v>
      </c>
      <c r="H82" s="316" t="s">
        <v>173</v>
      </c>
      <c r="I82" s="317">
        <v>145263</v>
      </c>
      <c r="J82" s="317"/>
      <c r="K82" s="316" t="s">
        <v>803</v>
      </c>
      <c r="L82" s="192">
        <f>I82+J82*EERR!$D$2</f>
        <v>145263</v>
      </c>
      <c r="M82" s="123">
        <f>L82/EERR!$D$2</f>
        <v>230.75933280381255</v>
      </c>
      <c r="N82" s="123">
        <f>SUMIF(Oct!$B$3:$B$89,A82,Oct!$T$3:$T$89)</f>
        <v>0</v>
      </c>
    </row>
    <row r="83" spans="1:14" x14ac:dyDescent="0.3">
      <c r="A83" s="314">
        <v>72862</v>
      </c>
      <c r="B83" s="315" t="s">
        <v>804</v>
      </c>
      <c r="C83" s="316" t="s">
        <v>591</v>
      </c>
      <c r="D83" s="316" t="s">
        <v>169</v>
      </c>
      <c r="E83" s="316" t="s">
        <v>173</v>
      </c>
      <c r="F83" s="316" t="s">
        <v>174</v>
      </c>
      <c r="G83" s="316" t="s">
        <v>805</v>
      </c>
      <c r="H83" s="316" t="s">
        <v>173</v>
      </c>
      <c r="I83" s="317">
        <v>145263</v>
      </c>
      <c r="J83" s="317"/>
      <c r="K83" s="316" t="s">
        <v>806</v>
      </c>
      <c r="L83" s="192">
        <f>I83+J83*EERR!$D$2</f>
        <v>145263</v>
      </c>
      <c r="M83" s="123">
        <f>L83/EERR!$D$2</f>
        <v>230.75933280381255</v>
      </c>
      <c r="N83" s="123">
        <f>SUMIF(Oct!$B$3:$B$89,A83,Oct!$T$3:$T$89)</f>
        <v>0</v>
      </c>
    </row>
    <row r="84" spans="1:14" x14ac:dyDescent="0.3">
      <c r="A84" s="314">
        <v>36898</v>
      </c>
      <c r="B84" s="315" t="s">
        <v>807</v>
      </c>
      <c r="C84" s="316" t="s">
        <v>594</v>
      </c>
      <c r="D84" s="316" t="s">
        <v>169</v>
      </c>
      <c r="E84" s="316" t="s">
        <v>170</v>
      </c>
      <c r="F84" s="316" t="s">
        <v>175</v>
      </c>
      <c r="G84" s="316" t="s">
        <v>808</v>
      </c>
      <c r="H84" s="316" t="s">
        <v>172</v>
      </c>
      <c r="I84" s="317"/>
      <c r="J84" s="317">
        <v>220</v>
      </c>
      <c r="K84" s="316" t="s">
        <v>809</v>
      </c>
      <c r="L84" s="192">
        <f>I84+J84*EERR!$D$2</f>
        <v>138490</v>
      </c>
      <c r="M84" s="123">
        <f>L84/EERR!$D$2</f>
        <v>220</v>
      </c>
      <c r="N84" s="123">
        <f>SUMIF(Oct!$B$3:$B$89,A84,Oct!$T$3:$T$89)</f>
        <v>261242.5</v>
      </c>
    </row>
    <row r="85" spans="1:14" x14ac:dyDescent="0.3">
      <c r="A85" s="314">
        <v>76326</v>
      </c>
      <c r="B85" s="315" t="s">
        <v>810</v>
      </c>
      <c r="C85" s="316" t="s">
        <v>594</v>
      </c>
      <c r="D85" s="316" t="s">
        <v>169</v>
      </c>
      <c r="E85" s="316" t="s">
        <v>170</v>
      </c>
      <c r="F85" s="316" t="s">
        <v>174</v>
      </c>
      <c r="G85" s="316" t="s">
        <v>685</v>
      </c>
      <c r="H85" s="316" t="s">
        <v>172</v>
      </c>
      <c r="I85" s="317"/>
      <c r="J85" s="317">
        <v>175.5</v>
      </c>
      <c r="K85" s="316" t="s">
        <v>811</v>
      </c>
      <c r="L85" s="192">
        <f>I85+J85*EERR!$D$2</f>
        <v>110477.25</v>
      </c>
      <c r="M85" s="123">
        <f>L85/EERR!$D$2</f>
        <v>175.5</v>
      </c>
      <c r="N85" s="123">
        <f>SUMIF(Oct!$B$3:$B$89,A85,Oct!$T$3:$T$89)</f>
        <v>0</v>
      </c>
    </row>
    <row r="86" spans="1:14" x14ac:dyDescent="0.3">
      <c r="A86" s="314">
        <v>66238</v>
      </c>
      <c r="B86" s="315" t="s">
        <v>812</v>
      </c>
      <c r="C86" s="316" t="s">
        <v>594</v>
      </c>
      <c r="D86" s="316" t="s">
        <v>169</v>
      </c>
      <c r="E86" s="316" t="s">
        <v>170</v>
      </c>
      <c r="F86" s="316" t="s">
        <v>175</v>
      </c>
      <c r="G86" s="316" t="s">
        <v>813</v>
      </c>
      <c r="H86" s="316" t="s">
        <v>172</v>
      </c>
      <c r="I86" s="317"/>
      <c r="J86" s="317">
        <v>555.75</v>
      </c>
      <c r="K86" s="316" t="s">
        <v>814</v>
      </c>
      <c r="L86" s="192">
        <f>I86+J86*EERR!$D$2</f>
        <v>349844.625</v>
      </c>
      <c r="M86" s="123">
        <f>L86/EERR!$D$2</f>
        <v>555.75</v>
      </c>
      <c r="N86" s="123">
        <f>SUMIF(Oct!$B$3:$B$89,A86,Oct!$T$3:$T$89)</f>
        <v>466459.5</v>
      </c>
    </row>
    <row r="87" spans="1:14" x14ac:dyDescent="0.3">
      <c r="A87" s="314">
        <v>1472</v>
      </c>
      <c r="B87" s="315" t="s">
        <v>815</v>
      </c>
      <c r="C87" s="316" t="s">
        <v>591</v>
      </c>
      <c r="D87" s="316" t="s">
        <v>169</v>
      </c>
      <c r="E87" s="316" t="s">
        <v>173</v>
      </c>
      <c r="F87" s="316" t="s">
        <v>174</v>
      </c>
      <c r="G87" s="316" t="s">
        <v>816</v>
      </c>
      <c r="H87" s="316" t="s">
        <v>173</v>
      </c>
      <c r="I87" s="317">
        <v>290527</v>
      </c>
      <c r="J87" s="317"/>
      <c r="K87" s="316" t="s">
        <v>817</v>
      </c>
      <c r="L87" s="192">
        <f>I87+J87*EERR!$D$2</f>
        <v>290527</v>
      </c>
      <c r="M87" s="123">
        <f>L87/EERR!$D$2</f>
        <v>461.52025416997617</v>
      </c>
      <c r="N87" s="123">
        <f>SUMIF(Oct!$B$3:$B$89,A87,Oct!$T$3:$T$89)</f>
        <v>0</v>
      </c>
    </row>
    <row r="88" spans="1:14" x14ac:dyDescent="0.3">
      <c r="A88" s="314">
        <v>41402</v>
      </c>
      <c r="B88" s="315" t="s">
        <v>818</v>
      </c>
      <c r="C88" s="316" t="s">
        <v>591</v>
      </c>
      <c r="D88" s="316" t="s">
        <v>169</v>
      </c>
      <c r="E88" s="316" t="s">
        <v>173</v>
      </c>
      <c r="F88" s="316" t="s">
        <v>175</v>
      </c>
      <c r="G88" s="316" t="s">
        <v>819</v>
      </c>
      <c r="H88" s="316" t="s">
        <v>173</v>
      </c>
      <c r="I88" s="317">
        <v>145959</v>
      </c>
      <c r="J88" s="317"/>
      <c r="K88" s="316" t="s">
        <v>820</v>
      </c>
      <c r="L88" s="192">
        <f>I88+J88*EERR!$D$2</f>
        <v>145959</v>
      </c>
      <c r="M88" s="123">
        <f>L88/EERR!$D$2</f>
        <v>231.86497220015886</v>
      </c>
      <c r="N88" s="123">
        <f>SUMIF(Oct!$B$3:$B$89,A88,Oct!$T$3:$T$89)</f>
        <v>0</v>
      </c>
    </row>
    <row r="89" spans="1:14" x14ac:dyDescent="0.3">
      <c r="A89" s="314">
        <v>47080</v>
      </c>
      <c r="B89" s="315" t="s">
        <v>821</v>
      </c>
      <c r="C89" s="316" t="s">
        <v>594</v>
      </c>
      <c r="D89" s="316" t="s">
        <v>169</v>
      </c>
      <c r="E89" s="316" t="s">
        <v>170</v>
      </c>
      <c r="F89" s="316" t="s">
        <v>171</v>
      </c>
      <c r="G89" s="316" t="s">
        <v>822</v>
      </c>
      <c r="H89" s="316" t="s">
        <v>172</v>
      </c>
      <c r="I89" s="317"/>
      <c r="J89" s="317">
        <v>195</v>
      </c>
      <c r="K89" s="316" t="s">
        <v>823</v>
      </c>
      <c r="L89" s="192">
        <f>I89+J89*EERR!$D$2</f>
        <v>122752.5</v>
      </c>
      <c r="M89" s="123">
        <f>L89/EERR!$D$2</f>
        <v>195</v>
      </c>
      <c r="N89" s="123">
        <f>SUMIF(Oct!$B$3:$B$89,A89,Oct!$T$3:$T$89)</f>
        <v>0</v>
      </c>
    </row>
    <row r="90" spans="1:14" x14ac:dyDescent="0.3">
      <c r="A90" s="314">
        <v>94645</v>
      </c>
      <c r="B90" s="315" t="s">
        <v>824</v>
      </c>
      <c r="C90" s="316" t="s">
        <v>594</v>
      </c>
      <c r="D90" s="316" t="s">
        <v>169</v>
      </c>
      <c r="E90" s="316" t="s">
        <v>170</v>
      </c>
      <c r="F90" s="316" t="s">
        <v>175</v>
      </c>
      <c r="G90" s="316" t="s">
        <v>825</v>
      </c>
      <c r="H90" s="316" t="s">
        <v>172</v>
      </c>
      <c r="I90" s="317"/>
      <c r="J90" s="317">
        <v>175.5</v>
      </c>
      <c r="K90" s="316" t="s">
        <v>826</v>
      </c>
      <c r="L90" s="192">
        <f>I90+J90*EERR!$D$2</f>
        <v>110477.25</v>
      </c>
      <c r="M90" s="123">
        <f>L90/EERR!$D$2</f>
        <v>175.5</v>
      </c>
      <c r="N90" s="123">
        <f>SUMIF(Oct!$B$3:$B$89,A90,Oct!$T$3:$T$89)</f>
        <v>0</v>
      </c>
    </row>
    <row r="91" spans="1:14" x14ac:dyDescent="0.3">
      <c r="A91" s="314">
        <v>12797</v>
      </c>
      <c r="B91" s="315" t="s">
        <v>827</v>
      </c>
      <c r="C91" s="316" t="s">
        <v>591</v>
      </c>
      <c r="D91" s="316" t="s">
        <v>169</v>
      </c>
      <c r="E91" s="316" t="s">
        <v>173</v>
      </c>
      <c r="F91" s="316" t="s">
        <v>174</v>
      </c>
      <c r="G91" s="316" t="s">
        <v>816</v>
      </c>
      <c r="H91" s="316" t="s">
        <v>173</v>
      </c>
      <c r="I91" s="317">
        <v>146423</v>
      </c>
      <c r="J91" s="317"/>
      <c r="K91" s="316" t="s">
        <v>828</v>
      </c>
      <c r="L91" s="192">
        <f>I91+J91*EERR!$D$2</f>
        <v>146423</v>
      </c>
      <c r="M91" s="123">
        <f>L91/EERR!$D$2</f>
        <v>232.60206513105641</v>
      </c>
      <c r="N91" s="123">
        <f>SUMIF(Oct!$B$3:$B$89,A91,Oct!$T$3:$T$89)</f>
        <v>0</v>
      </c>
    </row>
    <row r="92" spans="1:14" x14ac:dyDescent="0.3">
      <c r="A92" s="314">
        <v>29425</v>
      </c>
      <c r="B92" s="315" t="s">
        <v>829</v>
      </c>
      <c r="C92" s="316" t="s">
        <v>591</v>
      </c>
      <c r="D92" s="316" t="s">
        <v>169</v>
      </c>
      <c r="E92" s="316" t="s">
        <v>173</v>
      </c>
      <c r="F92" s="316" t="s">
        <v>174</v>
      </c>
      <c r="G92" s="316" t="s">
        <v>830</v>
      </c>
      <c r="H92" s="316" t="s">
        <v>173</v>
      </c>
      <c r="I92" s="317">
        <v>146423</v>
      </c>
      <c r="J92" s="317"/>
      <c r="K92" s="316" t="s">
        <v>831</v>
      </c>
      <c r="L92" s="192">
        <f>I92+J92*EERR!$D$2</f>
        <v>146423</v>
      </c>
      <c r="M92" s="123">
        <f>L92/EERR!$D$2</f>
        <v>232.60206513105641</v>
      </c>
      <c r="N92" s="123">
        <f>SUMIF(Oct!$B$3:$B$89,A92,Oct!$T$3:$T$89)</f>
        <v>0</v>
      </c>
    </row>
    <row r="93" spans="1:14" x14ac:dyDescent="0.3">
      <c r="A93" s="314">
        <v>43699</v>
      </c>
      <c r="B93" s="315" t="s">
        <v>832</v>
      </c>
      <c r="C93" s="316" t="s">
        <v>594</v>
      </c>
      <c r="D93" s="316" t="s">
        <v>169</v>
      </c>
      <c r="E93" s="316" t="s">
        <v>170</v>
      </c>
      <c r="F93" s="316" t="s">
        <v>175</v>
      </c>
      <c r="G93" s="316" t="s">
        <v>833</v>
      </c>
      <c r="H93" s="316" t="s">
        <v>172</v>
      </c>
      <c r="I93" s="317"/>
      <c r="J93" s="317">
        <v>195</v>
      </c>
      <c r="K93" s="316" t="s">
        <v>834</v>
      </c>
      <c r="L93" s="192">
        <f>I93+J93*EERR!$D$2</f>
        <v>122752.5</v>
      </c>
      <c r="M93" s="123">
        <f>L93/EERR!$D$2</f>
        <v>195</v>
      </c>
      <c r="N93" s="123">
        <f>SUMIF(Oct!$B$3:$B$89,A93,Oct!$T$3:$T$89)</f>
        <v>0</v>
      </c>
    </row>
    <row r="94" spans="1:14" x14ac:dyDescent="0.3">
      <c r="A94" s="314">
        <v>46953</v>
      </c>
      <c r="B94" s="315" t="s">
        <v>835</v>
      </c>
      <c r="C94" s="316" t="s">
        <v>594</v>
      </c>
      <c r="D94" s="316" t="s">
        <v>169</v>
      </c>
      <c r="E94" s="316" t="s">
        <v>170</v>
      </c>
      <c r="F94" s="316" t="s">
        <v>175</v>
      </c>
      <c r="G94" s="316" t="s">
        <v>833</v>
      </c>
      <c r="H94" s="316" t="s">
        <v>172</v>
      </c>
      <c r="I94" s="317"/>
      <c r="J94" s="317">
        <v>195</v>
      </c>
      <c r="K94" s="316" t="s">
        <v>836</v>
      </c>
      <c r="L94" s="192">
        <f>I94+J94*EERR!$D$2</f>
        <v>122752.5</v>
      </c>
      <c r="M94" s="123">
        <f>L94/EERR!$D$2</f>
        <v>195</v>
      </c>
      <c r="N94" s="123">
        <f>SUMIF(Oct!$B$3:$B$89,A94,Oct!$T$3:$T$89)</f>
        <v>0</v>
      </c>
    </row>
    <row r="95" spans="1:14" x14ac:dyDescent="0.3">
      <c r="A95" s="314">
        <v>11166</v>
      </c>
      <c r="B95" s="315" t="s">
        <v>837</v>
      </c>
      <c r="C95" s="316" t="s">
        <v>594</v>
      </c>
      <c r="D95" s="316" t="s">
        <v>169</v>
      </c>
      <c r="E95" s="316" t="s">
        <v>170</v>
      </c>
      <c r="F95" s="316" t="s">
        <v>175</v>
      </c>
      <c r="G95" s="316" t="s">
        <v>833</v>
      </c>
      <c r="H95" s="316" t="s">
        <v>172</v>
      </c>
      <c r="I95" s="317"/>
      <c r="J95" s="317">
        <v>175.5</v>
      </c>
      <c r="K95" s="316" t="s">
        <v>838</v>
      </c>
      <c r="L95" s="192">
        <f>I95+J95*EERR!$D$2</f>
        <v>110477.25</v>
      </c>
      <c r="M95" s="123">
        <f>L95/EERR!$D$2</f>
        <v>175.5</v>
      </c>
      <c r="N95" s="123">
        <f>SUMIF(Oct!$B$3:$B$89,A95,Oct!$T$3:$T$89)</f>
        <v>0</v>
      </c>
    </row>
    <row r="96" spans="1:14" x14ac:dyDescent="0.3">
      <c r="A96" s="314">
        <v>9010</v>
      </c>
      <c r="B96" s="315" t="s">
        <v>839</v>
      </c>
      <c r="C96" s="316" t="s">
        <v>594</v>
      </c>
      <c r="D96" s="316" t="s">
        <v>169</v>
      </c>
      <c r="E96" s="316" t="s">
        <v>170</v>
      </c>
      <c r="F96" s="316" t="s">
        <v>174</v>
      </c>
      <c r="G96" s="316" t="s">
        <v>840</v>
      </c>
      <c r="H96" s="316" t="s">
        <v>172</v>
      </c>
      <c r="I96" s="317"/>
      <c r="J96" s="317">
        <v>370.5</v>
      </c>
      <c r="K96" s="316" t="s">
        <v>841</v>
      </c>
      <c r="L96" s="192">
        <f>I96+J96*EERR!$D$2</f>
        <v>233229.75</v>
      </c>
      <c r="M96" s="123">
        <f>L96/EERR!$D$2</f>
        <v>370.5</v>
      </c>
      <c r="N96" s="123">
        <f>SUMIF(Oct!$B$3:$B$89,A96,Oct!$T$3:$T$89)</f>
        <v>0</v>
      </c>
    </row>
    <row r="97" spans="1:18" x14ac:dyDescent="0.3">
      <c r="A97" s="314">
        <v>11597</v>
      </c>
      <c r="B97" s="315" t="s">
        <v>842</v>
      </c>
      <c r="C97" s="316" t="s">
        <v>594</v>
      </c>
      <c r="D97" s="316" t="s">
        <v>169</v>
      </c>
      <c r="E97" s="316" t="s">
        <v>170</v>
      </c>
      <c r="F97" s="316" t="s">
        <v>175</v>
      </c>
      <c r="G97" s="316" t="s">
        <v>843</v>
      </c>
      <c r="H97" s="316" t="s">
        <v>172</v>
      </c>
      <c r="I97" s="317"/>
      <c r="J97" s="317">
        <v>175.5</v>
      </c>
      <c r="K97" s="316" t="s">
        <v>844</v>
      </c>
      <c r="L97" s="192">
        <f>I97+J97*EERR!$D$2</f>
        <v>110477.25</v>
      </c>
      <c r="M97" s="123">
        <f>L97/EERR!$D$2</f>
        <v>175.5</v>
      </c>
      <c r="N97" s="123">
        <f>SUMIF(Oct!$B$3:$B$89,A97,Oct!$T$3:$T$89)</f>
        <v>0</v>
      </c>
    </row>
    <row r="98" spans="1:18" x14ac:dyDescent="0.3">
      <c r="A98" s="314">
        <v>44239</v>
      </c>
      <c r="B98" s="315" t="s">
        <v>845</v>
      </c>
      <c r="C98" s="316" t="s">
        <v>594</v>
      </c>
      <c r="D98" s="316" t="s">
        <v>169</v>
      </c>
      <c r="E98" s="316" t="s">
        <v>170</v>
      </c>
      <c r="F98" s="316" t="s">
        <v>174</v>
      </c>
      <c r="G98" s="316" t="s">
        <v>846</v>
      </c>
      <c r="H98" s="316" t="s">
        <v>172</v>
      </c>
      <c r="I98" s="317"/>
      <c r="J98" s="317">
        <v>195</v>
      </c>
      <c r="K98" s="316" t="s">
        <v>847</v>
      </c>
      <c r="L98" s="192">
        <f>I98+J98*EERR!$D$2</f>
        <v>122752.5</v>
      </c>
      <c r="M98" s="123">
        <f>L98/EERR!$D$2</f>
        <v>195</v>
      </c>
      <c r="N98" s="123">
        <f>SUMIF(Oct!$B$3:$B$89,A98,Oct!$T$3:$T$89)</f>
        <v>0</v>
      </c>
    </row>
    <row r="99" spans="1:18" x14ac:dyDescent="0.3">
      <c r="A99" s="314">
        <v>94645</v>
      </c>
      <c r="B99" s="315" t="s">
        <v>848</v>
      </c>
      <c r="C99" s="316" t="s">
        <v>594</v>
      </c>
      <c r="D99" s="316" t="s">
        <v>169</v>
      </c>
      <c r="E99" s="316" t="s">
        <v>170</v>
      </c>
      <c r="F99" s="316" t="s">
        <v>175</v>
      </c>
      <c r="G99" s="316" t="s">
        <v>825</v>
      </c>
      <c r="H99" s="316" t="s">
        <v>172</v>
      </c>
      <c r="I99" s="317"/>
      <c r="J99" s="317">
        <v>175.5</v>
      </c>
      <c r="K99" s="316" t="s">
        <v>849</v>
      </c>
      <c r="L99" s="192">
        <f>I99+J99*EERR!$D$2</f>
        <v>110477.25</v>
      </c>
      <c r="M99" s="123">
        <f>L99/EERR!$D$2</f>
        <v>175.5</v>
      </c>
      <c r="N99" s="123">
        <f>SUMIF(Oct!$B$3:$B$89,A99,Oct!$T$3:$T$89)</f>
        <v>0</v>
      </c>
    </row>
    <row r="100" spans="1:18" x14ac:dyDescent="0.3">
      <c r="A100" s="314">
        <v>24452</v>
      </c>
      <c r="B100" s="315" t="s">
        <v>850</v>
      </c>
      <c r="C100" s="316" t="s">
        <v>594</v>
      </c>
      <c r="D100" s="316" t="s">
        <v>169</v>
      </c>
      <c r="E100" s="316" t="s">
        <v>170</v>
      </c>
      <c r="F100" s="316" t="s">
        <v>174</v>
      </c>
      <c r="G100" s="316" t="s">
        <v>851</v>
      </c>
      <c r="H100" s="316" t="s">
        <v>172</v>
      </c>
      <c r="I100" s="317"/>
      <c r="J100" s="317">
        <v>390</v>
      </c>
      <c r="K100" s="316" t="s">
        <v>852</v>
      </c>
      <c r="L100" s="192">
        <f>I100+J100*EERR!$D$2</f>
        <v>245505</v>
      </c>
      <c r="M100" s="123">
        <f>L100/EERR!$D$2</f>
        <v>390</v>
      </c>
      <c r="N100" s="123">
        <f>SUMIF(Oct!$B$3:$B$89,A100,Oct!$T$3:$T$89)</f>
        <v>0</v>
      </c>
    </row>
    <row r="101" spans="1:18" x14ac:dyDescent="0.3">
      <c r="A101" s="314">
        <v>18668</v>
      </c>
      <c r="B101" s="315" t="s">
        <v>853</v>
      </c>
      <c r="C101" s="316" t="s">
        <v>594</v>
      </c>
      <c r="D101" s="316" t="s">
        <v>169</v>
      </c>
      <c r="E101" s="316" t="s">
        <v>170</v>
      </c>
      <c r="F101" s="316" t="s">
        <v>174</v>
      </c>
      <c r="G101" s="316" t="s">
        <v>854</v>
      </c>
      <c r="H101" s="316" t="s">
        <v>172</v>
      </c>
      <c r="I101" s="317"/>
      <c r="J101" s="317">
        <v>195</v>
      </c>
      <c r="K101" s="316" t="s">
        <v>855</v>
      </c>
      <c r="L101" s="192">
        <f>I101+J101*EERR!$D$2</f>
        <v>122752.5</v>
      </c>
      <c r="M101" s="123">
        <f>L101/EERR!$D$2</f>
        <v>195</v>
      </c>
      <c r="N101" s="123">
        <f>SUMIF(Oct!$B$3:$B$89,A101,Oct!$T$3:$T$89)</f>
        <v>0</v>
      </c>
    </row>
    <row r="102" spans="1:18" x14ac:dyDescent="0.3">
      <c r="A102" s="314">
        <v>48056</v>
      </c>
      <c r="B102" s="315" t="s">
        <v>856</v>
      </c>
      <c r="C102" s="316" t="s">
        <v>594</v>
      </c>
      <c r="D102" s="316" t="s">
        <v>169</v>
      </c>
      <c r="E102" s="316" t="s">
        <v>170</v>
      </c>
      <c r="F102" s="316" t="s">
        <v>174</v>
      </c>
      <c r="G102" s="316" t="s">
        <v>542</v>
      </c>
      <c r="H102" s="316" t="s">
        <v>172</v>
      </c>
      <c r="I102" s="317"/>
      <c r="J102" s="317">
        <v>855</v>
      </c>
      <c r="K102" s="316" t="s">
        <v>857</v>
      </c>
      <c r="L102" s="192">
        <f>I102+J102*EERR!$D$2</f>
        <v>538222.5</v>
      </c>
      <c r="M102" s="123">
        <f>L102/EERR!$D$2</f>
        <v>855</v>
      </c>
      <c r="N102" s="123">
        <f>SUMIF(Oct!$B$3:$B$89,A102,Oct!$T$3:$T$89)</f>
        <v>660975</v>
      </c>
      <c r="R102" s="60" t="s">
        <v>324</v>
      </c>
    </row>
    <row r="103" spans="1:18" x14ac:dyDescent="0.3">
      <c r="A103" s="314">
        <v>12508</v>
      </c>
      <c r="B103" s="315" t="s">
        <v>858</v>
      </c>
      <c r="C103" s="316" t="s">
        <v>591</v>
      </c>
      <c r="D103" s="316" t="s">
        <v>169</v>
      </c>
      <c r="E103" s="316" t="s">
        <v>173</v>
      </c>
      <c r="F103" s="316" t="s">
        <v>174</v>
      </c>
      <c r="G103" s="316" t="s">
        <v>859</v>
      </c>
      <c r="H103" s="316" t="s">
        <v>173</v>
      </c>
      <c r="I103" s="317">
        <v>134078</v>
      </c>
      <c r="J103" s="317"/>
      <c r="K103" s="316" t="s">
        <v>860</v>
      </c>
      <c r="L103" s="192">
        <f>I103+J103*EERR!$D$2</f>
        <v>134078</v>
      </c>
      <c r="M103" s="123">
        <f>L103/EERR!$D$2</f>
        <v>212.99126290706911</v>
      </c>
      <c r="N103" s="123">
        <f>SUMIF(Oct!$B$3:$B$89,A103,Oct!$T$3:$T$89)</f>
        <v>0</v>
      </c>
    </row>
    <row r="104" spans="1:18" x14ac:dyDescent="0.3">
      <c r="A104" s="314">
        <v>90835</v>
      </c>
      <c r="B104" s="315" t="s">
        <v>861</v>
      </c>
      <c r="C104" s="316" t="s">
        <v>594</v>
      </c>
      <c r="D104" s="316" t="s">
        <v>169</v>
      </c>
      <c r="E104" s="316" t="s">
        <v>170</v>
      </c>
      <c r="F104" s="316" t="s">
        <v>175</v>
      </c>
      <c r="G104" s="316" t="s">
        <v>862</v>
      </c>
      <c r="H104" s="316" t="s">
        <v>172</v>
      </c>
      <c r="I104" s="317"/>
      <c r="J104" s="317">
        <v>195</v>
      </c>
      <c r="K104" s="316" t="s">
        <v>863</v>
      </c>
      <c r="L104" s="192">
        <f>I104+J104*EERR!$D$2</f>
        <v>122752.5</v>
      </c>
      <c r="M104" s="123">
        <f>L104/EERR!$D$2</f>
        <v>195</v>
      </c>
      <c r="N104" s="123">
        <f>SUMIF(Oct!$B$3:$B$89,A104,Oct!$T$3:$T$89)</f>
        <v>0</v>
      </c>
    </row>
    <row r="105" spans="1:18" x14ac:dyDescent="0.3">
      <c r="A105" s="314">
        <v>14148</v>
      </c>
      <c r="B105" s="315" t="s">
        <v>864</v>
      </c>
      <c r="C105" s="316" t="s">
        <v>591</v>
      </c>
      <c r="D105" s="316" t="s">
        <v>169</v>
      </c>
      <c r="E105" s="316" t="s">
        <v>173</v>
      </c>
      <c r="F105" s="316" t="s">
        <v>175</v>
      </c>
      <c r="G105" s="316" t="s">
        <v>552</v>
      </c>
      <c r="H105" s="316" t="s">
        <v>173</v>
      </c>
      <c r="I105" s="317">
        <v>330392</v>
      </c>
      <c r="J105" s="317"/>
      <c r="K105" s="316" t="s">
        <v>865</v>
      </c>
      <c r="L105" s="192">
        <f>I105+J105*EERR!$D$2</f>
        <v>330392</v>
      </c>
      <c r="M105" s="123">
        <f>L105/EERR!$D$2</f>
        <v>524.84829229547256</v>
      </c>
      <c r="N105" s="123">
        <f>SUMIF(Oct!$B$3:$B$89,A105,Oct!$T$3:$T$89)</f>
        <v>497420</v>
      </c>
    </row>
    <row r="106" spans="1:18" x14ac:dyDescent="0.3">
      <c r="A106" s="314">
        <v>37786</v>
      </c>
      <c r="B106" s="315" t="s">
        <v>866</v>
      </c>
      <c r="C106" s="316" t="s">
        <v>591</v>
      </c>
      <c r="D106" s="316" t="s">
        <v>169</v>
      </c>
      <c r="E106" s="316" t="s">
        <v>173</v>
      </c>
      <c r="F106" s="316" t="s">
        <v>175</v>
      </c>
      <c r="G106" s="316" t="s">
        <v>867</v>
      </c>
      <c r="H106" s="316" t="s">
        <v>173</v>
      </c>
      <c r="I106" s="317">
        <v>165196</v>
      </c>
      <c r="J106" s="317"/>
      <c r="K106" s="316" t="s">
        <v>868</v>
      </c>
      <c r="L106" s="192">
        <f>I106+J106*EERR!$D$2</f>
        <v>165196</v>
      </c>
      <c r="M106" s="123">
        <f>L106/EERR!$D$2</f>
        <v>262.42414614773628</v>
      </c>
      <c r="N106" s="123">
        <f>SUMIF(Oct!$B$3:$B$89,A106,Oct!$T$3:$T$89)</f>
        <v>503965</v>
      </c>
    </row>
    <row r="107" spans="1:18" x14ac:dyDescent="0.3">
      <c r="A107" s="314">
        <v>37786</v>
      </c>
      <c r="B107" s="315" t="s">
        <v>869</v>
      </c>
      <c r="C107" s="316" t="s">
        <v>591</v>
      </c>
      <c r="D107" s="316" t="s">
        <v>169</v>
      </c>
      <c r="E107" s="316" t="s">
        <v>173</v>
      </c>
      <c r="F107" s="316" t="s">
        <v>175</v>
      </c>
      <c r="G107" s="316" t="s">
        <v>867</v>
      </c>
      <c r="H107" s="316" t="s">
        <v>173</v>
      </c>
      <c r="I107" s="317">
        <v>165196</v>
      </c>
      <c r="J107" s="317"/>
      <c r="K107" s="316" t="s">
        <v>870</v>
      </c>
      <c r="L107" s="192">
        <f>I107+J107*EERR!$D$2</f>
        <v>165196</v>
      </c>
      <c r="M107" s="123">
        <f>L107/EERR!$D$2</f>
        <v>262.42414614773628</v>
      </c>
      <c r="N107" s="123">
        <f>SUMIF(Oct!$B$3:$B$89,A107,Oct!$T$3:$T$89)</f>
        <v>503965</v>
      </c>
    </row>
    <row r="108" spans="1:18" x14ac:dyDescent="0.3">
      <c r="A108" s="314">
        <v>49324</v>
      </c>
      <c r="B108" s="315" t="s">
        <v>871</v>
      </c>
      <c r="C108" s="316" t="s">
        <v>591</v>
      </c>
      <c r="D108" s="316" t="s">
        <v>169</v>
      </c>
      <c r="E108" s="316" t="s">
        <v>173</v>
      </c>
      <c r="F108" s="316" t="s">
        <v>174</v>
      </c>
      <c r="G108" s="316" t="s">
        <v>872</v>
      </c>
      <c r="H108" s="316" t="s">
        <v>173</v>
      </c>
      <c r="I108" s="317">
        <v>330392</v>
      </c>
      <c r="J108" s="317"/>
      <c r="K108" s="316" t="s">
        <v>873</v>
      </c>
      <c r="L108" s="192">
        <f>I108+J108*EERR!$D$2</f>
        <v>330392</v>
      </c>
      <c r="M108" s="123">
        <f>L108/EERR!$D$2</f>
        <v>524.84829229547256</v>
      </c>
      <c r="N108" s="123">
        <f>SUMIF(Oct!$B$3:$B$89,A108,Oct!$T$3:$T$89)</f>
        <v>503965</v>
      </c>
    </row>
    <row r="109" spans="1:18" x14ac:dyDescent="0.3">
      <c r="A109" s="314">
        <v>69840</v>
      </c>
      <c r="B109" s="315" t="s">
        <v>874</v>
      </c>
      <c r="C109" s="316" t="s">
        <v>594</v>
      </c>
      <c r="D109" s="316" t="s">
        <v>169</v>
      </c>
      <c r="E109" s="316" t="s">
        <v>170</v>
      </c>
      <c r="F109" s="316" t="s">
        <v>875</v>
      </c>
      <c r="G109" s="316" t="s">
        <v>876</v>
      </c>
      <c r="H109" s="316" t="s">
        <v>172</v>
      </c>
      <c r="I109" s="317"/>
      <c r="J109" s="317">
        <v>195</v>
      </c>
      <c r="K109" s="316" t="s">
        <v>877</v>
      </c>
      <c r="L109" s="192">
        <f>I109+J109*EERR!$D$2</f>
        <v>122752.5</v>
      </c>
      <c r="M109" s="123">
        <f>L109/EERR!$D$2</f>
        <v>195</v>
      </c>
      <c r="N109" s="123">
        <f>SUMIF(Oct!$B$3:$B$89,A109,Oct!$T$3:$T$89)</f>
        <v>0</v>
      </c>
    </row>
    <row r="110" spans="1:18" x14ac:dyDescent="0.3">
      <c r="A110" s="314">
        <v>97715</v>
      </c>
      <c r="B110" s="315" t="s">
        <v>878</v>
      </c>
      <c r="C110" s="316" t="s">
        <v>591</v>
      </c>
      <c r="D110" s="316" t="s">
        <v>169</v>
      </c>
      <c r="E110" s="316" t="s">
        <v>173</v>
      </c>
      <c r="F110" s="316" t="s">
        <v>175</v>
      </c>
      <c r="G110" s="316" t="s">
        <v>879</v>
      </c>
      <c r="H110" s="316" t="s">
        <v>173</v>
      </c>
      <c r="I110" s="317">
        <v>146191</v>
      </c>
      <c r="J110" s="317"/>
      <c r="K110" s="316" t="s">
        <v>880</v>
      </c>
      <c r="L110" s="192">
        <f>I110+J110*EERR!$D$2</f>
        <v>146191</v>
      </c>
      <c r="M110" s="123">
        <f>L110/EERR!$D$2</f>
        <v>232.23351866560762</v>
      </c>
      <c r="N110" s="123">
        <f>SUMIF(Oct!$B$3:$B$89,A110,Oct!$T$3:$T$89)</f>
        <v>0</v>
      </c>
    </row>
    <row r="111" spans="1:18" x14ac:dyDescent="0.3">
      <c r="A111" s="314">
        <v>94926</v>
      </c>
      <c r="B111" s="315" t="s">
        <v>881</v>
      </c>
      <c r="C111" s="316" t="s">
        <v>591</v>
      </c>
      <c r="D111" s="316" t="s">
        <v>169</v>
      </c>
      <c r="E111" s="316" t="s">
        <v>173</v>
      </c>
      <c r="F111" s="316" t="s">
        <v>174</v>
      </c>
      <c r="G111" s="316" t="s">
        <v>882</v>
      </c>
      <c r="H111" s="316" t="s">
        <v>173</v>
      </c>
      <c r="I111" s="317">
        <v>146191</v>
      </c>
      <c r="J111" s="317"/>
      <c r="K111" s="316" t="s">
        <v>883</v>
      </c>
      <c r="L111" s="192">
        <f>I111+J111*EERR!$D$2</f>
        <v>146191</v>
      </c>
      <c r="M111" s="123">
        <f>L111/EERR!$D$2</f>
        <v>232.23351866560762</v>
      </c>
      <c r="N111" s="123">
        <f>SUMIF(Oct!$B$3:$B$89,A111,Oct!$T$3:$T$89)</f>
        <v>0</v>
      </c>
    </row>
    <row r="112" spans="1:18" x14ac:dyDescent="0.3">
      <c r="A112" s="314">
        <v>37128</v>
      </c>
      <c r="B112" s="315" t="s">
        <v>884</v>
      </c>
      <c r="C112" s="316" t="s">
        <v>594</v>
      </c>
      <c r="D112" s="316" t="s">
        <v>169</v>
      </c>
      <c r="E112" s="316" t="s">
        <v>170</v>
      </c>
      <c r="F112" s="316" t="s">
        <v>175</v>
      </c>
      <c r="G112" s="316" t="s">
        <v>825</v>
      </c>
      <c r="H112" s="316" t="s">
        <v>172</v>
      </c>
      <c r="I112" s="317"/>
      <c r="J112" s="317">
        <v>195</v>
      </c>
      <c r="K112" s="316" t="s">
        <v>885</v>
      </c>
      <c r="L112" s="192">
        <f>I112+J112*EERR!$D$2</f>
        <v>122752.5</v>
      </c>
      <c r="M112" s="123">
        <f>L112/EERR!$D$2</f>
        <v>195</v>
      </c>
      <c r="N112" s="123">
        <f>SUMIF(Oct!$B$3:$B$89,A112,Oct!$T$3:$T$89)</f>
        <v>0</v>
      </c>
    </row>
    <row r="113" spans="1:14" x14ac:dyDescent="0.3">
      <c r="A113" s="314">
        <v>8910</v>
      </c>
      <c r="B113" s="315" t="s">
        <v>886</v>
      </c>
      <c r="C113" s="316" t="s">
        <v>594</v>
      </c>
      <c r="D113" s="316" t="s">
        <v>169</v>
      </c>
      <c r="E113" s="316" t="s">
        <v>170</v>
      </c>
      <c r="F113" s="316" t="s">
        <v>175</v>
      </c>
      <c r="G113" s="316" t="s">
        <v>887</v>
      </c>
      <c r="H113" s="316" t="s">
        <v>172</v>
      </c>
      <c r="I113" s="317"/>
      <c r="J113" s="317">
        <v>185.25</v>
      </c>
      <c r="K113" s="316" t="s">
        <v>888</v>
      </c>
      <c r="L113" s="192">
        <f>I113+J113*EERR!$D$2</f>
        <v>116614.875</v>
      </c>
      <c r="M113" s="123">
        <f>L113/EERR!$D$2</f>
        <v>185.25</v>
      </c>
      <c r="N113" s="123">
        <f>SUMIF(Oct!$B$3:$B$89,A113,Oct!$T$3:$T$89)</f>
        <v>0</v>
      </c>
    </row>
    <row r="114" spans="1:14" x14ac:dyDescent="0.3">
      <c r="A114" s="314">
        <v>34184</v>
      </c>
      <c r="B114" s="315" t="s">
        <v>889</v>
      </c>
      <c r="C114" s="316" t="s">
        <v>591</v>
      </c>
      <c r="D114" s="316" t="s">
        <v>169</v>
      </c>
      <c r="E114" s="316" t="s">
        <v>173</v>
      </c>
      <c r="F114" s="316" t="s">
        <v>175</v>
      </c>
      <c r="G114" s="316" t="s">
        <v>890</v>
      </c>
      <c r="H114" s="316" t="s">
        <v>173</v>
      </c>
      <c r="I114" s="317">
        <v>146191</v>
      </c>
      <c r="J114" s="317"/>
      <c r="K114" s="316" t="s">
        <v>891</v>
      </c>
      <c r="L114" s="192">
        <f>I114+J114*EERR!$D$2</f>
        <v>146191</v>
      </c>
      <c r="M114" s="123">
        <f>L114/EERR!$D$2</f>
        <v>232.23351866560762</v>
      </c>
      <c r="N114" s="123">
        <f>SUMIF(Oct!$B$3:$B$89,A114,Oct!$T$3:$T$89)</f>
        <v>0</v>
      </c>
    </row>
    <row r="115" spans="1:14" x14ac:dyDescent="0.3">
      <c r="A115" s="314">
        <v>48004</v>
      </c>
      <c r="B115" s="315" t="s">
        <v>892</v>
      </c>
      <c r="C115" s="316" t="s">
        <v>594</v>
      </c>
      <c r="D115" s="316" t="s">
        <v>169</v>
      </c>
      <c r="E115" s="316" t="s">
        <v>170</v>
      </c>
      <c r="F115" s="316" t="s">
        <v>175</v>
      </c>
      <c r="G115" s="316" t="s">
        <v>893</v>
      </c>
      <c r="H115" s="316" t="s">
        <v>172</v>
      </c>
      <c r="I115" s="317"/>
      <c r="J115" s="317">
        <v>195</v>
      </c>
      <c r="K115" s="316" t="s">
        <v>894</v>
      </c>
      <c r="L115" s="192">
        <f>I115+J115*EERR!$D$2</f>
        <v>122752.5</v>
      </c>
      <c r="M115" s="123">
        <f>L115/EERR!$D$2</f>
        <v>195</v>
      </c>
      <c r="N115" s="123">
        <f>SUMIF(Oct!$B$3:$B$89,A115,Oct!$T$3:$T$89)</f>
        <v>0</v>
      </c>
    </row>
    <row r="116" spans="1:14" x14ac:dyDescent="0.3">
      <c r="A116" s="314">
        <v>96909</v>
      </c>
      <c r="B116" s="315" t="s">
        <v>895</v>
      </c>
      <c r="C116" s="316" t="s">
        <v>594</v>
      </c>
      <c r="D116" s="316" t="s">
        <v>169</v>
      </c>
      <c r="E116" s="316" t="s">
        <v>170</v>
      </c>
      <c r="F116" s="316" t="s">
        <v>175</v>
      </c>
      <c r="G116" s="316" t="s">
        <v>896</v>
      </c>
      <c r="H116" s="316" t="s">
        <v>172</v>
      </c>
      <c r="I116" s="317"/>
      <c r="J116" s="317">
        <v>195</v>
      </c>
      <c r="K116" s="316" t="s">
        <v>897</v>
      </c>
      <c r="L116" s="192">
        <f>I116+J116*EERR!$D$2</f>
        <v>122752.5</v>
      </c>
      <c r="M116" s="123">
        <f>L116/EERR!$D$2</f>
        <v>195</v>
      </c>
      <c r="N116" s="123">
        <f>SUMIF(Oct!$B$3:$B$89,A116,Oct!$T$3:$T$89)</f>
        <v>0</v>
      </c>
    </row>
    <row r="117" spans="1:14" x14ac:dyDescent="0.3">
      <c r="A117" s="314">
        <v>42335</v>
      </c>
      <c r="B117" s="315" t="s">
        <v>898</v>
      </c>
      <c r="C117" s="316" t="s">
        <v>591</v>
      </c>
      <c r="D117" s="316" t="s">
        <v>169</v>
      </c>
      <c r="E117" s="316" t="s">
        <v>173</v>
      </c>
      <c r="F117" s="316" t="s">
        <v>174</v>
      </c>
      <c r="G117" s="316" t="s">
        <v>899</v>
      </c>
      <c r="H117" s="316" t="s">
        <v>173</v>
      </c>
      <c r="I117" s="317">
        <v>146191</v>
      </c>
      <c r="J117" s="317"/>
      <c r="K117" s="316" t="s">
        <v>900</v>
      </c>
      <c r="L117" s="192">
        <f>I117+J117*EERR!$D$2</f>
        <v>146191</v>
      </c>
      <c r="M117" s="123">
        <f>L117/EERR!$D$2</f>
        <v>232.23351866560762</v>
      </c>
      <c r="N117" s="123">
        <f>SUMIF(Oct!$B$3:$B$89,A117,Oct!$T$3:$T$89)</f>
        <v>0</v>
      </c>
    </row>
    <row r="118" spans="1:14" x14ac:dyDescent="0.3">
      <c r="A118" s="314">
        <v>9341</v>
      </c>
      <c r="B118" s="315" t="s">
        <v>901</v>
      </c>
      <c r="C118" s="316" t="s">
        <v>594</v>
      </c>
      <c r="D118" s="316" t="s">
        <v>169</v>
      </c>
      <c r="E118" s="316" t="s">
        <v>170</v>
      </c>
      <c r="F118" s="316" t="s">
        <v>175</v>
      </c>
      <c r="G118" s="316" t="s">
        <v>902</v>
      </c>
      <c r="H118" s="316" t="s">
        <v>172</v>
      </c>
      <c r="I118" s="317"/>
      <c r="J118" s="317">
        <v>175.5</v>
      </c>
      <c r="K118" s="316" t="s">
        <v>903</v>
      </c>
      <c r="L118" s="192">
        <f>I118+J118*EERR!$D$2</f>
        <v>110477.25</v>
      </c>
      <c r="M118" s="123">
        <f>L118/EERR!$D$2</f>
        <v>175.5</v>
      </c>
      <c r="N118" s="123">
        <f>SUMIF(Oct!$B$3:$B$89,A118,Oct!$T$3:$T$89)</f>
        <v>0</v>
      </c>
    </row>
    <row r="119" spans="1:14" x14ac:dyDescent="0.3">
      <c r="A119" s="314">
        <v>61773</v>
      </c>
      <c r="B119" s="315" t="s">
        <v>904</v>
      </c>
      <c r="C119" s="316" t="s">
        <v>594</v>
      </c>
      <c r="D119" s="316" t="s">
        <v>169</v>
      </c>
      <c r="E119" s="316" t="s">
        <v>170</v>
      </c>
      <c r="F119" s="316" t="s">
        <v>174</v>
      </c>
      <c r="G119" s="316" t="s">
        <v>905</v>
      </c>
      <c r="H119" s="316" t="s">
        <v>172</v>
      </c>
      <c r="I119" s="317"/>
      <c r="J119" s="317">
        <v>175.5</v>
      </c>
      <c r="K119" s="316" t="s">
        <v>906</v>
      </c>
      <c r="L119" s="192">
        <f>I119+J119*EERR!$D$2</f>
        <v>110477.25</v>
      </c>
      <c r="M119" s="123">
        <f>L119/EERR!$D$2</f>
        <v>175.5</v>
      </c>
      <c r="N119" s="123">
        <f>SUMIF(Oct!$B$3:$B$89,A119,Oct!$T$3:$T$89)</f>
        <v>0</v>
      </c>
    </row>
    <row r="120" spans="1:14" x14ac:dyDescent="0.3">
      <c r="A120" s="314">
        <v>81492</v>
      </c>
      <c r="B120" s="315" t="s">
        <v>907</v>
      </c>
      <c r="C120" s="316" t="s">
        <v>591</v>
      </c>
      <c r="D120" s="316" t="s">
        <v>169</v>
      </c>
      <c r="E120" s="316" t="s">
        <v>173</v>
      </c>
      <c r="F120" s="316" t="s">
        <v>174</v>
      </c>
      <c r="G120" s="316" t="s">
        <v>549</v>
      </c>
      <c r="H120" s="316" t="s">
        <v>173</v>
      </c>
      <c r="I120" s="317">
        <v>311619</v>
      </c>
      <c r="J120" s="317"/>
      <c r="K120" s="316" t="s">
        <v>908</v>
      </c>
      <c r="L120" s="192">
        <f>I120+J120*EERR!$D$2</f>
        <v>311619</v>
      </c>
      <c r="M120" s="123">
        <f>L120/EERR!$D$2</f>
        <v>495.02621127879269</v>
      </c>
      <c r="N120" s="123">
        <f>SUMIF(Oct!$B$3:$B$89,A120,Oct!$T$3:$T$89)</f>
        <v>478386</v>
      </c>
    </row>
    <row r="121" spans="1:14" x14ac:dyDescent="0.3">
      <c r="A121" s="314">
        <v>60068</v>
      </c>
      <c r="B121" s="315" t="s">
        <v>909</v>
      </c>
      <c r="C121" s="316" t="s">
        <v>594</v>
      </c>
      <c r="D121" s="316" t="s">
        <v>169</v>
      </c>
      <c r="E121" s="316" t="s">
        <v>170</v>
      </c>
      <c r="F121" s="316" t="s">
        <v>174</v>
      </c>
      <c r="G121" s="316" t="s">
        <v>546</v>
      </c>
      <c r="H121" s="316" t="s">
        <v>172</v>
      </c>
      <c r="I121" s="317"/>
      <c r="J121" s="317">
        <v>373.5</v>
      </c>
      <c r="K121" s="316" t="s">
        <v>910</v>
      </c>
      <c r="L121" s="192">
        <f>I121+J121*EERR!$D$2</f>
        <v>235118.25</v>
      </c>
      <c r="M121" s="123">
        <f>L121/EERR!$D$2</f>
        <v>373.5</v>
      </c>
      <c r="N121" s="123">
        <f>SUMIF(Oct!$B$3:$B$89,A121,Oct!$T$3:$T$89)</f>
        <v>359759.25</v>
      </c>
    </row>
    <row r="122" spans="1:14" x14ac:dyDescent="0.3">
      <c r="A122" s="314">
        <v>36898</v>
      </c>
      <c r="B122" s="315" t="s">
        <v>911</v>
      </c>
      <c r="C122" s="316" t="s">
        <v>594</v>
      </c>
      <c r="D122" s="316" t="s">
        <v>169</v>
      </c>
      <c r="E122" s="316" t="s">
        <v>170</v>
      </c>
      <c r="F122" s="316" t="s">
        <v>175</v>
      </c>
      <c r="G122" s="316" t="s">
        <v>808</v>
      </c>
      <c r="H122" s="316" t="s">
        <v>172</v>
      </c>
      <c r="I122" s="317"/>
      <c r="J122" s="317">
        <v>195</v>
      </c>
      <c r="K122" s="316" t="s">
        <v>912</v>
      </c>
      <c r="L122" s="192">
        <f>I122+J122*EERR!$D$2</f>
        <v>122752.5</v>
      </c>
      <c r="M122" s="123">
        <f>L122/EERR!$D$2</f>
        <v>195</v>
      </c>
      <c r="N122" s="123">
        <f>SUMIF(Oct!$B$3:$B$89,A122,Oct!$T$3:$T$89)</f>
        <v>261242.5</v>
      </c>
    </row>
    <row r="123" spans="1:14" x14ac:dyDescent="0.3">
      <c r="A123" s="314">
        <v>30193</v>
      </c>
      <c r="B123" s="315" t="s">
        <v>913</v>
      </c>
      <c r="C123" s="316" t="s">
        <v>591</v>
      </c>
      <c r="D123" s="316" t="s">
        <v>169</v>
      </c>
      <c r="E123" s="316" t="s">
        <v>173</v>
      </c>
      <c r="F123" s="316" t="s">
        <v>174</v>
      </c>
      <c r="G123" s="316" t="s">
        <v>553</v>
      </c>
      <c r="H123" s="316" t="s">
        <v>173</v>
      </c>
      <c r="I123" s="317">
        <v>292383</v>
      </c>
      <c r="J123" s="317"/>
      <c r="K123" s="316" t="s">
        <v>914</v>
      </c>
      <c r="L123" s="192">
        <f>I123+J123*EERR!$D$2</f>
        <v>292383</v>
      </c>
      <c r="M123" s="123">
        <f>L123/EERR!$D$2</f>
        <v>464.4686258935663</v>
      </c>
      <c r="N123" s="123">
        <f>SUMIF(Oct!$B$3:$B$89,A123,Oct!$T$3:$T$89)</f>
        <v>459411</v>
      </c>
    </row>
    <row r="124" spans="1:14" x14ac:dyDescent="0.3">
      <c r="A124" s="314">
        <v>49685</v>
      </c>
      <c r="B124" s="315" t="s">
        <v>915</v>
      </c>
      <c r="C124" s="316" t="s">
        <v>594</v>
      </c>
      <c r="D124" s="316" t="s">
        <v>169</v>
      </c>
      <c r="E124" s="316" t="s">
        <v>170</v>
      </c>
      <c r="F124" s="316" t="s">
        <v>175</v>
      </c>
      <c r="G124" s="316" t="s">
        <v>916</v>
      </c>
      <c r="H124" s="316" t="s">
        <v>172</v>
      </c>
      <c r="I124" s="317"/>
      <c r="J124" s="317">
        <v>175.5</v>
      </c>
      <c r="K124" s="316" t="s">
        <v>917</v>
      </c>
      <c r="L124" s="192">
        <f>I124+J124*EERR!$D$2</f>
        <v>110477.25</v>
      </c>
      <c r="M124" s="123">
        <f>L124/EERR!$D$2</f>
        <v>175.5</v>
      </c>
      <c r="N124" s="123">
        <f>SUMIF(Oct!$B$3:$B$89,A124,Oct!$T$3:$T$89)</f>
        <v>235118.25</v>
      </c>
    </row>
    <row r="125" spans="1:14" x14ac:dyDescent="0.3">
      <c r="A125" s="314">
        <v>3337</v>
      </c>
      <c r="B125" s="315" t="s">
        <v>918</v>
      </c>
      <c r="C125" s="316" t="s">
        <v>591</v>
      </c>
      <c r="D125" s="316" t="s">
        <v>169</v>
      </c>
      <c r="E125" s="316" t="s">
        <v>173</v>
      </c>
      <c r="F125" s="316" t="s">
        <v>175</v>
      </c>
      <c r="G125" s="316" t="s">
        <v>919</v>
      </c>
      <c r="H125" s="316" t="s">
        <v>173</v>
      </c>
      <c r="I125" s="317">
        <v>25000</v>
      </c>
      <c r="J125" s="317"/>
      <c r="K125" s="316" t="s">
        <v>920</v>
      </c>
      <c r="L125" s="192">
        <f>I125+J125*EERR!$D$2</f>
        <v>25000</v>
      </c>
      <c r="M125" s="123">
        <f>L125/EERR!$D$2</f>
        <v>39.714058776806986</v>
      </c>
      <c r="N125" s="123">
        <f>SUMIF(Oct!$B$3:$B$89,A125,Oct!$T$3:$T$89)</f>
        <v>0</v>
      </c>
    </row>
    <row r="126" spans="1:14" x14ac:dyDescent="0.3">
      <c r="A126" s="314">
        <v>10214</v>
      </c>
      <c r="B126" s="315" t="s">
        <v>921</v>
      </c>
      <c r="C126" s="316" t="s">
        <v>594</v>
      </c>
      <c r="D126" s="316" t="s">
        <v>169</v>
      </c>
      <c r="E126" s="316" t="s">
        <v>170</v>
      </c>
      <c r="F126" s="316" t="s">
        <v>174</v>
      </c>
      <c r="G126" s="316" t="s">
        <v>922</v>
      </c>
      <c r="H126" s="316" t="s">
        <v>172</v>
      </c>
      <c r="I126" s="317"/>
      <c r="J126" s="317">
        <v>195</v>
      </c>
      <c r="K126" s="316" t="s">
        <v>923</v>
      </c>
      <c r="L126" s="192">
        <f>I126+J126*EERR!$D$2</f>
        <v>122752.5</v>
      </c>
      <c r="M126" s="123">
        <f>L126/EERR!$D$2</f>
        <v>195</v>
      </c>
      <c r="N126" s="123">
        <f>SUMIF(Oct!$B$3:$B$89,A126,Oct!$T$3:$T$89)</f>
        <v>0</v>
      </c>
    </row>
    <row r="127" spans="1:14" x14ac:dyDescent="0.3">
      <c r="A127" s="314">
        <v>35132</v>
      </c>
      <c r="B127" s="315" t="s">
        <v>924</v>
      </c>
      <c r="C127" s="316" t="s">
        <v>594</v>
      </c>
      <c r="D127" s="316" t="s">
        <v>169</v>
      </c>
      <c r="E127" s="316" t="s">
        <v>170</v>
      </c>
      <c r="F127" s="316" t="s">
        <v>174</v>
      </c>
      <c r="G127" s="316" t="s">
        <v>925</v>
      </c>
      <c r="H127" s="316" t="s">
        <v>172</v>
      </c>
      <c r="I127" s="317"/>
      <c r="J127" s="317">
        <v>195</v>
      </c>
      <c r="K127" s="316" t="s">
        <v>926</v>
      </c>
      <c r="L127" s="192">
        <f>I127+J127*EERR!$D$2</f>
        <v>122752.5</v>
      </c>
      <c r="M127" s="123">
        <f>L127/EERR!$D$2</f>
        <v>195</v>
      </c>
      <c r="N127" s="123">
        <f>SUMIF(Oct!$B$3:$B$89,A127,Oct!$T$3:$T$89)</f>
        <v>0</v>
      </c>
    </row>
    <row r="128" spans="1:14" x14ac:dyDescent="0.3">
      <c r="A128" s="314">
        <v>53982</v>
      </c>
      <c r="B128" s="315" t="s">
        <v>927</v>
      </c>
      <c r="C128" s="316" t="s">
        <v>594</v>
      </c>
      <c r="D128" s="316" t="s">
        <v>169</v>
      </c>
      <c r="E128" s="316" t="s">
        <v>170</v>
      </c>
      <c r="F128" s="316" t="s">
        <v>175</v>
      </c>
      <c r="G128" s="316" t="s">
        <v>928</v>
      </c>
      <c r="H128" s="316" t="s">
        <v>172</v>
      </c>
      <c r="I128" s="317"/>
      <c r="J128" s="317">
        <v>175.5</v>
      </c>
      <c r="K128" s="316" t="s">
        <v>929</v>
      </c>
      <c r="L128" s="192">
        <f>I128+J128*EERR!$D$2</f>
        <v>110477.25</v>
      </c>
      <c r="M128" s="123">
        <f>L128/EERR!$D$2</f>
        <v>175.5</v>
      </c>
      <c r="N128" s="123">
        <f>SUMIF(Oct!$B$3:$B$89,A128,Oct!$T$3:$T$89)</f>
        <v>0</v>
      </c>
    </row>
    <row r="129" spans="1:16" x14ac:dyDescent="0.3">
      <c r="A129" s="314">
        <v>58574</v>
      </c>
      <c r="B129" s="315" t="s">
        <v>930</v>
      </c>
      <c r="C129" s="316" t="s">
        <v>594</v>
      </c>
      <c r="D129" s="316" t="s">
        <v>169</v>
      </c>
      <c r="E129" s="316" t="s">
        <v>170</v>
      </c>
      <c r="F129" s="316" t="s">
        <v>175</v>
      </c>
      <c r="G129" s="316" t="s">
        <v>931</v>
      </c>
      <c r="H129" s="316" t="s">
        <v>172</v>
      </c>
      <c r="I129" s="317"/>
      <c r="J129" s="317">
        <v>195</v>
      </c>
      <c r="K129" s="316" t="s">
        <v>932</v>
      </c>
      <c r="L129" s="192">
        <f>I129+J129*EERR!$D$2</f>
        <v>122752.5</v>
      </c>
      <c r="M129" s="123">
        <f>L129/EERR!$D$2</f>
        <v>195</v>
      </c>
      <c r="N129" s="123">
        <f>SUMIF(Oct!$B$3:$B$89,A129,Oct!$T$3:$T$89)</f>
        <v>0</v>
      </c>
    </row>
    <row r="130" spans="1:16" x14ac:dyDescent="0.3">
      <c r="A130" s="314">
        <v>7944</v>
      </c>
      <c r="B130" s="315" t="s">
        <v>933</v>
      </c>
      <c r="C130" s="316" t="s">
        <v>594</v>
      </c>
      <c r="D130" s="316" t="s">
        <v>169</v>
      </c>
      <c r="E130" s="316" t="s">
        <v>170</v>
      </c>
      <c r="F130" s="316" t="s">
        <v>175</v>
      </c>
      <c r="G130" s="316" t="s">
        <v>934</v>
      </c>
      <c r="H130" s="316" t="s">
        <v>172</v>
      </c>
      <c r="I130" s="317"/>
      <c r="J130" s="317">
        <v>195</v>
      </c>
      <c r="K130" s="316" t="s">
        <v>935</v>
      </c>
      <c r="L130" s="192">
        <f>I130+J130*EERR!$D$2</f>
        <v>122752.5</v>
      </c>
      <c r="M130" s="123">
        <f>L130/EERR!$D$2</f>
        <v>195</v>
      </c>
      <c r="N130" s="123">
        <f>SUMIF(Oct!$B$3:$B$89,A130,Oct!$T$3:$T$89)</f>
        <v>0</v>
      </c>
    </row>
    <row r="131" spans="1:16" x14ac:dyDescent="0.3">
      <c r="A131" s="314">
        <v>28909</v>
      </c>
      <c r="B131" s="315" t="s">
        <v>720</v>
      </c>
      <c r="C131" s="316" t="s">
        <v>591</v>
      </c>
      <c r="D131" s="316" t="s">
        <v>169</v>
      </c>
      <c r="E131" s="316" t="s">
        <v>378</v>
      </c>
      <c r="F131" s="316" t="s">
        <v>175</v>
      </c>
      <c r="G131" s="316" t="s">
        <v>721</v>
      </c>
      <c r="H131" s="316" t="s">
        <v>173</v>
      </c>
      <c r="I131" s="317">
        <v>-137594</v>
      </c>
      <c r="J131" s="317"/>
      <c r="K131" s="316" t="s">
        <v>722</v>
      </c>
      <c r="L131" s="192">
        <f>I131+J131*EERR!$D$2</f>
        <v>-137594</v>
      </c>
      <c r="M131" s="123">
        <f>L131/EERR!$D$2</f>
        <v>-218.57664813343925</v>
      </c>
      <c r="N131" s="123">
        <f>SUMIF(Oct!$B$3:$B$89,A131,Oct!$T$3:$T$89)</f>
        <v>349844.625</v>
      </c>
    </row>
    <row r="132" spans="1:16" x14ac:dyDescent="0.3">
      <c r="A132" s="323">
        <v>44587</v>
      </c>
      <c r="B132" s="324" t="s">
        <v>778</v>
      </c>
      <c r="C132" s="325" t="s">
        <v>591</v>
      </c>
      <c r="D132" s="325" t="s">
        <v>169</v>
      </c>
      <c r="E132" s="325" t="s">
        <v>378</v>
      </c>
      <c r="F132" s="325" t="s">
        <v>175</v>
      </c>
      <c r="G132" s="325" t="s">
        <v>779</v>
      </c>
      <c r="H132" s="325" t="s">
        <v>173</v>
      </c>
      <c r="I132" s="326">
        <v>-552000</v>
      </c>
      <c r="J132" s="326"/>
      <c r="K132" s="325" t="s">
        <v>780</v>
      </c>
      <c r="L132" s="327">
        <f>I132+J132*EERR!$D$2</f>
        <v>-552000</v>
      </c>
      <c r="M132" s="248">
        <f>L132/EERR!$D$2</f>
        <v>-876.88641779189834</v>
      </c>
      <c r="N132" s="248">
        <f>SUMIF(Oct!$B$3:$B$89,A132,Oct!$T$3:$T$89)</f>
        <v>0</v>
      </c>
    </row>
    <row r="133" spans="1:16" x14ac:dyDescent="0.3">
      <c r="A133" s="323">
        <v>44590</v>
      </c>
      <c r="B133" s="324" t="s">
        <v>781</v>
      </c>
      <c r="C133" s="325" t="s">
        <v>591</v>
      </c>
      <c r="D133" s="325" t="s">
        <v>169</v>
      </c>
      <c r="E133" s="325" t="s">
        <v>378</v>
      </c>
      <c r="F133" s="325" t="s">
        <v>175</v>
      </c>
      <c r="G133" s="325" t="s">
        <v>779</v>
      </c>
      <c r="H133" s="325" t="s">
        <v>173</v>
      </c>
      <c r="I133" s="326">
        <v>-276000</v>
      </c>
      <c r="J133" s="326"/>
      <c r="K133" s="325" t="s">
        <v>782</v>
      </c>
      <c r="L133" s="327">
        <f>I133+J133*EERR!$D$2</f>
        <v>-276000</v>
      </c>
      <c r="M133" s="248">
        <f>L133/EERR!$D$2</f>
        <v>-438.44320889594917</v>
      </c>
      <c r="N133" s="248">
        <f>SUMIF(Oct!$B$3:$B$89,A133,Oct!$T$3:$T$89)</f>
        <v>0</v>
      </c>
    </row>
    <row r="134" spans="1:16" x14ac:dyDescent="0.3">
      <c r="A134" s="314"/>
      <c r="B134" s="315"/>
      <c r="C134" s="316"/>
      <c r="D134" s="316"/>
      <c r="E134" s="316"/>
      <c r="F134" s="316"/>
      <c r="G134" s="316"/>
      <c r="H134" s="316"/>
      <c r="I134" s="317"/>
      <c r="J134" s="317"/>
      <c r="K134" s="316"/>
      <c r="L134" s="192">
        <f>I134+J134*EERR!$D$2</f>
        <v>0</v>
      </c>
      <c r="M134" s="123">
        <f>L134/EERR!$D$2</f>
        <v>0</v>
      </c>
      <c r="N134" s="123">
        <f>SUMIF(Oct!$B$3:$B$89,A134,Oct!$T$3:$T$89)</f>
        <v>0</v>
      </c>
    </row>
    <row r="135" spans="1:16" x14ac:dyDescent="0.3">
      <c r="A135" s="314"/>
      <c r="B135" s="315"/>
      <c r="C135" s="316"/>
      <c r="D135" s="316"/>
      <c r="E135" s="316"/>
      <c r="F135" s="316"/>
      <c r="G135" s="316"/>
      <c r="H135" s="316"/>
      <c r="I135" s="317"/>
      <c r="J135" s="317"/>
      <c r="K135" s="316"/>
      <c r="L135" s="192">
        <f>I135+J135*EERR!$D$2</f>
        <v>0</v>
      </c>
      <c r="M135" s="123">
        <f>L135/EERR!$D$2</f>
        <v>0</v>
      </c>
      <c r="N135" s="123">
        <f>SUMIF(Oct!$B$3:$B$89,A135,Oct!$T$3:$T$89)</f>
        <v>0</v>
      </c>
    </row>
    <row r="136" spans="1:16" x14ac:dyDescent="0.3">
      <c r="A136" s="314"/>
      <c r="B136" s="315"/>
      <c r="C136" s="316"/>
      <c r="D136" s="316"/>
      <c r="E136" s="316"/>
      <c r="F136" s="316"/>
      <c r="G136" s="316"/>
      <c r="H136" s="316"/>
      <c r="I136" s="317"/>
      <c r="J136" s="317"/>
      <c r="K136" s="316"/>
      <c r="L136" s="192">
        <f>I136+J136*EERR!$D$2</f>
        <v>0</v>
      </c>
      <c r="M136" s="123">
        <f>L136/EERR!$D$2</f>
        <v>0</v>
      </c>
      <c r="N136" s="123">
        <f>SUMIF(Oct!$B$3:$B$89,A136,Oct!$T$3:$T$89)</f>
        <v>0</v>
      </c>
      <c r="P136" s="60" t="s">
        <v>411</v>
      </c>
    </row>
    <row r="137" spans="1:16" x14ac:dyDescent="0.3">
      <c r="A137" s="314"/>
      <c r="B137" s="315"/>
      <c r="C137" s="316"/>
      <c r="D137" s="316"/>
      <c r="E137" s="316"/>
      <c r="F137" s="316"/>
      <c r="G137" s="316"/>
      <c r="H137" s="316"/>
      <c r="I137" s="317"/>
      <c r="J137" s="317"/>
      <c r="K137" s="316"/>
      <c r="L137" s="192">
        <f>I137+J137*EERR!$D$2</f>
        <v>0</v>
      </c>
      <c r="M137" s="123">
        <f>L137/EERR!$D$2</f>
        <v>0</v>
      </c>
      <c r="N137" s="123">
        <f>SUMIF(Oct!$B$3:$B$89,A137,Oct!$T$3:$T$89)</f>
        <v>0</v>
      </c>
    </row>
    <row r="138" spans="1:16" x14ac:dyDescent="0.3">
      <c r="A138" s="314"/>
      <c r="B138" s="315"/>
      <c r="C138" s="316"/>
      <c r="D138" s="316"/>
      <c r="E138" s="316"/>
      <c r="F138" s="316"/>
      <c r="G138" s="316"/>
      <c r="H138" s="316"/>
      <c r="I138" s="317"/>
      <c r="J138" s="317"/>
      <c r="K138" s="316"/>
      <c r="L138" s="192">
        <f>I138+J138*EERR!$D$2</f>
        <v>0</v>
      </c>
      <c r="M138" s="123">
        <f>L138/EERR!$D$2</f>
        <v>0</v>
      </c>
      <c r="N138" s="123">
        <f>SUMIF(Oct!$B$3:$B$89,A138,Oct!$T$3:$T$89)</f>
        <v>0</v>
      </c>
    </row>
    <row r="139" spans="1:16" x14ac:dyDescent="0.3">
      <c r="A139" s="314"/>
      <c r="B139" s="315"/>
      <c r="C139" s="316"/>
      <c r="D139" s="316"/>
      <c r="E139" s="316"/>
      <c r="F139" s="316"/>
      <c r="G139" s="316"/>
      <c r="H139" s="316"/>
      <c r="I139" s="317"/>
      <c r="J139" s="317"/>
      <c r="K139" s="316"/>
      <c r="L139" s="192">
        <f>I139+J139*EERR!$D$2</f>
        <v>0</v>
      </c>
      <c r="M139" s="123">
        <f>L139/EERR!$D$2</f>
        <v>0</v>
      </c>
      <c r="N139" s="123">
        <f>SUMIF(Oct!$B$3:$B$89,A139,Oct!$T$3:$T$89)</f>
        <v>0</v>
      </c>
    </row>
    <row r="140" spans="1:16" x14ac:dyDescent="0.3">
      <c r="A140" s="314"/>
      <c r="B140" s="315"/>
      <c r="C140" s="316"/>
      <c r="D140" s="316"/>
      <c r="E140" s="316"/>
      <c r="F140" s="316"/>
      <c r="G140" s="316"/>
      <c r="H140" s="316"/>
      <c r="I140" s="317"/>
      <c r="J140" s="317"/>
      <c r="K140" s="316"/>
      <c r="L140" s="192">
        <f>I140+J140*EERR!$D$2</f>
        <v>0</v>
      </c>
      <c r="M140" s="123">
        <f>L140/EERR!$D$2</f>
        <v>0</v>
      </c>
      <c r="N140" s="123">
        <f>SUMIF(Oct!$B$3:$B$89,A140,Oct!$T$3:$T$89)</f>
        <v>0</v>
      </c>
    </row>
    <row r="141" spans="1:16" x14ac:dyDescent="0.3">
      <c r="A141" s="314"/>
      <c r="B141" s="315"/>
      <c r="C141" s="316"/>
      <c r="D141" s="316"/>
      <c r="E141" s="316"/>
      <c r="F141" s="316"/>
      <c r="G141" s="316"/>
      <c r="H141" s="316"/>
      <c r="I141" s="317"/>
      <c r="J141" s="317"/>
      <c r="K141" s="316"/>
      <c r="L141" s="192">
        <f>I141+J141*EERR!$D$2</f>
        <v>0</v>
      </c>
      <c r="M141" s="123">
        <f>L141/EERR!$D$2</f>
        <v>0</v>
      </c>
      <c r="N141" s="123">
        <f>SUMIF(Oct!$B$3:$B$89,A141,Oct!$T$3:$T$89)</f>
        <v>0</v>
      </c>
    </row>
    <row r="142" spans="1:16" x14ac:dyDescent="0.3">
      <c r="A142" s="314"/>
      <c r="B142" s="315"/>
      <c r="C142" s="316"/>
      <c r="D142" s="316"/>
      <c r="E142" s="316"/>
      <c r="F142" s="316"/>
      <c r="G142" s="316"/>
      <c r="H142" s="316"/>
      <c r="I142" s="317"/>
      <c r="J142" s="317"/>
      <c r="K142" s="316"/>
      <c r="L142" s="192">
        <f>I142+J142*EERR!$D$2</f>
        <v>0</v>
      </c>
      <c r="M142" s="123">
        <f>L142/EERR!$D$2</f>
        <v>0</v>
      </c>
      <c r="N142" s="123">
        <f>SUMIF(Oct!$B$3:$B$89,A142,Oct!$T$3:$T$89)</f>
        <v>0</v>
      </c>
    </row>
    <row r="143" spans="1:16" x14ac:dyDescent="0.3">
      <c r="A143" s="314"/>
      <c r="B143" s="315"/>
      <c r="C143" s="316"/>
      <c r="D143" s="316"/>
      <c r="E143" s="316"/>
      <c r="F143" s="316"/>
      <c r="G143" s="316"/>
      <c r="H143" s="316"/>
      <c r="I143" s="317"/>
      <c r="J143" s="317"/>
      <c r="K143" s="316"/>
      <c r="L143" s="192">
        <f>I143+J143*EERR!$D$2</f>
        <v>0</v>
      </c>
      <c r="M143" s="123">
        <f>L143/EERR!$D$2</f>
        <v>0</v>
      </c>
      <c r="N143" s="123">
        <f>SUMIF(Oct!$B$3:$B$89,A143,Oct!$T$3:$T$89)</f>
        <v>0</v>
      </c>
    </row>
    <row r="144" spans="1:16" x14ac:dyDescent="0.3">
      <c r="A144" s="314"/>
      <c r="B144" s="315"/>
      <c r="C144" s="316"/>
      <c r="D144" s="316"/>
      <c r="E144" s="316"/>
      <c r="F144" s="316"/>
      <c r="G144" s="316"/>
      <c r="H144" s="316"/>
      <c r="I144" s="317"/>
      <c r="J144" s="317"/>
      <c r="K144" s="316"/>
      <c r="L144" s="192">
        <f>I144+J144*EERR!$D$2</f>
        <v>0</v>
      </c>
      <c r="M144" s="123">
        <f>L144/EERR!$D$2</f>
        <v>0</v>
      </c>
      <c r="N144" s="123">
        <f>SUMIF(Oct!$B$3:$B$89,A144,Oct!$T$3:$T$89)</f>
        <v>0</v>
      </c>
    </row>
    <row r="145" spans="1:14" x14ac:dyDescent="0.3">
      <c r="A145" s="314"/>
      <c r="B145" s="315"/>
      <c r="C145" s="316"/>
      <c r="D145" s="316"/>
      <c r="E145" s="316"/>
      <c r="F145" s="316"/>
      <c r="G145" s="316"/>
      <c r="H145" s="316"/>
      <c r="I145" s="317"/>
      <c r="J145" s="317"/>
      <c r="K145" s="316"/>
      <c r="L145" s="192">
        <f>I145+J145*EERR!$D$2</f>
        <v>0</v>
      </c>
      <c r="M145" s="123">
        <f>L145/EERR!$D$2</f>
        <v>0</v>
      </c>
      <c r="N145" s="123">
        <f>SUMIF(Oct!$B$3:$B$89,A145,Oct!$T$3:$T$89)</f>
        <v>0</v>
      </c>
    </row>
    <row r="146" spans="1:14" x14ac:dyDescent="0.3">
      <c r="A146" s="314"/>
      <c r="B146" s="315"/>
      <c r="C146" s="316"/>
      <c r="D146" s="316"/>
      <c r="E146" s="316"/>
      <c r="F146" s="316"/>
      <c r="G146" s="316"/>
      <c r="H146" s="316"/>
      <c r="I146" s="317"/>
      <c r="J146" s="317"/>
      <c r="K146" s="316"/>
      <c r="L146" s="192">
        <f>I146+J146*EERR!$D$2</f>
        <v>0</v>
      </c>
      <c r="M146" s="123">
        <f>L146/EERR!$D$2</f>
        <v>0</v>
      </c>
      <c r="N146" s="123">
        <f>SUMIF(Oct!$B$3:$B$89,A146,Oct!$T$3:$T$89)</f>
        <v>0</v>
      </c>
    </row>
    <row r="147" spans="1:14" x14ac:dyDescent="0.3">
      <c r="A147" s="314"/>
      <c r="B147" s="315"/>
      <c r="C147" s="316"/>
      <c r="D147" s="316"/>
      <c r="E147" s="316"/>
      <c r="F147" s="316"/>
      <c r="G147" s="316"/>
      <c r="H147" s="316"/>
      <c r="I147" s="317"/>
      <c r="J147" s="317"/>
      <c r="K147" s="316"/>
      <c r="L147" s="192">
        <f>I147+J147*EERR!$D$2</f>
        <v>0</v>
      </c>
      <c r="M147" s="123">
        <f>L147/EERR!$D$2</f>
        <v>0</v>
      </c>
      <c r="N147" s="123">
        <f>SUMIF(Oct!$B$3:$B$89,A147,Oct!$T$3:$T$89)</f>
        <v>0</v>
      </c>
    </row>
    <row r="148" spans="1:14" x14ac:dyDescent="0.3">
      <c r="A148" s="256"/>
      <c r="B148" s="257"/>
      <c r="C148" s="258"/>
      <c r="D148" s="258"/>
      <c r="E148" s="258"/>
      <c r="F148" s="258"/>
      <c r="G148" s="258"/>
      <c r="H148" s="258"/>
      <c r="I148" s="259"/>
      <c r="J148" s="259"/>
      <c r="K148" s="258"/>
      <c r="L148" s="192">
        <f>I148+J148*EERR!$D$2</f>
        <v>0</v>
      </c>
      <c r="M148" s="123">
        <f>L148/EERR!$D$2</f>
        <v>0</v>
      </c>
      <c r="N148" s="123">
        <f>SUMIF(Oct!$B$3:$B$89,A148,Oct!$T$3:$T$89)</f>
        <v>0</v>
      </c>
    </row>
    <row r="149" spans="1:14" x14ac:dyDescent="0.3">
      <c r="A149" s="256"/>
      <c r="B149" s="257"/>
      <c r="C149" s="258"/>
      <c r="D149" s="258"/>
      <c r="E149" s="258"/>
      <c r="F149" s="258"/>
      <c r="G149" s="258"/>
      <c r="H149" s="258"/>
      <c r="I149" s="259"/>
      <c r="J149" s="259"/>
      <c r="K149" s="258"/>
      <c r="L149" s="192">
        <f>I149+J149*EERR!$D$2</f>
        <v>0</v>
      </c>
      <c r="M149" s="123">
        <f>L149/EERR!$D$2</f>
        <v>0</v>
      </c>
      <c r="N149" s="123">
        <f>SUMIF(Oct!$B$3:$B$89,A149,Oct!$T$3:$T$89)</f>
        <v>0</v>
      </c>
    </row>
    <row r="150" spans="1:14" x14ac:dyDescent="0.3">
      <c r="A150" s="256"/>
      <c r="B150" s="257"/>
      <c r="C150" s="258"/>
      <c r="D150" s="258"/>
      <c r="E150" s="258"/>
      <c r="F150" s="258"/>
      <c r="G150" s="258"/>
      <c r="H150" s="258"/>
      <c r="I150" s="259"/>
      <c r="J150" s="259"/>
      <c r="K150" s="258"/>
      <c r="L150" s="192">
        <f>I150+J150*EERR!$D$2</f>
        <v>0</v>
      </c>
      <c r="M150" s="123">
        <f>L150/EERR!$D$2</f>
        <v>0</v>
      </c>
      <c r="N150" s="123">
        <f>SUMIF(Oct!$B$3:$B$89,A150,Oct!$T$3:$T$89)</f>
        <v>0</v>
      </c>
    </row>
    <row r="151" spans="1:14" x14ac:dyDescent="0.3">
      <c r="A151" s="256"/>
      <c r="B151" s="257"/>
      <c r="C151" s="258"/>
      <c r="D151" s="258"/>
      <c r="E151" s="258"/>
      <c r="F151" s="258"/>
      <c r="G151" s="258"/>
      <c r="H151" s="258"/>
      <c r="I151" s="259"/>
      <c r="J151" s="259"/>
      <c r="K151" s="258"/>
      <c r="L151" s="192">
        <f>I151+J151*EERR!$D$2</f>
        <v>0</v>
      </c>
      <c r="M151" s="123">
        <f>L151/EERR!$D$2</f>
        <v>0</v>
      </c>
      <c r="N151" s="123">
        <f>SUMIF(Oct!$B$3:$B$89,A151,Oct!$T$3:$T$89)</f>
        <v>0</v>
      </c>
    </row>
    <row r="152" spans="1:14" x14ac:dyDescent="0.3">
      <c r="A152" s="256"/>
      <c r="B152" s="257"/>
      <c r="C152" s="258"/>
      <c r="D152" s="258"/>
      <c r="E152" s="258"/>
      <c r="F152" s="258"/>
      <c r="G152" s="258"/>
      <c r="H152" s="258"/>
      <c r="I152" s="259"/>
      <c r="J152" s="259"/>
      <c r="K152" s="258"/>
      <c r="L152" s="192">
        <f>I152+J152*EERR!$D$2</f>
        <v>0</v>
      </c>
      <c r="M152" s="123">
        <f>L152/EERR!$D$2</f>
        <v>0</v>
      </c>
      <c r="N152" s="123">
        <f>SUMIF(Oct!$B$3:$B$89,A152,Oct!$T$3:$T$89)</f>
        <v>0</v>
      </c>
    </row>
    <row r="153" spans="1:14" x14ac:dyDescent="0.3">
      <c r="A153" s="256"/>
      <c r="B153" s="257"/>
      <c r="C153" s="258"/>
      <c r="D153" s="258"/>
      <c r="E153" s="258"/>
      <c r="F153" s="258"/>
      <c r="G153" s="258"/>
      <c r="H153" s="258"/>
      <c r="I153" s="259"/>
      <c r="J153" s="259"/>
      <c r="K153" s="258"/>
      <c r="L153" s="192">
        <f>I153+J153*EERR!$D$2</f>
        <v>0</v>
      </c>
      <c r="M153" s="123">
        <f>L153/EERR!$D$2</f>
        <v>0</v>
      </c>
      <c r="N153" s="123">
        <f>SUMIF(Oct!$B$3:$B$89,A153,Oct!$T$3:$T$89)</f>
        <v>0</v>
      </c>
    </row>
    <row r="154" spans="1:14" x14ac:dyDescent="0.3">
      <c r="A154" s="256"/>
      <c r="B154" s="257"/>
      <c r="C154" s="258"/>
      <c r="D154" s="258"/>
      <c r="E154" s="258"/>
      <c r="F154" s="258"/>
      <c r="G154" s="258"/>
      <c r="H154" s="258"/>
      <c r="I154" s="259"/>
      <c r="J154" s="259"/>
      <c r="K154" s="258"/>
      <c r="L154" s="192">
        <f>I154+J154*EERR!$D$2</f>
        <v>0</v>
      </c>
      <c r="M154" s="123">
        <f>L154/EERR!$D$2</f>
        <v>0</v>
      </c>
      <c r="N154" s="123">
        <f>SUMIF(Oct!$B$3:$B$89,A154,Oct!$T$3:$T$89)</f>
        <v>0</v>
      </c>
    </row>
    <row r="155" spans="1:14" x14ac:dyDescent="0.3">
      <c r="A155" s="256"/>
      <c r="B155" s="257"/>
      <c r="C155" s="258"/>
      <c r="D155" s="258"/>
      <c r="E155" s="258"/>
      <c r="F155" s="258"/>
      <c r="G155" s="258"/>
      <c r="H155" s="258"/>
      <c r="I155" s="259"/>
      <c r="J155" s="259"/>
      <c r="K155" s="258"/>
      <c r="L155" s="192">
        <f>I155+J155*EERR!$D$2</f>
        <v>0</v>
      </c>
      <c r="M155" s="123">
        <f>L155/EERR!$D$2</f>
        <v>0</v>
      </c>
      <c r="N155" s="123">
        <f>SUMIF(Oct!$B$3:$B$89,A155,Oct!$T$3:$T$89)</f>
        <v>0</v>
      </c>
    </row>
    <row r="156" spans="1:14" x14ac:dyDescent="0.3">
      <c r="A156" s="256"/>
      <c r="B156" s="257"/>
      <c r="C156" s="258"/>
      <c r="D156" s="258"/>
      <c r="E156" s="258"/>
      <c r="F156" s="258"/>
      <c r="G156" s="258"/>
      <c r="H156" s="258"/>
      <c r="I156" s="259"/>
      <c r="J156" s="259"/>
      <c r="K156" s="258"/>
      <c r="L156" s="192">
        <f>I156+J156*EERR!$D$2</f>
        <v>0</v>
      </c>
      <c r="M156" s="123">
        <f>L156/EERR!$D$2</f>
        <v>0</v>
      </c>
      <c r="N156" s="123">
        <f>SUMIF(Oct!$B$3:$B$89,A156,Oct!$T$3:$T$89)</f>
        <v>0</v>
      </c>
    </row>
    <row r="157" spans="1:14" x14ac:dyDescent="0.3">
      <c r="A157" s="256"/>
      <c r="B157" s="257"/>
      <c r="C157" s="258"/>
      <c r="D157" s="258"/>
      <c r="E157" s="258"/>
      <c r="F157" s="258"/>
      <c r="G157" s="258"/>
      <c r="H157" s="258"/>
      <c r="I157" s="259"/>
      <c r="J157" s="259"/>
      <c r="K157" s="258"/>
      <c r="L157" s="192">
        <f>I157+J157*EERR!$D$2</f>
        <v>0</v>
      </c>
      <c r="M157" s="123">
        <f>L157/EERR!$D$2</f>
        <v>0</v>
      </c>
      <c r="N157" s="123">
        <f>SUMIF(Oct!$B$3:$B$89,A157,Oct!$T$3:$T$89)</f>
        <v>0</v>
      </c>
    </row>
    <row r="158" spans="1:14" x14ac:dyDescent="0.3">
      <c r="A158" s="256"/>
      <c r="B158" s="257"/>
      <c r="C158" s="258"/>
      <c r="D158" s="258"/>
      <c r="E158" s="258"/>
      <c r="F158" s="258"/>
      <c r="G158" s="258"/>
      <c r="H158" s="258"/>
      <c r="I158" s="259"/>
      <c r="J158" s="259"/>
      <c r="K158" s="258"/>
      <c r="L158" s="192">
        <f>I158+J158*EERR!$D$2</f>
        <v>0</v>
      </c>
      <c r="M158" s="123">
        <f>L158/EERR!$D$2</f>
        <v>0</v>
      </c>
      <c r="N158" s="123">
        <f>SUMIF(Oct!$B$3:$B$89,A158,Oct!$T$3:$T$89)</f>
        <v>0</v>
      </c>
    </row>
    <row r="159" spans="1:14" x14ac:dyDescent="0.3">
      <c r="A159" s="256"/>
      <c r="B159" s="257"/>
      <c r="C159" s="258"/>
      <c r="D159" s="258"/>
      <c r="E159" s="258"/>
      <c r="F159" s="258"/>
      <c r="G159" s="258"/>
      <c r="H159" s="258"/>
      <c r="I159" s="259"/>
      <c r="J159" s="259"/>
      <c r="K159" s="258"/>
      <c r="L159" s="192">
        <f>I159+J159*EERR!$D$2</f>
        <v>0</v>
      </c>
      <c r="M159" s="123">
        <f>L159/EERR!$D$2</f>
        <v>0</v>
      </c>
      <c r="N159" s="123">
        <f>SUMIF(Oct!$B$3:$B$89,A159,Oct!$T$3:$T$89)</f>
        <v>0</v>
      </c>
    </row>
    <row r="160" spans="1:14" x14ac:dyDescent="0.3">
      <c r="A160" s="256"/>
      <c r="B160" s="257"/>
      <c r="C160" s="258"/>
      <c r="D160" s="258"/>
      <c r="E160" s="258"/>
      <c r="F160" s="258"/>
      <c r="G160" s="258"/>
      <c r="H160" s="258"/>
      <c r="I160" s="259"/>
      <c r="J160" s="259"/>
      <c r="K160" s="258"/>
      <c r="L160" s="192">
        <f>I160+J160*EERR!$D$2</f>
        <v>0</v>
      </c>
      <c r="M160" s="123">
        <f>L160/EERR!$D$2</f>
        <v>0</v>
      </c>
      <c r="N160" s="123">
        <f>SUMIF(Oct!$B$3:$B$89,A160,Oct!$T$3:$T$89)</f>
        <v>0</v>
      </c>
    </row>
    <row r="161" spans="1:14" x14ac:dyDescent="0.3">
      <c r="A161" s="256"/>
      <c r="B161" s="257"/>
      <c r="C161" s="258"/>
      <c r="D161" s="258"/>
      <c r="E161" s="258"/>
      <c r="F161" s="258"/>
      <c r="G161" s="258"/>
      <c r="H161" s="258"/>
      <c r="I161" s="259"/>
      <c r="J161" s="259"/>
      <c r="K161" s="258"/>
      <c r="L161" s="192">
        <f>I161+J161*EERR!$D$2</f>
        <v>0</v>
      </c>
      <c r="M161" s="123">
        <f>L161/EERR!$D$2</f>
        <v>0</v>
      </c>
      <c r="N161" s="123">
        <f>SUMIF(Oct!$B$3:$B$89,A161,Oct!$T$3:$T$89)</f>
        <v>0</v>
      </c>
    </row>
    <row r="162" spans="1:14" x14ac:dyDescent="0.3">
      <c r="A162" s="256"/>
      <c r="B162" s="257"/>
      <c r="C162" s="258"/>
      <c r="D162" s="258"/>
      <c r="E162" s="258"/>
      <c r="F162" s="258"/>
      <c r="G162" s="258"/>
      <c r="H162" s="258"/>
      <c r="I162" s="259"/>
      <c r="J162" s="259"/>
      <c r="K162" s="258"/>
      <c r="L162" s="192">
        <f>I162+J162*EERR!$D$2</f>
        <v>0</v>
      </c>
      <c r="M162" s="123">
        <f>L162/EERR!$D$2</f>
        <v>0</v>
      </c>
      <c r="N162" s="123">
        <f>SUMIF(Oct!$B$3:$B$89,A162,Oct!$T$3:$T$89)</f>
        <v>0</v>
      </c>
    </row>
    <row r="163" spans="1:14" x14ac:dyDescent="0.3">
      <c r="A163" s="256"/>
      <c r="B163" s="257"/>
      <c r="C163" s="258"/>
      <c r="D163" s="258"/>
      <c r="E163" s="258"/>
      <c r="F163" s="258"/>
      <c r="G163" s="258"/>
      <c r="H163" s="258"/>
      <c r="I163" s="259"/>
      <c r="J163" s="259"/>
      <c r="K163" s="258"/>
      <c r="L163" s="192">
        <f>I163+J163*EERR!$D$2</f>
        <v>0</v>
      </c>
      <c r="M163" s="123">
        <f>L163/EERR!$D$2</f>
        <v>0</v>
      </c>
      <c r="N163" s="123">
        <f>SUMIF(Oct!$B$3:$B$89,A163,Oct!$T$3:$T$89)</f>
        <v>0</v>
      </c>
    </row>
    <row r="164" spans="1:14" x14ac:dyDescent="0.3">
      <c r="A164" s="256"/>
      <c r="B164" s="257"/>
      <c r="C164" s="258"/>
      <c r="D164" s="258"/>
      <c r="E164" s="258"/>
      <c r="F164" s="258"/>
      <c r="G164" s="258"/>
      <c r="H164" s="258"/>
      <c r="I164" s="259"/>
      <c r="J164" s="259"/>
      <c r="K164" s="258"/>
      <c r="L164" s="192">
        <f>I164+J164*EERR!$D$2</f>
        <v>0</v>
      </c>
      <c r="M164" s="123">
        <f>L164/EERR!$D$2</f>
        <v>0</v>
      </c>
      <c r="N164" s="123">
        <f>SUMIF(Oct!$B$3:$B$89,A164,Oct!$T$3:$T$89)</f>
        <v>0</v>
      </c>
    </row>
    <row r="165" spans="1:14" x14ac:dyDescent="0.3">
      <c r="A165" s="256"/>
      <c r="B165" s="257"/>
      <c r="C165" s="258"/>
      <c r="D165" s="258"/>
      <c r="E165" s="258"/>
      <c r="F165" s="258"/>
      <c r="G165" s="258"/>
      <c r="H165" s="258"/>
      <c r="I165" s="259"/>
      <c r="J165" s="259"/>
      <c r="K165" s="258"/>
      <c r="L165" s="192">
        <f>I165+J165*EERR!$D$2</f>
        <v>0</v>
      </c>
      <c r="M165" s="123">
        <f>L165/EERR!$D$2</f>
        <v>0</v>
      </c>
      <c r="N165" s="123">
        <f>SUMIF(Oct!$B$3:$B$89,A165,Oct!$T$3:$T$89)</f>
        <v>0</v>
      </c>
    </row>
    <row r="166" spans="1:14" x14ac:dyDescent="0.3">
      <c r="A166" s="256"/>
      <c r="B166" s="257"/>
      <c r="C166" s="258"/>
      <c r="D166" s="258"/>
      <c r="E166" s="258"/>
      <c r="F166" s="258"/>
      <c r="G166" s="258"/>
      <c r="H166" s="258"/>
      <c r="I166" s="259"/>
      <c r="J166" s="259"/>
      <c r="K166" s="258"/>
      <c r="L166" s="192">
        <f>I166+J166*EERR!$D$2</f>
        <v>0</v>
      </c>
      <c r="M166" s="123">
        <f>L166/EERR!$D$2</f>
        <v>0</v>
      </c>
      <c r="N166" s="123">
        <f>SUMIF(Oct!$B$3:$B$89,A166,Oct!$T$3:$T$89)</f>
        <v>0</v>
      </c>
    </row>
    <row r="167" spans="1:14" x14ac:dyDescent="0.3">
      <c r="A167" s="256"/>
      <c r="B167" s="257"/>
      <c r="C167" s="258"/>
      <c r="D167" s="258"/>
      <c r="E167" s="258"/>
      <c r="F167" s="258"/>
      <c r="G167" s="258"/>
      <c r="H167" s="258"/>
      <c r="I167" s="259"/>
      <c r="J167" s="259"/>
      <c r="K167" s="258"/>
      <c r="L167" s="192">
        <f>I167+J167*EERR!$D$2</f>
        <v>0</v>
      </c>
      <c r="M167" s="123">
        <f>L167/EERR!$D$2</f>
        <v>0</v>
      </c>
      <c r="N167" s="123">
        <f>SUMIF(Oct!$B$3:$B$89,A167,Oct!$T$3:$T$89)</f>
        <v>0</v>
      </c>
    </row>
    <row r="168" spans="1:14" x14ac:dyDescent="0.3">
      <c r="A168" s="256"/>
      <c r="B168" s="257"/>
      <c r="C168" s="258"/>
      <c r="D168" s="258"/>
      <c r="E168" s="258"/>
      <c r="F168" s="258"/>
      <c r="G168" s="258"/>
      <c r="H168" s="258"/>
      <c r="I168" s="259"/>
      <c r="J168" s="259"/>
      <c r="K168" s="258"/>
      <c r="L168" s="192">
        <f>I168+J168*EERR!$D$2</f>
        <v>0</v>
      </c>
      <c r="M168" s="123">
        <f>L168/EERR!$D$2</f>
        <v>0</v>
      </c>
      <c r="N168" s="123">
        <f>SUMIF(Oct!$B$3:$B$89,A168,Oct!$T$3:$T$89)</f>
        <v>0</v>
      </c>
    </row>
    <row r="169" spans="1:14" x14ac:dyDescent="0.3">
      <c r="A169" s="256"/>
      <c r="B169" s="257"/>
      <c r="C169" s="258"/>
      <c r="D169" s="258"/>
      <c r="E169" s="258"/>
      <c r="F169" s="258"/>
      <c r="G169" s="258"/>
      <c r="H169" s="258"/>
      <c r="I169" s="259"/>
      <c r="J169" s="259"/>
      <c r="K169" s="258"/>
      <c r="L169" s="192">
        <f>I169+J169*EERR!$D$2</f>
        <v>0</v>
      </c>
      <c r="M169" s="123">
        <f>L169/EERR!$D$2</f>
        <v>0</v>
      </c>
      <c r="N169" s="123">
        <f>SUMIF(Oct!$B$3:$B$89,A169,Oct!$T$3:$T$89)</f>
        <v>0</v>
      </c>
    </row>
    <row r="170" spans="1:14" x14ac:dyDescent="0.3">
      <c r="A170" s="256"/>
      <c r="B170" s="257"/>
      <c r="C170" s="258"/>
      <c r="D170" s="258"/>
      <c r="E170" s="258"/>
      <c r="F170" s="258"/>
      <c r="G170" s="258"/>
      <c r="H170" s="258"/>
      <c r="I170" s="259"/>
      <c r="J170" s="259"/>
      <c r="K170" s="258"/>
      <c r="L170" s="192">
        <f>I170+J170*EERR!$D$2</f>
        <v>0</v>
      </c>
      <c r="M170" s="123">
        <f>L170/EERR!$D$2</f>
        <v>0</v>
      </c>
      <c r="N170" s="123">
        <f>SUMIF(Oct!$B$3:$B$89,A170,Oct!$T$3:$T$89)</f>
        <v>0</v>
      </c>
    </row>
    <row r="171" spans="1:14" x14ac:dyDescent="0.3">
      <c r="A171" s="256"/>
      <c r="B171" s="257"/>
      <c r="C171" s="258"/>
      <c r="D171" s="258"/>
      <c r="E171" s="258"/>
      <c r="F171" s="258"/>
      <c r="G171" s="258"/>
      <c r="H171" s="258"/>
      <c r="I171" s="259"/>
      <c r="J171" s="259"/>
      <c r="K171" s="258"/>
      <c r="L171" s="192">
        <f>I171+J171*EERR!$D$2</f>
        <v>0</v>
      </c>
      <c r="M171" s="123">
        <f>L171/EERR!$D$2</f>
        <v>0</v>
      </c>
      <c r="N171" s="123">
        <f>SUMIF(Oct!$B$3:$B$89,A171,Oct!$T$3:$T$89)</f>
        <v>0</v>
      </c>
    </row>
    <row r="172" spans="1:14" x14ac:dyDescent="0.3">
      <c r="A172" s="256"/>
      <c r="B172" s="257"/>
      <c r="C172" s="258"/>
      <c r="D172" s="258"/>
      <c r="E172" s="258"/>
      <c r="F172" s="258"/>
      <c r="G172" s="258"/>
      <c r="H172" s="258"/>
      <c r="I172" s="259"/>
      <c r="J172" s="259"/>
      <c r="K172" s="258"/>
      <c r="L172" s="192">
        <f>I172+J172*EERR!$D$2</f>
        <v>0</v>
      </c>
      <c r="M172" s="123">
        <f>L172/EERR!$D$2</f>
        <v>0</v>
      </c>
      <c r="N172" s="123">
        <f>SUMIF(Oct!$B$3:$B$89,A172,Oct!$T$3:$T$89)</f>
        <v>0</v>
      </c>
    </row>
    <row r="173" spans="1:14" x14ac:dyDescent="0.3">
      <c r="A173" s="256"/>
      <c r="B173" s="257"/>
      <c r="C173" s="258"/>
      <c r="D173" s="258"/>
      <c r="E173" s="258"/>
      <c r="F173" s="258"/>
      <c r="G173" s="258"/>
      <c r="H173" s="258"/>
      <c r="I173" s="259"/>
      <c r="J173" s="259"/>
      <c r="K173" s="258"/>
      <c r="L173" s="192">
        <f>I173+J173*EERR!$D$2</f>
        <v>0</v>
      </c>
      <c r="M173" s="123">
        <f>L173/EERR!$D$2</f>
        <v>0</v>
      </c>
      <c r="N173" s="123">
        <f>SUMIF(Oct!$B$3:$B$89,A173,Oct!$T$3:$T$89)</f>
        <v>0</v>
      </c>
    </row>
    <row r="174" spans="1:14" x14ac:dyDescent="0.3">
      <c r="A174" s="256"/>
      <c r="B174" s="257"/>
      <c r="C174" s="258"/>
      <c r="D174" s="258"/>
      <c r="E174" s="258"/>
      <c r="F174" s="258"/>
      <c r="G174" s="258"/>
      <c r="H174" s="258"/>
      <c r="I174" s="259"/>
      <c r="J174" s="259"/>
      <c r="K174" s="258"/>
      <c r="L174" s="192">
        <f>I174+J174*EERR!$D$2</f>
        <v>0</v>
      </c>
      <c r="M174" s="123">
        <f>L174/EERR!$D$2</f>
        <v>0</v>
      </c>
      <c r="N174" s="123">
        <f>SUMIF(Oct!$B$3:$B$89,A174,Oct!$T$3:$T$89)</f>
        <v>0</v>
      </c>
    </row>
    <row r="175" spans="1:14" x14ac:dyDescent="0.3">
      <c r="A175" s="256"/>
      <c r="B175" s="257"/>
      <c r="C175" s="258"/>
      <c r="D175" s="258"/>
      <c r="E175" s="258"/>
      <c r="F175" s="258"/>
      <c r="G175" s="258"/>
      <c r="H175" s="258"/>
      <c r="I175" s="259"/>
      <c r="J175" s="259"/>
      <c r="K175" s="258"/>
      <c r="L175" s="192">
        <f>I175+J175*EERR!$D$2</f>
        <v>0</v>
      </c>
      <c r="M175" s="123">
        <f>L175/EERR!$D$2</f>
        <v>0</v>
      </c>
      <c r="N175" s="123">
        <f>SUMIF(Oct!$B$3:$B$89,A175,Oct!$T$3:$T$89)</f>
        <v>0</v>
      </c>
    </row>
    <row r="176" spans="1:14" x14ac:dyDescent="0.3">
      <c r="A176" s="256"/>
      <c r="B176" s="257"/>
      <c r="C176" s="258"/>
      <c r="D176" s="258"/>
      <c r="E176" s="258"/>
      <c r="F176" s="258"/>
      <c r="G176" s="258"/>
      <c r="H176" s="258"/>
      <c r="I176" s="259"/>
      <c r="J176" s="259"/>
      <c r="K176" s="258"/>
      <c r="L176" s="192">
        <f>I176+J176*EERR!$D$2</f>
        <v>0</v>
      </c>
      <c r="M176" s="123">
        <f>L176/EERR!$D$2</f>
        <v>0</v>
      </c>
      <c r="N176" s="123">
        <f>SUMIF(Oct!$B$3:$B$89,A176,Oct!$T$3:$T$89)</f>
        <v>0</v>
      </c>
    </row>
    <row r="177" spans="1:18" x14ac:dyDescent="0.3">
      <c r="A177" s="256"/>
      <c r="B177" s="257"/>
      <c r="C177" s="258"/>
      <c r="D177" s="258"/>
      <c r="E177" s="258"/>
      <c r="F177" s="258"/>
      <c r="G177" s="258"/>
      <c r="H177" s="258"/>
      <c r="I177" s="259"/>
      <c r="J177" s="259"/>
      <c r="K177" s="258"/>
      <c r="L177" s="192">
        <f>I177+J177*EERR!$D$2</f>
        <v>0</v>
      </c>
      <c r="M177" s="123">
        <f>L177/EERR!$D$2</f>
        <v>0</v>
      </c>
      <c r="N177" s="123">
        <f>SUMIF(Oct!$B$3:$B$89,A177,Oct!$T$3:$T$89)</f>
        <v>0</v>
      </c>
    </row>
    <row r="178" spans="1:18" x14ac:dyDescent="0.3">
      <c r="A178" s="256"/>
      <c r="B178" s="257"/>
      <c r="C178" s="258"/>
      <c r="D178" s="258"/>
      <c r="E178" s="258"/>
      <c r="F178" s="258"/>
      <c r="G178" s="258"/>
      <c r="H178" s="258"/>
      <c r="I178" s="259"/>
      <c r="J178" s="259"/>
      <c r="K178" s="258"/>
      <c r="L178" s="192">
        <f>I178+J178*EERR!$D$2</f>
        <v>0</v>
      </c>
      <c r="M178" s="123">
        <f>L178/EERR!$D$2</f>
        <v>0</v>
      </c>
      <c r="N178" s="123">
        <f>SUMIF(Oct!$B$3:$B$89,A178,Oct!$T$3:$T$89)</f>
        <v>0</v>
      </c>
      <c r="Q178" s="206">
        <f>SUM(J2:J185)+Oct!J88</f>
        <v>42854.75</v>
      </c>
      <c r="R178" s="184">
        <f>Q178*EERR!D2</f>
        <v>26977065.125</v>
      </c>
    </row>
    <row r="179" spans="1:18" x14ac:dyDescent="0.3">
      <c r="A179" s="256"/>
      <c r="B179" s="257"/>
      <c r="C179" s="258"/>
      <c r="D179" s="258"/>
      <c r="E179" s="258"/>
      <c r="F179" s="258"/>
      <c r="G179" s="258"/>
      <c r="H179" s="258"/>
      <c r="I179" s="259"/>
      <c r="J179" s="259"/>
      <c r="K179" s="258"/>
      <c r="L179" s="192">
        <f>I179+J179*EERR!$D$2</f>
        <v>0</v>
      </c>
      <c r="M179" s="123">
        <f>L179/EERR!$D$2</f>
        <v>0</v>
      </c>
      <c r="N179" s="123">
        <f>SUMIF(Oct!$B$3:$B$89,A179,Oct!$T$3:$T$89)</f>
        <v>0</v>
      </c>
    </row>
    <row r="180" spans="1:18" x14ac:dyDescent="0.3">
      <c r="A180" s="256"/>
      <c r="B180" s="257"/>
      <c r="C180" s="258"/>
      <c r="D180" s="258"/>
      <c r="E180" s="258"/>
      <c r="F180" s="258"/>
      <c r="G180" s="258"/>
      <c r="H180" s="258"/>
      <c r="I180" s="259"/>
      <c r="J180" s="259"/>
      <c r="K180" s="258"/>
      <c r="L180" s="192">
        <f>I180+J180*EERR!$D$2</f>
        <v>0</v>
      </c>
      <c r="M180" s="123">
        <f>L180/EERR!$D$2</f>
        <v>0</v>
      </c>
      <c r="N180" s="123">
        <f>SUMIF(Oct!$B$3:$B$89,A180,Oct!$T$3:$T$89)</f>
        <v>0</v>
      </c>
    </row>
    <row r="181" spans="1:18" x14ac:dyDescent="0.3">
      <c r="A181" s="256"/>
      <c r="B181" s="257"/>
      <c r="C181" s="258"/>
      <c r="D181" s="258"/>
      <c r="E181" s="258"/>
      <c r="F181" s="258"/>
      <c r="G181" s="258"/>
      <c r="H181" s="258"/>
      <c r="I181" s="259"/>
      <c r="J181" s="259"/>
      <c r="K181" s="258"/>
      <c r="L181" s="192">
        <f>I181+J181*EERR!$D$2</f>
        <v>0</v>
      </c>
      <c r="M181" s="123">
        <f>L181/EERR!$D$2</f>
        <v>0</v>
      </c>
      <c r="N181" s="123">
        <f>SUMIF(Oct!$B$3:$B$89,A181,Oct!$T$3:$T$89)</f>
        <v>0</v>
      </c>
    </row>
    <row r="182" spans="1:18" x14ac:dyDescent="0.3">
      <c r="A182" s="256"/>
      <c r="B182" s="257"/>
      <c r="C182" s="258"/>
      <c r="D182" s="258"/>
      <c r="E182" s="258"/>
      <c r="F182" s="258"/>
      <c r="G182" s="258"/>
      <c r="H182" s="258"/>
      <c r="I182" s="259"/>
      <c r="J182" s="259"/>
      <c r="K182" s="258"/>
      <c r="L182" s="192">
        <f>I182+J182*EERR!$D$2</f>
        <v>0</v>
      </c>
      <c r="M182" s="123">
        <f>L182/EERR!$D$2</f>
        <v>0</v>
      </c>
      <c r="N182" s="123">
        <f>SUMIF(Oct!$B$3:$B$89,A182,Oct!$T$3:$T$89)</f>
        <v>0</v>
      </c>
    </row>
    <row r="183" spans="1:18" x14ac:dyDescent="0.3">
      <c r="A183" s="256"/>
      <c r="B183" s="257"/>
      <c r="C183" s="258"/>
      <c r="D183" s="258"/>
      <c r="E183" s="258"/>
      <c r="F183" s="258"/>
      <c r="G183" s="258"/>
      <c r="H183" s="258"/>
      <c r="I183" s="259"/>
      <c r="J183" s="259"/>
      <c r="K183" s="258"/>
      <c r="L183" s="192">
        <f>I183+J183*EERR!$D$2</f>
        <v>0</v>
      </c>
      <c r="M183" s="123">
        <f>L183/EERR!$D$2</f>
        <v>0</v>
      </c>
      <c r="N183" s="123">
        <f>SUMIF(Oct!$B$3:$B$89,A183,Oct!$T$3:$T$89)</f>
        <v>0</v>
      </c>
    </row>
    <row r="184" spans="1:18" x14ac:dyDescent="0.3">
      <c r="A184" s="256"/>
      <c r="B184" s="257"/>
      <c r="C184" s="258"/>
      <c r="D184" s="258"/>
      <c r="E184" s="258"/>
      <c r="F184" s="258"/>
      <c r="G184" s="258"/>
      <c r="H184" s="258"/>
      <c r="I184" s="259"/>
      <c r="J184" s="259"/>
      <c r="K184" s="258"/>
      <c r="L184" s="192">
        <f>I184+J184*EERR!$D$2</f>
        <v>0</v>
      </c>
      <c r="M184" s="123">
        <f>L184/EERR!$D$2</f>
        <v>0</v>
      </c>
      <c r="N184" s="123">
        <f>SUMIF(Oct!$B$3:$B$89,A184,Oct!$T$3:$T$89)</f>
        <v>0</v>
      </c>
    </row>
    <row r="185" spans="1:18" x14ac:dyDescent="0.3">
      <c r="A185" s="256"/>
      <c r="B185" s="257"/>
      <c r="C185" s="258"/>
      <c r="D185" s="258"/>
      <c r="E185" s="258"/>
      <c r="F185" s="258"/>
      <c r="G185" s="258"/>
      <c r="H185" s="258"/>
      <c r="I185" s="259"/>
      <c r="J185" s="259"/>
      <c r="K185" s="258"/>
      <c r="L185" s="192">
        <f>I185+J185*EERR!$D$2</f>
        <v>0</v>
      </c>
      <c r="M185" s="123">
        <f>L185/EERR!$D$2</f>
        <v>0</v>
      </c>
      <c r="N185" s="123">
        <f>SUMIF(Oct!$B$3:$B$89,A185,Oct!$T$3:$T$89)</f>
        <v>0</v>
      </c>
    </row>
    <row r="186" spans="1:18" x14ac:dyDescent="0.3">
      <c r="A186" s="256"/>
      <c r="B186" s="257"/>
      <c r="C186" s="258"/>
      <c r="D186" s="258"/>
      <c r="E186" s="258"/>
      <c r="F186" s="258"/>
      <c r="G186" s="258"/>
      <c r="H186" s="258"/>
      <c r="I186" s="259"/>
      <c r="J186" s="259"/>
      <c r="K186" s="258"/>
      <c r="L186" s="192">
        <f>I186+J186*EERR!$D$2</f>
        <v>0</v>
      </c>
      <c r="M186" s="123">
        <f>L186/EERR!$D$2</f>
        <v>0</v>
      </c>
      <c r="N186" s="123">
        <f>SUMIF(Oct!$B$3:$B$89,A186,Oct!$T$3:$T$89)</f>
        <v>0</v>
      </c>
    </row>
    <row r="187" spans="1:18" x14ac:dyDescent="0.3">
      <c r="A187" s="256"/>
      <c r="B187" s="257"/>
      <c r="C187" s="258"/>
      <c r="D187" s="258"/>
      <c r="E187" s="258"/>
      <c r="F187" s="258"/>
      <c r="G187" s="258"/>
      <c r="H187" s="258"/>
      <c r="I187" s="259"/>
      <c r="J187" s="259"/>
      <c r="K187" s="258"/>
      <c r="L187" s="192">
        <f>I187+J187*EERR!$D$2</f>
        <v>0</v>
      </c>
      <c r="M187" s="123">
        <f>L187/EERR!$D$2</f>
        <v>0</v>
      </c>
      <c r="N187" s="123">
        <f>SUMIF(Oct!$B$3:$B$89,A187,Oct!$T$3:$T$89)</f>
        <v>0</v>
      </c>
    </row>
    <row r="188" spans="1:18" x14ac:dyDescent="0.3">
      <c r="A188" s="256"/>
      <c r="B188" s="257"/>
      <c r="C188" s="258"/>
      <c r="D188" s="258"/>
      <c r="E188" s="258"/>
      <c r="F188" s="258"/>
      <c r="G188" s="258"/>
      <c r="H188" s="258"/>
      <c r="I188" s="259"/>
      <c r="J188" s="259"/>
      <c r="K188" s="258"/>
      <c r="L188" s="192">
        <f>I188+J188*EERR!$D$2</f>
        <v>0</v>
      </c>
      <c r="M188" s="123">
        <f>L188/EERR!$D$2</f>
        <v>0</v>
      </c>
      <c r="N188" s="123">
        <f>SUMIF(Oct!$B$3:$B$89,A188,Oct!$T$3:$T$89)</f>
        <v>0</v>
      </c>
    </row>
    <row r="189" spans="1:18" x14ac:dyDescent="0.3">
      <c r="A189" s="256"/>
      <c r="B189" s="257"/>
      <c r="C189" s="258"/>
      <c r="D189" s="258"/>
      <c r="E189" s="258"/>
      <c r="F189" s="258"/>
      <c r="G189" s="258"/>
      <c r="H189" s="258"/>
      <c r="I189" s="259"/>
      <c r="J189" s="259"/>
      <c r="K189" s="258"/>
      <c r="L189" s="192">
        <f>I189+J189*EERR!$D$2</f>
        <v>0</v>
      </c>
      <c r="M189" s="123">
        <f>L189/EERR!$D$2</f>
        <v>0</v>
      </c>
      <c r="N189" s="123">
        <f>SUMIF(Oct!$B$3:$B$89,A189,Oct!$T$3:$T$89)</f>
        <v>0</v>
      </c>
    </row>
    <row r="190" spans="1:18" x14ac:dyDescent="0.3">
      <c r="A190" s="256"/>
      <c r="B190" s="257"/>
      <c r="C190" s="258"/>
      <c r="D190" s="258"/>
      <c r="E190" s="258"/>
      <c r="F190" s="258"/>
      <c r="G190" s="258"/>
      <c r="H190" s="258"/>
      <c r="I190" s="259"/>
      <c r="J190" s="259"/>
      <c r="K190" s="258"/>
      <c r="L190" s="192">
        <f>I190+J190*EERR!$D$2</f>
        <v>0</v>
      </c>
      <c r="M190" s="123">
        <f>L190/EERR!$D$2</f>
        <v>0</v>
      </c>
      <c r="N190" s="123">
        <f>SUMIF(Oct!$B$3:$B$89,A190,Oct!$T$3:$T$89)</f>
        <v>0</v>
      </c>
    </row>
    <row r="191" spans="1:18" x14ac:dyDescent="0.3">
      <c r="A191" s="256"/>
      <c r="B191" s="257"/>
      <c r="C191" s="258"/>
      <c r="D191" s="258"/>
      <c r="E191" s="258"/>
      <c r="F191" s="258"/>
      <c r="G191" s="258"/>
      <c r="H191" s="258"/>
      <c r="I191" s="259"/>
      <c r="J191" s="259"/>
      <c r="K191" s="258"/>
      <c r="L191" s="192">
        <f>I191+J191*EERR!$D$2</f>
        <v>0</v>
      </c>
      <c r="M191" s="123">
        <f>L191/EERR!$D$2</f>
        <v>0</v>
      </c>
      <c r="N191" s="123">
        <f>SUMIF(Oct!$B$3:$B$89,A191,Oct!$T$3:$T$89)</f>
        <v>0</v>
      </c>
    </row>
    <row r="192" spans="1:18" x14ac:dyDescent="0.3">
      <c r="A192" s="256"/>
      <c r="B192" s="257"/>
      <c r="C192" s="258"/>
      <c r="D192" s="258"/>
      <c r="E192" s="258"/>
      <c r="F192" s="258"/>
      <c r="G192" s="258"/>
      <c r="H192" s="258"/>
      <c r="I192" s="259"/>
      <c r="J192" s="259"/>
      <c r="K192" s="258"/>
      <c r="L192" s="192">
        <f>I192+J192*EERR!$D$2</f>
        <v>0</v>
      </c>
      <c r="M192" s="123">
        <f>L192/EERR!$D$2</f>
        <v>0</v>
      </c>
      <c r="N192" s="123">
        <f>SUMIF(Oct!$B$3:$B$89,A192,Oct!$T$3:$T$89)</f>
        <v>0</v>
      </c>
    </row>
    <row r="193" spans="1:14" x14ac:dyDescent="0.3">
      <c r="A193" s="256"/>
      <c r="B193" s="257"/>
      <c r="C193" s="258"/>
      <c r="D193" s="258"/>
      <c r="E193" s="258"/>
      <c r="F193" s="258"/>
      <c r="G193" s="258"/>
      <c r="H193" s="258"/>
      <c r="I193" s="259"/>
      <c r="J193" s="259"/>
      <c r="K193" s="258"/>
      <c r="L193" s="192">
        <f>I193+J193*EERR!$D$2</f>
        <v>0</v>
      </c>
      <c r="M193" s="123">
        <f>L193/EERR!$D$2</f>
        <v>0</v>
      </c>
      <c r="N193" s="123">
        <f>SUMIF(Oct!$B$3:$B$89,A193,Oct!$T$3:$T$89)</f>
        <v>0</v>
      </c>
    </row>
    <row r="194" spans="1:14" x14ac:dyDescent="0.3">
      <c r="A194" s="256"/>
      <c r="B194" s="257"/>
      <c r="C194" s="258"/>
      <c r="D194" s="258"/>
      <c r="E194" s="258"/>
      <c r="F194" s="258"/>
      <c r="G194" s="258"/>
      <c r="H194" s="258"/>
      <c r="I194" s="259"/>
      <c r="J194" s="259"/>
      <c r="K194" s="258"/>
      <c r="L194" s="192">
        <f>I194+J194*EERR!$D$2</f>
        <v>0</v>
      </c>
      <c r="M194" s="123">
        <f>L194/EERR!$D$2</f>
        <v>0</v>
      </c>
      <c r="N194" s="123">
        <f>SUMIF(Oct!$B$3:$B$89,A194,Oct!$T$3:$T$89)</f>
        <v>0</v>
      </c>
    </row>
    <row r="195" spans="1:14" x14ac:dyDescent="0.3">
      <c r="A195" s="241"/>
      <c r="B195" s="242"/>
      <c r="C195" s="243"/>
      <c r="D195" s="243"/>
      <c r="E195" s="243"/>
      <c r="F195" s="243"/>
      <c r="G195" s="243"/>
      <c r="H195" s="243"/>
      <c r="I195" s="244"/>
      <c r="J195" s="244"/>
      <c r="K195" s="243"/>
      <c r="L195" s="192">
        <f>I195+J195*EERR!$D$2</f>
        <v>0</v>
      </c>
      <c r="M195" s="123">
        <f>L195/EERR!$D$2</f>
        <v>0</v>
      </c>
      <c r="N195" s="123">
        <f>SUMIF(Oct!$B$3:$B$89,A195,Oct!$T$3:$T$89)</f>
        <v>0</v>
      </c>
    </row>
    <row r="196" spans="1:14" x14ac:dyDescent="0.3">
      <c r="A196" s="241"/>
      <c r="B196" s="242"/>
      <c r="C196" s="243"/>
      <c r="D196" s="243"/>
      <c r="E196" s="243"/>
      <c r="F196" s="243"/>
      <c r="G196" s="243"/>
      <c r="H196" s="243"/>
      <c r="I196" s="244"/>
      <c r="J196" s="244"/>
      <c r="K196" s="243"/>
      <c r="L196" s="192">
        <f>I196+J196*EERR!$D$2</f>
        <v>0</v>
      </c>
      <c r="M196" s="123">
        <f>L196/EERR!$D$2</f>
        <v>0</v>
      </c>
      <c r="N196" s="123">
        <f>SUMIF(Oct!$B$3:$B$89,A196,Oct!$T$3:$T$89)</f>
        <v>0</v>
      </c>
    </row>
    <row r="197" spans="1:14" x14ac:dyDescent="0.3">
      <c r="A197" s="241"/>
      <c r="B197" s="242"/>
      <c r="C197" s="243"/>
      <c r="D197" s="243"/>
      <c r="E197" s="243"/>
      <c r="F197" s="243"/>
      <c r="G197" s="243"/>
      <c r="H197" s="243"/>
      <c r="I197" s="244"/>
      <c r="J197" s="244"/>
      <c r="K197" s="243"/>
      <c r="L197" s="192">
        <f>I197+J197*EERR!$D$2</f>
        <v>0</v>
      </c>
      <c r="M197" s="123">
        <f>L197/EERR!$D$2</f>
        <v>0</v>
      </c>
      <c r="N197" s="123">
        <f>SUMIF(Oct!$B$3:$B$89,A197,Oct!$T$3:$T$89)</f>
        <v>0</v>
      </c>
    </row>
    <row r="198" spans="1:14" x14ac:dyDescent="0.3">
      <c r="A198" s="241"/>
      <c r="B198" s="242"/>
      <c r="C198" s="243"/>
      <c r="D198" s="243"/>
      <c r="E198" s="243"/>
      <c r="F198" s="243"/>
      <c r="G198" s="243"/>
      <c r="H198" s="243"/>
      <c r="I198" s="244"/>
      <c r="J198" s="244"/>
      <c r="K198" s="243"/>
      <c r="L198" s="192">
        <f>I198+J198*EERR!$D$2</f>
        <v>0</v>
      </c>
      <c r="M198" s="123">
        <f>L198/EERR!$D$2</f>
        <v>0</v>
      </c>
      <c r="N198" s="123">
        <f>SUMIF(Oct!$B$3:$B$89,A198,Oct!$T$3:$T$89)</f>
        <v>0</v>
      </c>
    </row>
    <row r="199" spans="1:14" x14ac:dyDescent="0.3">
      <c r="A199" s="241"/>
      <c r="B199" s="242"/>
      <c r="C199" s="243"/>
      <c r="D199" s="243"/>
      <c r="E199" s="243"/>
      <c r="F199" s="243"/>
      <c r="G199" s="243"/>
      <c r="H199" s="243"/>
      <c r="I199" s="244"/>
      <c r="J199" s="244"/>
      <c r="K199" s="243"/>
      <c r="L199" s="192">
        <f>I199+J199*EERR!$D$2</f>
        <v>0</v>
      </c>
      <c r="M199" s="123">
        <f>L199/EERR!$D$2</f>
        <v>0</v>
      </c>
      <c r="N199" s="123">
        <f>SUMIF(Oct!$B$3:$B$89,A199,Oct!$T$3:$T$89)</f>
        <v>0</v>
      </c>
    </row>
    <row r="200" spans="1:14" x14ac:dyDescent="0.3">
      <c r="A200" s="241"/>
      <c r="B200" s="242"/>
      <c r="C200" s="243"/>
      <c r="D200" s="243"/>
      <c r="E200" s="243"/>
      <c r="F200" s="243"/>
      <c r="G200" s="243"/>
      <c r="H200" s="243"/>
      <c r="I200" s="244"/>
      <c r="J200" s="244"/>
      <c r="K200" s="243"/>
      <c r="L200" s="192">
        <f>I200+J200*EERR!$D$2</f>
        <v>0</v>
      </c>
      <c r="M200" s="123">
        <f>L200/EERR!$D$2</f>
        <v>0</v>
      </c>
      <c r="N200" s="123">
        <f>SUMIF(Oct!$B$3:$B$89,A200,Oct!$T$3:$T$89)</f>
        <v>0</v>
      </c>
    </row>
    <row r="201" spans="1:14" x14ac:dyDescent="0.3">
      <c r="A201" s="241"/>
      <c r="B201" s="242"/>
      <c r="C201" s="243"/>
      <c r="D201" s="243"/>
      <c r="E201" s="243"/>
      <c r="F201" s="243"/>
      <c r="G201" s="243"/>
      <c r="H201" s="243"/>
      <c r="I201" s="244"/>
      <c r="J201" s="244"/>
      <c r="K201" s="243"/>
      <c r="L201" s="192">
        <f>I201+J201*EERR!$D$2</f>
        <v>0</v>
      </c>
      <c r="M201" s="123">
        <f>L201/EERR!$D$2</f>
        <v>0</v>
      </c>
      <c r="N201" s="123">
        <f>SUMIF(Oct!$B$3:$B$89,A201,Oct!$T$3:$T$89)</f>
        <v>0</v>
      </c>
    </row>
    <row r="202" spans="1:14" x14ac:dyDescent="0.3">
      <c r="A202" s="241"/>
      <c r="B202" s="242"/>
      <c r="C202" s="243"/>
      <c r="D202" s="243"/>
      <c r="E202" s="243"/>
      <c r="F202" s="243"/>
      <c r="G202" s="243"/>
      <c r="H202" s="243"/>
      <c r="I202" s="244"/>
      <c r="J202" s="244"/>
      <c r="K202" s="243"/>
      <c r="L202" s="192">
        <f>I202+J202*EERR!$D$2</f>
        <v>0</v>
      </c>
      <c r="M202" s="123">
        <f>L202/EERR!$D$2</f>
        <v>0</v>
      </c>
      <c r="N202" s="123">
        <f>SUMIF(Oct!$B$3:$B$89,A202,Oct!$T$3:$T$89)</f>
        <v>0</v>
      </c>
    </row>
    <row r="203" spans="1:14" x14ac:dyDescent="0.3">
      <c r="A203" s="241"/>
      <c r="B203" s="242"/>
      <c r="C203" s="243"/>
      <c r="D203" s="243"/>
      <c r="E203" s="243"/>
      <c r="F203" s="243"/>
      <c r="G203" s="243"/>
      <c r="H203" s="243"/>
      <c r="I203" s="244"/>
      <c r="J203" s="244"/>
      <c r="K203" s="243"/>
      <c r="L203" s="192">
        <f>I203+J203*EERR!$D$2</f>
        <v>0</v>
      </c>
      <c r="M203" s="123">
        <f>L203/EERR!$D$2</f>
        <v>0</v>
      </c>
      <c r="N203" s="123">
        <f>SUMIF(Oct!$B$3:$B$89,A203,Oct!$T$3:$T$89)</f>
        <v>0</v>
      </c>
    </row>
    <row r="204" spans="1:14" x14ac:dyDescent="0.3">
      <c r="A204" s="241"/>
      <c r="B204" s="242"/>
      <c r="C204" s="243"/>
      <c r="D204" s="243"/>
      <c r="E204" s="243"/>
      <c r="F204" s="243"/>
      <c r="G204" s="243"/>
      <c r="H204" s="243"/>
      <c r="I204" s="244"/>
      <c r="J204" s="244"/>
      <c r="K204" s="243"/>
      <c r="L204" s="192">
        <f>I204+J204*EERR!$D$2</f>
        <v>0</v>
      </c>
      <c r="M204" s="123">
        <f>L204/EERR!$D$2</f>
        <v>0</v>
      </c>
      <c r="N204" s="123">
        <f>SUMIF(Oct!$B$3:$B$89,A204,Oct!$T$3:$T$89)</f>
        <v>0</v>
      </c>
    </row>
    <row r="205" spans="1:14" x14ac:dyDescent="0.3">
      <c r="A205" s="241"/>
      <c r="B205" s="242"/>
      <c r="C205" s="243"/>
      <c r="D205" s="243"/>
      <c r="E205" s="243"/>
      <c r="F205" s="243"/>
      <c r="G205" s="243"/>
      <c r="H205" s="243"/>
      <c r="I205" s="244"/>
      <c r="J205" s="244"/>
      <c r="K205" s="243"/>
      <c r="L205" s="192">
        <f>I205+J205*EERR!$D$2</f>
        <v>0</v>
      </c>
      <c r="M205" s="123">
        <f>L205/EERR!$D$2</f>
        <v>0</v>
      </c>
      <c r="N205" s="123">
        <f>SUMIF(Oct!$B$3:$B$89,A205,Oct!$T$3:$T$89)</f>
        <v>0</v>
      </c>
    </row>
    <row r="206" spans="1:14" x14ac:dyDescent="0.3">
      <c r="A206" s="241"/>
      <c r="B206" s="242"/>
      <c r="C206" s="243"/>
      <c r="D206" s="243"/>
      <c r="E206" s="243"/>
      <c r="F206" s="243"/>
      <c r="G206" s="243"/>
      <c r="H206" s="243"/>
      <c r="I206" s="244"/>
      <c r="J206" s="244"/>
      <c r="K206" s="243"/>
      <c r="L206" s="192">
        <f>I206+J206*EERR!$D$2</f>
        <v>0</v>
      </c>
      <c r="M206" s="123">
        <f>L206/EERR!$D$2</f>
        <v>0</v>
      </c>
      <c r="N206" s="123">
        <f>SUMIF(Oct!$B$3:$B$89,A206,Oct!$T$3:$T$89)</f>
        <v>0</v>
      </c>
    </row>
    <row r="207" spans="1:14" x14ac:dyDescent="0.3">
      <c r="A207" s="137"/>
      <c r="B207" s="133"/>
      <c r="C207" s="121"/>
      <c r="D207" s="121"/>
      <c r="E207" s="121"/>
      <c r="F207" s="121"/>
      <c r="G207" s="121"/>
      <c r="H207" s="121"/>
      <c r="I207" s="122"/>
      <c r="J207" s="122"/>
      <c r="K207" s="121"/>
      <c r="L207" s="192">
        <f>I207+J207*EERR!$D$2</f>
        <v>0</v>
      </c>
      <c r="M207" s="123">
        <f>L207/EERR!$D$2</f>
        <v>0</v>
      </c>
      <c r="N207" s="123">
        <f>SUMIF(Oct!$B$3:$B$89,A207,Oct!$T$3:$T$89)</f>
        <v>0</v>
      </c>
    </row>
    <row r="208" spans="1:14" x14ac:dyDescent="0.3">
      <c r="A208" s="137"/>
      <c r="B208" s="133"/>
      <c r="C208" s="121"/>
      <c r="D208" s="121"/>
      <c r="E208" s="121"/>
      <c r="F208" s="121"/>
      <c r="G208" s="121"/>
      <c r="H208" s="121"/>
      <c r="I208" s="122"/>
      <c r="J208" s="122"/>
      <c r="K208" s="121"/>
      <c r="L208" s="192">
        <f>I208+J208*EERR!$D$2</f>
        <v>0</v>
      </c>
      <c r="M208" s="123">
        <f>L208/EERR!$D$2</f>
        <v>0</v>
      </c>
      <c r="N208" s="123">
        <f>SUMIF(Oct!$B$3:$B$89,A208,Oct!$T$3:$T$89)</f>
        <v>0</v>
      </c>
    </row>
    <row r="209" spans="1:18" x14ac:dyDescent="0.3">
      <c r="A209" s="137"/>
      <c r="B209" s="133"/>
      <c r="C209" s="121"/>
      <c r="D209" s="121"/>
      <c r="E209" s="121"/>
      <c r="F209" s="121"/>
      <c r="G209" s="121"/>
      <c r="H209" s="121"/>
      <c r="I209" s="122"/>
      <c r="J209" s="122"/>
      <c r="K209" s="121"/>
      <c r="L209" s="192">
        <f>I209+J209*EERR!$D$2</f>
        <v>0</v>
      </c>
      <c r="M209" s="123">
        <f>L209/EERR!$D$2</f>
        <v>0</v>
      </c>
      <c r="N209" s="123">
        <f>SUMIF(Oct!$B$3:$B$89,A209,Oct!$T$3:$T$89)</f>
        <v>0</v>
      </c>
    </row>
    <row r="210" spans="1:18" x14ac:dyDescent="0.3">
      <c r="A210" s="137"/>
      <c r="B210" s="133"/>
      <c r="C210" s="121"/>
      <c r="D210" s="121"/>
      <c r="E210" s="121"/>
      <c r="F210" s="121"/>
      <c r="G210" s="121"/>
      <c r="H210" s="121"/>
      <c r="I210" s="122"/>
      <c r="J210" s="122"/>
      <c r="K210" s="121"/>
      <c r="L210" s="192">
        <f>I210+J210*EERR!$D$2</f>
        <v>0</v>
      </c>
      <c r="M210" s="123">
        <f>L210/EERR!$D$2</f>
        <v>0</v>
      </c>
      <c r="N210" s="123">
        <f>SUMIF(Oct!$B$3:$B$89,A210,Oct!$T$3:$T$89)</f>
        <v>0</v>
      </c>
    </row>
    <row r="211" spans="1:18" x14ac:dyDescent="0.3">
      <c r="A211" s="137"/>
      <c r="B211" s="133"/>
      <c r="C211" s="121"/>
      <c r="D211" s="121"/>
      <c r="E211" s="121"/>
      <c r="F211" s="121"/>
      <c r="G211" s="121"/>
      <c r="H211" s="121"/>
      <c r="I211" s="122"/>
      <c r="J211" s="122"/>
      <c r="K211" s="121"/>
      <c r="L211" s="192">
        <f>I211+J211*EERR!$D$2</f>
        <v>0</v>
      </c>
      <c r="M211" s="123">
        <f>L211/EERR!$D$2</f>
        <v>0</v>
      </c>
      <c r="N211" s="123">
        <f>SUMIF(Oct!$B$3:$B$89,A211,Oct!$T$3:$T$89)</f>
        <v>0</v>
      </c>
    </row>
    <row r="212" spans="1:18" x14ac:dyDescent="0.3">
      <c r="A212" s="137"/>
      <c r="B212" s="133"/>
      <c r="C212" s="121"/>
      <c r="D212" s="121"/>
      <c r="E212" s="121"/>
      <c r="F212" s="121"/>
      <c r="G212" s="121"/>
      <c r="H212" s="121"/>
      <c r="I212" s="122"/>
      <c r="J212" s="122"/>
      <c r="K212" s="121"/>
      <c r="L212" s="192">
        <f>I212+J212*EERR!$D$2</f>
        <v>0</v>
      </c>
      <c r="M212" s="123">
        <f>L212/EERR!$D$2</f>
        <v>0</v>
      </c>
      <c r="N212" s="123">
        <f>SUMIF(Oct!$B$3:$B$89,A212,Oct!$T$3:$T$89)</f>
        <v>0</v>
      </c>
    </row>
    <row r="213" spans="1:18" x14ac:dyDescent="0.3">
      <c r="A213" s="137"/>
      <c r="B213" s="133"/>
      <c r="C213" s="121"/>
      <c r="D213" s="121"/>
      <c r="E213" s="121"/>
      <c r="F213" s="121"/>
      <c r="G213" s="121"/>
      <c r="H213" s="121"/>
      <c r="I213" s="122"/>
      <c r="J213" s="122"/>
      <c r="K213" s="121"/>
      <c r="L213" s="192">
        <f>I213+J213*EERR!$D$2</f>
        <v>0</v>
      </c>
      <c r="M213" s="123">
        <f>L213/EERR!$D$2</f>
        <v>0</v>
      </c>
      <c r="N213" s="123">
        <f>SUMIF(Oct!$B$3:$B$89,A213,Oct!$T$3:$T$89)</f>
        <v>0</v>
      </c>
    </row>
    <row r="214" spans="1:18" x14ac:dyDescent="0.3">
      <c r="A214" s="137"/>
      <c r="B214" s="133"/>
      <c r="C214" s="121"/>
      <c r="D214" s="121"/>
      <c r="E214" s="121"/>
      <c r="F214" s="121"/>
      <c r="G214" s="121"/>
      <c r="H214" s="121"/>
      <c r="I214" s="122"/>
      <c r="J214" s="122"/>
      <c r="K214" s="121"/>
      <c r="L214" s="192">
        <f>I214+J214*EERR!$D$2</f>
        <v>0</v>
      </c>
      <c r="M214" s="123">
        <f>L214/EERR!$D$2</f>
        <v>0</v>
      </c>
      <c r="N214" s="123">
        <f>SUMIF(Oct!$B$3:$B$89,A214,Oct!$T$3:$T$89)</f>
        <v>0</v>
      </c>
    </row>
    <row r="215" spans="1:18" x14ac:dyDescent="0.3">
      <c r="A215" s="137"/>
      <c r="B215" s="133"/>
      <c r="C215" s="121"/>
      <c r="D215" s="121"/>
      <c r="E215" s="121"/>
      <c r="F215" s="121"/>
      <c r="G215" s="121"/>
      <c r="H215" s="121"/>
      <c r="I215" s="122"/>
      <c r="J215" s="122"/>
      <c r="K215" s="121"/>
      <c r="L215" s="192">
        <f>I215+J215*EERR!$D$2</f>
        <v>0</v>
      </c>
      <c r="M215" s="123">
        <f>L215/EERR!$D$2</f>
        <v>0</v>
      </c>
      <c r="N215" s="123">
        <f>SUMIF(Oct!$B$3:$B$89,A215,Oct!$T$3:$T$89)</f>
        <v>0</v>
      </c>
    </row>
    <row r="216" spans="1:18" x14ac:dyDescent="0.3">
      <c r="A216" s="137"/>
      <c r="B216" s="133"/>
      <c r="C216" s="121"/>
      <c r="D216" s="121"/>
      <c r="E216" s="121"/>
      <c r="F216" s="121"/>
      <c r="G216" s="121"/>
      <c r="H216" s="121"/>
      <c r="I216" s="122"/>
      <c r="J216" s="122"/>
      <c r="K216" s="121"/>
      <c r="L216" s="192">
        <f>I216+J216*EERR!$D$2</f>
        <v>0</v>
      </c>
      <c r="M216" s="123">
        <f>L216/EERR!$D$2</f>
        <v>0</v>
      </c>
      <c r="N216" s="123">
        <f>SUMIF(Oct!$B$3:$B$89,A216,Oct!$T$3:$T$89)</f>
        <v>0</v>
      </c>
    </row>
    <row r="217" spans="1:18" x14ac:dyDescent="0.3">
      <c r="A217" s="137"/>
      <c r="B217" s="133"/>
      <c r="C217" s="121"/>
      <c r="D217" s="121"/>
      <c r="E217" s="121"/>
      <c r="F217" s="121"/>
      <c r="G217" s="121"/>
      <c r="H217" s="121"/>
      <c r="I217" s="122"/>
      <c r="J217" s="122"/>
      <c r="K217" s="121"/>
      <c r="L217" s="192">
        <f>I217+J217*EERR!$D$2</f>
        <v>0</v>
      </c>
      <c r="M217" s="123">
        <f>L217/EERR!$D$2</f>
        <v>0</v>
      </c>
      <c r="N217" s="123">
        <f>SUMIF(Oct!$B$3:$B$89,A217,Oct!$T$3:$T$89)</f>
        <v>0</v>
      </c>
    </row>
    <row r="218" spans="1:18" x14ac:dyDescent="0.3">
      <c r="A218" s="137"/>
      <c r="B218" s="133"/>
      <c r="C218" s="121"/>
      <c r="D218" s="121"/>
      <c r="E218" s="121"/>
      <c r="F218" s="121"/>
      <c r="G218" s="121"/>
      <c r="H218" s="121"/>
      <c r="I218" s="122"/>
      <c r="J218" s="122"/>
      <c r="K218" s="121"/>
      <c r="L218" s="192">
        <f>I218+J218*EERR!$D$2</f>
        <v>0</v>
      </c>
      <c r="M218" s="123">
        <f>L218/EERR!$D$2</f>
        <v>0</v>
      </c>
      <c r="N218" s="123">
        <f>SUMIF(Oct!$B$3:$B$89,A218,Oct!$T$3:$T$89)</f>
        <v>0</v>
      </c>
    </row>
    <row r="219" spans="1:18" x14ac:dyDescent="0.3">
      <c r="A219" s="137"/>
      <c r="B219" s="133"/>
      <c r="C219" s="121"/>
      <c r="D219" s="121"/>
      <c r="E219" s="121"/>
      <c r="F219" s="121"/>
      <c r="G219" s="121"/>
      <c r="H219" s="121"/>
      <c r="I219" s="122"/>
      <c r="J219" s="122"/>
      <c r="K219" s="121"/>
      <c r="L219" s="192">
        <f>I219+J219*EERR!$D$2</f>
        <v>0</v>
      </c>
      <c r="M219" s="123">
        <f>L219/EERR!$D$2</f>
        <v>0</v>
      </c>
      <c r="N219" s="123">
        <f>SUMIF(Oct!$B$3:$B$89,A219,Oct!$T$3:$T$89)</f>
        <v>0</v>
      </c>
    </row>
    <row r="220" spans="1:18" x14ac:dyDescent="0.3">
      <c r="A220" s="137"/>
      <c r="B220" s="133"/>
      <c r="C220" s="121"/>
      <c r="D220" s="121"/>
      <c r="E220" s="121"/>
      <c r="F220" s="121"/>
      <c r="G220" s="121"/>
      <c r="H220" s="121"/>
      <c r="I220" s="122"/>
      <c r="J220" s="122"/>
      <c r="K220" s="121"/>
      <c r="L220" s="192">
        <f>I220+J220*EERR!$D$2</f>
        <v>0</v>
      </c>
      <c r="M220" s="123">
        <f>L220/EERR!$D$2</f>
        <v>0</v>
      </c>
      <c r="N220" s="123">
        <f>SUMIF(Oct!$B$3:$B$89,A220,Oct!$T$3:$T$89)</f>
        <v>0</v>
      </c>
    </row>
    <row r="221" spans="1:18" x14ac:dyDescent="0.3">
      <c r="A221" s="207"/>
      <c r="B221" s="207"/>
      <c r="C221" s="207"/>
      <c r="D221" s="207"/>
      <c r="E221" s="207"/>
      <c r="F221" s="207"/>
      <c r="G221" s="207"/>
      <c r="H221" s="207"/>
      <c r="I221" s="208">
        <f>SUM(I2:I220)</f>
        <v>6512072</v>
      </c>
      <c r="J221" s="208">
        <f>SUM(J2:J220)</f>
        <v>31342.5</v>
      </c>
      <c r="K221" s="207"/>
      <c r="L221" s="192">
        <f>I221+J221*EERR!$D$2</f>
        <v>26242175.75</v>
      </c>
      <c r="M221" s="123">
        <f>L221/EERR!$D$2</f>
        <v>41687.332406671965</v>
      </c>
      <c r="N221" s="123">
        <f>SUMIF(Oct!$B$3:$B$89,A221,Oct!$T$3:$T$89)</f>
        <v>0</v>
      </c>
      <c r="O221" s="183"/>
      <c r="P221" s="183"/>
      <c r="R221" s="60">
        <v>7096000</v>
      </c>
    </row>
    <row r="222" spans="1:18" x14ac:dyDescent="0.3">
      <c r="I222" s="206">
        <f>I221-I12</f>
        <v>6512072</v>
      </c>
      <c r="J222" s="60"/>
      <c r="L222" s="192">
        <f>I222+J222*EERR!$D$2</f>
        <v>6512072</v>
      </c>
      <c r="M222" s="123">
        <f>L222/EERR!$D$2</f>
        <v>10344.832406671962</v>
      </c>
      <c r="N222" s="123">
        <f>SUMIF(Oct!$B$3:$B$89,A222,Oct!$T$3:$T$89)</f>
        <v>0</v>
      </c>
      <c r="O222" s="183"/>
      <c r="P222" s="183"/>
      <c r="R222" s="60">
        <f>R221*0.19</f>
        <v>1348240</v>
      </c>
    </row>
    <row r="223" spans="1:18" x14ac:dyDescent="0.3">
      <c r="H223" s="60" t="s">
        <v>139</v>
      </c>
      <c r="I223" s="206">
        <f>I222*0.19</f>
        <v>1237293.68</v>
      </c>
      <c r="J223" s="60"/>
      <c r="L223" s="192">
        <f>I223+J223*EERR!$D$2</f>
        <v>1237293.68</v>
      </c>
      <c r="M223" s="123">
        <f>L223/EERR!$D$2</f>
        <v>1965.5181572676727</v>
      </c>
      <c r="N223" s="123">
        <f>SUMIF(Oct!$B$3:$B$89,A223,Oct!$T$3:$T$89)</f>
        <v>0</v>
      </c>
      <c r="Q223" s="209"/>
    </row>
    <row r="224" spans="1:18" x14ac:dyDescent="0.3">
      <c r="I224" s="60"/>
      <c r="J224" s="60"/>
      <c r="L224" s="192">
        <f>I224+J224*EERR!$D$2</f>
        <v>0</v>
      </c>
      <c r="M224" s="123">
        <f>L224/EERR!$D$2</f>
        <v>0</v>
      </c>
      <c r="N224" s="123">
        <f>SUMIF(Oct!$B$3:$B$89,A224,Oct!$T$3:$T$89)</f>
        <v>0</v>
      </c>
    </row>
    <row r="225" spans="1:16" x14ac:dyDescent="0.3">
      <c r="I225" s="60"/>
      <c r="J225" s="60"/>
      <c r="L225" s="192">
        <f>I225+J225*EERR!$D$2</f>
        <v>0</v>
      </c>
      <c r="M225" s="123">
        <f>L225/EERR!$D$2</f>
        <v>0</v>
      </c>
      <c r="N225" s="123">
        <f>SUMIF(Oct!$B$3:$B$89,A225,Oct!$T$3:$T$89)</f>
        <v>0</v>
      </c>
    </row>
    <row r="226" spans="1:16" x14ac:dyDescent="0.3">
      <c r="L226" s="192">
        <f>I226+J226*EERR!$D$2</f>
        <v>0</v>
      </c>
      <c r="M226" s="123">
        <f>L226/EERR!$D$2</f>
        <v>0</v>
      </c>
      <c r="N226" s="123">
        <f>SUMIF(Oct!$B$3:$B$89,A226,Oct!$T$3:$T$89)</f>
        <v>0</v>
      </c>
    </row>
    <row r="227" spans="1:16" x14ac:dyDescent="0.3">
      <c r="A227" s="170" t="s">
        <v>142</v>
      </c>
      <c r="B227" s="204" t="s">
        <v>143</v>
      </c>
      <c r="C227" s="170" t="s">
        <v>144</v>
      </c>
      <c r="D227" s="170" t="s">
        <v>145</v>
      </c>
      <c r="E227" s="170" t="s">
        <v>146</v>
      </c>
      <c r="F227" s="170" t="s">
        <v>147</v>
      </c>
      <c r="G227" s="170" t="s">
        <v>148</v>
      </c>
      <c r="H227" s="170" t="s">
        <v>149</v>
      </c>
      <c r="I227" s="172" t="s">
        <v>150</v>
      </c>
      <c r="J227" s="172" t="s">
        <v>151</v>
      </c>
      <c r="K227" s="170" t="s">
        <v>152</v>
      </c>
      <c r="L227" s="192" t="e">
        <f>I227+J227*EERR!$D$2</f>
        <v>#VALUE!</v>
      </c>
      <c r="M227" s="123" t="e">
        <f>L227/EERR!$D$2</f>
        <v>#VALUE!</v>
      </c>
      <c r="N227" s="123">
        <f>SUMIF(Oct!$B$3:$B$89,A227,Oct!$T$3:$T$89)</f>
        <v>0</v>
      </c>
      <c r="O227" s="205" t="s">
        <v>81</v>
      </c>
      <c r="P227" s="205" t="s">
        <v>127</v>
      </c>
    </row>
    <row r="228" spans="1:16" x14ac:dyDescent="0.3">
      <c r="A228" s="137">
        <v>71343</v>
      </c>
      <c r="B228" s="133">
        <v>42979.493055555555</v>
      </c>
      <c r="C228" s="121">
        <v>30975278</v>
      </c>
      <c r="D228" s="121" t="s">
        <v>169</v>
      </c>
      <c r="E228" s="121" t="s">
        <v>170</v>
      </c>
      <c r="F228" s="121" t="s">
        <v>174</v>
      </c>
      <c r="G228" s="121" t="s">
        <v>438</v>
      </c>
      <c r="H228" s="121" t="s">
        <v>172</v>
      </c>
      <c r="I228" s="122"/>
      <c r="J228" s="122">
        <v>195</v>
      </c>
      <c r="K228" s="121">
        <v>505475</v>
      </c>
      <c r="L228" s="192">
        <v>121980.29999999999</v>
      </c>
      <c r="M228" s="123">
        <v>195</v>
      </c>
      <c r="N228" s="123">
        <v>121980.29999999999</v>
      </c>
    </row>
    <row r="229" spans="1:16" x14ac:dyDescent="0.3">
      <c r="A229" s="137">
        <v>10001</v>
      </c>
      <c r="B229" s="133">
        <v>42979.530555555553</v>
      </c>
      <c r="C229" s="121">
        <v>30975278</v>
      </c>
      <c r="D229" s="121" t="s">
        <v>169</v>
      </c>
      <c r="E229" s="121" t="s">
        <v>170</v>
      </c>
      <c r="F229" s="121" t="s">
        <v>175</v>
      </c>
      <c r="G229" s="121" t="s">
        <v>423</v>
      </c>
      <c r="H229" s="121" t="s">
        <v>172</v>
      </c>
      <c r="I229" s="122"/>
      <c r="J229" s="122">
        <v>195</v>
      </c>
      <c r="K229" s="121" t="s">
        <v>439</v>
      </c>
      <c r="L229" s="192">
        <v>121980.29999999999</v>
      </c>
      <c r="M229" s="123">
        <v>195</v>
      </c>
      <c r="N229" s="123">
        <v>121980.29999999999</v>
      </c>
    </row>
    <row r="230" spans="1:16" x14ac:dyDescent="0.3">
      <c r="A230" s="137">
        <v>4370</v>
      </c>
      <c r="B230" s="133">
        <v>42979.538194444445</v>
      </c>
      <c r="C230" s="121">
        <v>30975278</v>
      </c>
      <c r="D230" s="121" t="s">
        <v>169</v>
      </c>
      <c r="E230" s="121" t="s">
        <v>170</v>
      </c>
      <c r="F230" s="121" t="s">
        <v>174</v>
      </c>
      <c r="G230" s="121" t="s">
        <v>440</v>
      </c>
      <c r="H230" s="121" t="s">
        <v>172</v>
      </c>
      <c r="I230" s="122"/>
      <c r="J230" s="122">
        <v>220</v>
      </c>
      <c r="K230" s="121">
        <v>934315</v>
      </c>
      <c r="L230" s="192">
        <v>137618.79999999999</v>
      </c>
      <c r="M230" s="123">
        <v>220</v>
      </c>
      <c r="N230" s="123">
        <v>275237.59999999998</v>
      </c>
    </row>
    <row r="231" spans="1:16" x14ac:dyDescent="0.3">
      <c r="A231" s="137">
        <v>30452</v>
      </c>
      <c r="B231" s="133">
        <v>42979.542361111111</v>
      </c>
      <c r="C231" s="121">
        <v>30975278</v>
      </c>
      <c r="D231" s="121" t="s">
        <v>169</v>
      </c>
      <c r="E231" s="121" t="s">
        <v>170</v>
      </c>
      <c r="F231" s="121" t="s">
        <v>174</v>
      </c>
      <c r="G231" s="121" t="s">
        <v>441</v>
      </c>
      <c r="H231" s="121" t="s">
        <v>172</v>
      </c>
      <c r="I231" s="122"/>
      <c r="J231" s="122">
        <v>195</v>
      </c>
      <c r="K231" s="121">
        <v>53719</v>
      </c>
      <c r="L231" s="192">
        <v>121980.29999999999</v>
      </c>
      <c r="M231" s="123">
        <v>195</v>
      </c>
      <c r="N231" s="123">
        <v>487921.19999999995</v>
      </c>
    </row>
    <row r="232" spans="1:16" x14ac:dyDescent="0.3">
      <c r="A232" s="137">
        <v>47028</v>
      </c>
      <c r="B232" s="133">
        <v>42979.547222222223</v>
      </c>
      <c r="C232" s="121">
        <v>30975278</v>
      </c>
      <c r="D232" s="121" t="s">
        <v>169</v>
      </c>
      <c r="E232" s="121" t="s">
        <v>170</v>
      </c>
      <c r="F232" s="121" t="s">
        <v>174</v>
      </c>
      <c r="G232" s="121" t="s">
        <v>424</v>
      </c>
      <c r="H232" s="121" t="s">
        <v>172</v>
      </c>
      <c r="I232" s="122"/>
      <c r="J232" s="122">
        <v>195</v>
      </c>
      <c r="K232" s="121">
        <v>52138</v>
      </c>
      <c r="L232" s="192">
        <v>121980.29999999999</v>
      </c>
      <c r="M232" s="123">
        <v>195</v>
      </c>
      <c r="N232" s="123">
        <v>121980.29999999999</v>
      </c>
    </row>
    <row r="233" spans="1:16" x14ac:dyDescent="0.3">
      <c r="A233" s="137">
        <v>90447</v>
      </c>
      <c r="B233" s="133">
        <v>42979.560416666667</v>
      </c>
      <c r="C233" s="121">
        <v>30975278</v>
      </c>
      <c r="D233" s="121" t="s">
        <v>169</v>
      </c>
      <c r="E233" s="121" t="s">
        <v>170</v>
      </c>
      <c r="F233" s="121" t="s">
        <v>174</v>
      </c>
      <c r="G233" s="121" t="s">
        <v>442</v>
      </c>
      <c r="H233" s="121" t="s">
        <v>172</v>
      </c>
      <c r="I233" s="122"/>
      <c r="J233" s="122">
        <v>195</v>
      </c>
      <c r="K233" s="121">
        <v>42080</v>
      </c>
      <c r="L233" s="192">
        <v>121980.29999999999</v>
      </c>
      <c r="M233" s="123">
        <v>195</v>
      </c>
      <c r="N233" s="123">
        <v>731881.79999999993</v>
      </c>
    </row>
    <row r="234" spans="1:16" x14ac:dyDescent="0.3">
      <c r="A234" s="137">
        <v>71099</v>
      </c>
      <c r="B234" s="133">
        <v>42979.57916666667</v>
      </c>
      <c r="C234" s="121">
        <v>30975278</v>
      </c>
      <c r="D234" s="121" t="s">
        <v>169</v>
      </c>
      <c r="E234" s="121" t="s">
        <v>170</v>
      </c>
      <c r="F234" s="121" t="s">
        <v>174</v>
      </c>
      <c r="G234" s="121" t="s">
        <v>443</v>
      </c>
      <c r="H234" s="121" t="s">
        <v>172</v>
      </c>
      <c r="I234" s="122"/>
      <c r="J234" s="122">
        <v>195</v>
      </c>
      <c r="K234" s="121" t="s">
        <v>444</v>
      </c>
      <c r="L234" s="192">
        <v>121980.29999999999</v>
      </c>
      <c r="M234" s="123">
        <v>195</v>
      </c>
      <c r="N234" s="123">
        <v>609901.5</v>
      </c>
    </row>
    <row r="235" spans="1:16" x14ac:dyDescent="0.3">
      <c r="A235" s="137">
        <v>17122</v>
      </c>
      <c r="B235" s="133">
        <v>42979.634722222225</v>
      </c>
      <c r="C235" s="121">
        <v>30975278</v>
      </c>
      <c r="D235" s="121" t="s">
        <v>169</v>
      </c>
      <c r="E235" s="121" t="s">
        <v>170</v>
      </c>
      <c r="F235" s="121" t="s">
        <v>175</v>
      </c>
      <c r="G235" s="121" t="s">
        <v>445</v>
      </c>
      <c r="H235" s="121" t="s">
        <v>172</v>
      </c>
      <c r="I235" s="122"/>
      <c r="J235" s="122">
        <v>176</v>
      </c>
      <c r="K235" s="121">
        <v>879148</v>
      </c>
      <c r="L235" s="192">
        <v>110095.03999999999</v>
      </c>
      <c r="M235" s="123">
        <v>176</v>
      </c>
      <c r="N235" s="123">
        <v>110095.03999999999</v>
      </c>
    </row>
    <row r="236" spans="1:16" x14ac:dyDescent="0.3">
      <c r="A236" s="137">
        <v>61206</v>
      </c>
      <c r="B236" s="133">
        <v>42979.637499999997</v>
      </c>
      <c r="C236" s="121">
        <v>30975278</v>
      </c>
      <c r="D236" s="121" t="s">
        <v>169</v>
      </c>
      <c r="E236" s="121" t="s">
        <v>170</v>
      </c>
      <c r="F236" s="121" t="s">
        <v>174</v>
      </c>
      <c r="G236" s="121" t="s">
        <v>446</v>
      </c>
      <c r="H236" s="121" t="s">
        <v>172</v>
      </c>
      <c r="I236" s="122"/>
      <c r="J236" s="122">
        <v>176</v>
      </c>
      <c r="K236" s="121">
        <v>690874</v>
      </c>
      <c r="L236" s="192">
        <v>110095.03999999999</v>
      </c>
      <c r="M236" s="123">
        <v>176</v>
      </c>
      <c r="N236" s="123">
        <v>439754.62</v>
      </c>
    </row>
    <row r="237" spans="1:16" x14ac:dyDescent="0.3">
      <c r="A237" s="137">
        <v>68896</v>
      </c>
      <c r="B237" s="133">
        <v>42979.638888888891</v>
      </c>
      <c r="C237" s="121">
        <v>30975278</v>
      </c>
      <c r="D237" s="121" t="s">
        <v>169</v>
      </c>
      <c r="E237" s="121" t="s">
        <v>170</v>
      </c>
      <c r="F237" s="121" t="s">
        <v>174</v>
      </c>
      <c r="G237" s="121" t="s">
        <v>447</v>
      </c>
      <c r="H237" s="121" t="s">
        <v>172</v>
      </c>
      <c r="I237" s="122"/>
      <c r="J237" s="122">
        <v>195</v>
      </c>
      <c r="K237" s="121">
        <v>96665</v>
      </c>
      <c r="L237" s="192">
        <v>121980.29999999999</v>
      </c>
      <c r="M237" s="123">
        <v>195</v>
      </c>
      <c r="N237" s="123">
        <v>609901.5</v>
      </c>
    </row>
    <row r="238" spans="1:16" x14ac:dyDescent="0.3">
      <c r="A238" s="137">
        <v>97326</v>
      </c>
      <c r="B238" s="133">
        <v>42979.640277777777</v>
      </c>
      <c r="C238" s="121">
        <v>30975278</v>
      </c>
      <c r="D238" s="121" t="s">
        <v>169</v>
      </c>
      <c r="E238" s="121" t="s">
        <v>170</v>
      </c>
      <c r="F238" s="121" t="s">
        <v>174</v>
      </c>
      <c r="G238" s="121" t="s">
        <v>448</v>
      </c>
      <c r="H238" s="121" t="s">
        <v>172</v>
      </c>
      <c r="I238" s="122"/>
      <c r="J238" s="122">
        <v>195</v>
      </c>
      <c r="K238" s="121">
        <v>278621</v>
      </c>
      <c r="L238" s="192">
        <v>121980.29999999999</v>
      </c>
      <c r="M238" s="123">
        <v>195</v>
      </c>
      <c r="N238" s="123">
        <v>121980.29999999999</v>
      </c>
    </row>
    <row r="239" spans="1:16" x14ac:dyDescent="0.3">
      <c r="A239" s="137">
        <v>28442</v>
      </c>
      <c r="B239" s="133">
        <v>42979.640972222223</v>
      </c>
      <c r="C239" s="121">
        <v>30975278</v>
      </c>
      <c r="D239" s="121" t="s">
        <v>169</v>
      </c>
      <c r="E239" s="121" t="s">
        <v>170</v>
      </c>
      <c r="F239" s="121" t="s">
        <v>175</v>
      </c>
      <c r="G239" s="121" t="s">
        <v>449</v>
      </c>
      <c r="H239" s="121" t="s">
        <v>172</v>
      </c>
      <c r="I239" s="122"/>
      <c r="J239" s="122">
        <v>195</v>
      </c>
      <c r="K239" s="121">
        <v>308556</v>
      </c>
      <c r="L239" s="192">
        <v>121980.29999999999</v>
      </c>
      <c r="M239" s="123">
        <v>195</v>
      </c>
      <c r="N239" s="123">
        <v>243960.59999999998</v>
      </c>
    </row>
    <row r="240" spans="1:16" x14ac:dyDescent="0.3">
      <c r="A240" s="137">
        <v>97325</v>
      </c>
      <c r="B240" s="133">
        <v>42979.64166666667</v>
      </c>
      <c r="C240" s="121">
        <v>30975278</v>
      </c>
      <c r="D240" s="121" t="s">
        <v>169</v>
      </c>
      <c r="E240" s="121" t="s">
        <v>170</v>
      </c>
      <c r="F240" s="121" t="s">
        <v>174</v>
      </c>
      <c r="G240" s="121" t="s">
        <v>448</v>
      </c>
      <c r="H240" s="121" t="s">
        <v>172</v>
      </c>
      <c r="I240" s="122"/>
      <c r="J240" s="122">
        <v>195</v>
      </c>
      <c r="K240" s="121">
        <v>279456</v>
      </c>
      <c r="L240" s="192">
        <v>121980.29999999999</v>
      </c>
      <c r="M240" s="123">
        <v>195</v>
      </c>
      <c r="N240" s="123">
        <v>121980.29999999999</v>
      </c>
    </row>
    <row r="241" spans="1:17" x14ac:dyDescent="0.3">
      <c r="A241" s="137">
        <v>40067</v>
      </c>
      <c r="B241" s="133">
        <v>42979.875</v>
      </c>
      <c r="C241" s="121">
        <v>30905830</v>
      </c>
      <c r="D241" s="121" t="s">
        <v>169</v>
      </c>
      <c r="E241" s="121" t="s">
        <v>173</v>
      </c>
      <c r="F241" s="121" t="s">
        <v>175</v>
      </c>
      <c r="G241" s="121" t="s">
        <v>450</v>
      </c>
      <c r="H241" s="121" t="s">
        <v>173</v>
      </c>
      <c r="I241" s="122">
        <v>110389</v>
      </c>
      <c r="J241" s="122"/>
      <c r="K241" s="121">
        <v>440684</v>
      </c>
      <c r="L241" s="192">
        <v>110389</v>
      </c>
      <c r="M241" s="123">
        <v>176.46992998049686</v>
      </c>
      <c r="N241" s="123">
        <v>263144</v>
      </c>
    </row>
    <row r="242" spans="1:17" x14ac:dyDescent="0.3">
      <c r="A242" s="137">
        <v>40067</v>
      </c>
      <c r="B242" s="133">
        <v>42979.938888888886</v>
      </c>
      <c r="C242" s="121">
        <v>30905830</v>
      </c>
      <c r="D242" s="121" t="s">
        <v>169</v>
      </c>
      <c r="E242" s="121" t="s">
        <v>173</v>
      </c>
      <c r="F242" s="121" t="s">
        <v>175</v>
      </c>
      <c r="G242" s="121" t="s">
        <v>450</v>
      </c>
      <c r="H242" s="121" t="s">
        <v>173</v>
      </c>
      <c r="I242" s="122">
        <v>152755</v>
      </c>
      <c r="J242" s="122"/>
      <c r="K242" s="121">
        <v>255375</v>
      </c>
      <c r="L242" s="192">
        <v>152755</v>
      </c>
      <c r="M242" s="123">
        <v>244.19701378009401</v>
      </c>
      <c r="N242" s="123">
        <v>263144</v>
      </c>
    </row>
    <row r="243" spans="1:17" x14ac:dyDescent="0.3">
      <c r="A243" s="137">
        <v>9239</v>
      </c>
      <c r="B243" s="133">
        <v>42980.324999999997</v>
      </c>
      <c r="C243" s="121">
        <v>30905830</v>
      </c>
      <c r="D243" s="121" t="s">
        <v>169</v>
      </c>
      <c r="E243" s="121" t="s">
        <v>173</v>
      </c>
      <c r="F243" s="121" t="s">
        <v>174</v>
      </c>
      <c r="G243" s="121" t="s">
        <v>451</v>
      </c>
      <c r="H243" s="121" t="s">
        <v>173</v>
      </c>
      <c r="I243" s="122">
        <v>6000</v>
      </c>
      <c r="J243" s="122"/>
      <c r="K243" s="121">
        <v>88917</v>
      </c>
      <c r="L243" s="192">
        <v>6000</v>
      </c>
      <c r="M243" s="123">
        <v>9.5917127601752092</v>
      </c>
      <c r="N243" s="123">
        <v>0</v>
      </c>
    </row>
    <row r="244" spans="1:17" x14ac:dyDescent="0.3">
      <c r="A244" s="137">
        <v>33764</v>
      </c>
      <c r="B244" s="133">
        <v>42980.431944444441</v>
      </c>
      <c r="C244" s="121">
        <v>30975278</v>
      </c>
      <c r="D244" s="121" t="s">
        <v>169</v>
      </c>
      <c r="E244" s="121" t="s">
        <v>170</v>
      </c>
      <c r="F244" s="121" t="s">
        <v>171</v>
      </c>
      <c r="G244" s="121" t="s">
        <v>452</v>
      </c>
      <c r="H244" s="121" t="s">
        <v>172</v>
      </c>
      <c r="I244" s="122"/>
      <c r="J244" s="122">
        <v>585</v>
      </c>
      <c r="K244" s="121">
        <v>68</v>
      </c>
      <c r="L244" s="192">
        <v>365940.89999999997</v>
      </c>
      <c r="M244" s="123">
        <v>585</v>
      </c>
      <c r="N244" s="123">
        <v>487921.19999999995</v>
      </c>
      <c r="Q244" s="60" t="s">
        <v>247</v>
      </c>
    </row>
    <row r="245" spans="1:17" x14ac:dyDescent="0.3">
      <c r="A245" s="137">
        <v>74613</v>
      </c>
      <c r="B245" s="133">
        <v>42980.675000000003</v>
      </c>
      <c r="C245" s="121">
        <v>30975278</v>
      </c>
      <c r="D245" s="121" t="s">
        <v>169</v>
      </c>
      <c r="E245" s="121" t="s">
        <v>170</v>
      </c>
      <c r="F245" s="121" t="s">
        <v>175</v>
      </c>
      <c r="G245" s="121" t="s">
        <v>453</v>
      </c>
      <c r="H245" s="121" t="s">
        <v>172</v>
      </c>
      <c r="I245" s="122"/>
      <c r="J245" s="122">
        <v>195</v>
      </c>
      <c r="K245" s="121">
        <v>46257</v>
      </c>
      <c r="L245" s="192">
        <v>121980.29999999999</v>
      </c>
      <c r="M245" s="123">
        <v>195</v>
      </c>
      <c r="N245" s="123">
        <v>121980.29999999999</v>
      </c>
    </row>
    <row r="246" spans="1:17" x14ac:dyDescent="0.3">
      <c r="A246" s="137">
        <v>80646</v>
      </c>
      <c r="B246" s="133">
        <v>42980.676388888889</v>
      </c>
      <c r="C246" s="121">
        <v>30975278</v>
      </c>
      <c r="D246" s="121" t="s">
        <v>169</v>
      </c>
      <c r="E246" s="121" t="s">
        <v>170</v>
      </c>
      <c r="F246" s="121" t="s">
        <v>175</v>
      </c>
      <c r="G246" s="121" t="s">
        <v>454</v>
      </c>
      <c r="H246" s="121" t="s">
        <v>172</v>
      </c>
      <c r="I246" s="122"/>
      <c r="J246" s="122">
        <v>195</v>
      </c>
      <c r="K246" s="121">
        <v>2511</v>
      </c>
      <c r="L246" s="192">
        <v>121980.29999999999</v>
      </c>
      <c r="M246" s="123">
        <v>195</v>
      </c>
      <c r="N246" s="123">
        <v>365940.89999999997</v>
      </c>
    </row>
    <row r="247" spans="1:17" x14ac:dyDescent="0.3">
      <c r="A247" s="137">
        <v>38870</v>
      </c>
      <c r="B247" s="133">
        <v>42980.677083333336</v>
      </c>
      <c r="C247" s="121">
        <v>30975278</v>
      </c>
      <c r="D247" s="121" t="s">
        <v>169</v>
      </c>
      <c r="E247" s="121" t="s">
        <v>170</v>
      </c>
      <c r="F247" s="121" t="s">
        <v>175</v>
      </c>
      <c r="G247" s="121" t="s">
        <v>455</v>
      </c>
      <c r="H247" s="121" t="s">
        <v>172</v>
      </c>
      <c r="I247" s="122"/>
      <c r="J247" s="122">
        <v>195</v>
      </c>
      <c r="K247" s="121">
        <v>5884</v>
      </c>
      <c r="L247" s="192">
        <v>121980.29999999999</v>
      </c>
      <c r="M247" s="123">
        <v>195</v>
      </c>
      <c r="N247" s="123">
        <v>731881.79999999993</v>
      </c>
    </row>
    <row r="248" spans="1:17" x14ac:dyDescent="0.3">
      <c r="A248" s="137">
        <v>50659</v>
      </c>
      <c r="B248" s="133">
        <v>42980.678472222222</v>
      </c>
      <c r="C248" s="121">
        <v>30975278</v>
      </c>
      <c r="D248" s="121" t="s">
        <v>169</v>
      </c>
      <c r="E248" s="121" t="s">
        <v>170</v>
      </c>
      <c r="F248" s="121" t="s">
        <v>171</v>
      </c>
      <c r="G248" s="121" t="s">
        <v>456</v>
      </c>
      <c r="H248" s="121" t="s">
        <v>172</v>
      </c>
      <c r="I248" s="122"/>
      <c r="J248" s="122">
        <v>195</v>
      </c>
      <c r="K248" s="121">
        <v>68</v>
      </c>
      <c r="L248" s="192">
        <v>121980.29999999999</v>
      </c>
      <c r="M248" s="123">
        <v>195</v>
      </c>
      <c r="N248" s="123">
        <v>609901.5</v>
      </c>
    </row>
    <row r="249" spans="1:17" x14ac:dyDescent="0.3">
      <c r="A249" s="137">
        <v>82949</v>
      </c>
      <c r="B249" s="133">
        <v>42980.681944444441</v>
      </c>
      <c r="C249" s="121">
        <v>30975278</v>
      </c>
      <c r="D249" s="121" t="s">
        <v>169</v>
      </c>
      <c r="E249" s="121" t="s">
        <v>170</v>
      </c>
      <c r="F249" s="121" t="s">
        <v>175</v>
      </c>
      <c r="G249" s="121" t="s">
        <v>457</v>
      </c>
      <c r="H249" s="121" t="s">
        <v>172</v>
      </c>
      <c r="I249" s="122"/>
      <c r="J249" s="122">
        <v>351</v>
      </c>
      <c r="K249" s="121">
        <v>232273</v>
      </c>
      <c r="L249" s="192">
        <v>219564.53999999998</v>
      </c>
      <c r="M249" s="123">
        <v>351</v>
      </c>
      <c r="N249" s="123">
        <v>878258.15999999992</v>
      </c>
    </row>
    <row r="250" spans="1:17" x14ac:dyDescent="0.3">
      <c r="A250" s="137">
        <v>47781</v>
      </c>
      <c r="B250" s="133">
        <v>42980.703472222223</v>
      </c>
      <c r="C250" s="121">
        <v>30975278</v>
      </c>
      <c r="D250" s="121" t="s">
        <v>169</v>
      </c>
      <c r="E250" s="121" t="s">
        <v>170</v>
      </c>
      <c r="F250" s="121" t="s">
        <v>175</v>
      </c>
      <c r="G250" s="121" t="s">
        <v>414</v>
      </c>
      <c r="H250" s="121" t="s">
        <v>172</v>
      </c>
      <c r="I250" s="122"/>
      <c r="J250" s="122">
        <v>585</v>
      </c>
      <c r="K250" s="121">
        <v>635698</v>
      </c>
      <c r="L250" s="192">
        <v>365940.89999999997</v>
      </c>
      <c r="M250" s="123">
        <v>585</v>
      </c>
      <c r="N250" s="123">
        <v>487921.19999999995</v>
      </c>
    </row>
    <row r="251" spans="1:17" x14ac:dyDescent="0.3">
      <c r="A251" s="137">
        <v>67184</v>
      </c>
      <c r="B251" s="133">
        <v>42980.726388888892</v>
      </c>
      <c r="C251" s="121">
        <v>30975278</v>
      </c>
      <c r="D251" s="121" t="s">
        <v>169</v>
      </c>
      <c r="E251" s="121" t="s">
        <v>170</v>
      </c>
      <c r="F251" s="121" t="s">
        <v>174</v>
      </c>
      <c r="G251" s="121" t="s">
        <v>458</v>
      </c>
      <c r="H251" s="121" t="s">
        <v>172</v>
      </c>
      <c r="I251" s="122"/>
      <c r="J251" s="122">
        <v>176</v>
      </c>
      <c r="K251" s="121">
        <v>84652</v>
      </c>
      <c r="L251" s="192">
        <v>110095.03999999999</v>
      </c>
      <c r="M251" s="123">
        <v>176</v>
      </c>
      <c r="N251" s="123">
        <v>439754.62</v>
      </c>
    </row>
    <row r="252" spans="1:17" x14ac:dyDescent="0.3">
      <c r="A252" s="137">
        <v>84087</v>
      </c>
      <c r="B252" s="133">
        <v>42981.678472222222</v>
      </c>
      <c r="C252" s="121">
        <v>30975278</v>
      </c>
      <c r="D252" s="121" t="s">
        <v>169</v>
      </c>
      <c r="E252" s="121" t="s">
        <v>170</v>
      </c>
      <c r="F252" s="121" t="s">
        <v>174</v>
      </c>
      <c r="G252" s="121" t="s">
        <v>459</v>
      </c>
      <c r="H252" s="121" t="s">
        <v>172</v>
      </c>
      <c r="I252" s="122"/>
      <c r="J252" s="122">
        <v>185</v>
      </c>
      <c r="K252" s="121">
        <v>660436</v>
      </c>
      <c r="L252" s="192">
        <v>115724.9</v>
      </c>
      <c r="M252" s="123">
        <v>185</v>
      </c>
      <c r="N252" s="123">
        <v>231449.8</v>
      </c>
    </row>
    <row r="253" spans="1:17" x14ac:dyDescent="0.3">
      <c r="A253" s="137">
        <v>74058</v>
      </c>
      <c r="B253" s="133">
        <v>42982.440972222219</v>
      </c>
      <c r="C253" s="121">
        <v>30975278</v>
      </c>
      <c r="D253" s="121" t="s">
        <v>169</v>
      </c>
      <c r="E253" s="121" t="s">
        <v>170</v>
      </c>
      <c r="F253" s="121" t="s">
        <v>175</v>
      </c>
      <c r="G253" s="121" t="s">
        <v>415</v>
      </c>
      <c r="H253" s="121" t="s">
        <v>172</v>
      </c>
      <c r="I253" s="122"/>
      <c r="J253" s="122">
        <v>361</v>
      </c>
      <c r="K253" s="121">
        <v>7422</v>
      </c>
      <c r="L253" s="192">
        <v>225819.93999999997</v>
      </c>
      <c r="M253" s="123">
        <v>361</v>
      </c>
      <c r="N253" s="123">
        <v>579250.03999999992</v>
      </c>
      <c r="Q253" s="60" t="s">
        <v>248</v>
      </c>
    </row>
    <row r="254" spans="1:17" x14ac:dyDescent="0.3">
      <c r="A254" s="137">
        <v>23892</v>
      </c>
      <c r="B254" s="133">
        <v>42982.468055555553</v>
      </c>
      <c r="C254" s="121">
        <v>30905830</v>
      </c>
      <c r="D254" s="121" t="s">
        <v>169</v>
      </c>
      <c r="E254" s="121" t="s">
        <v>173</v>
      </c>
      <c r="F254" s="121" t="s">
        <v>174</v>
      </c>
      <c r="G254" s="121" t="s">
        <v>426</v>
      </c>
      <c r="H254" s="121" t="s">
        <v>173</v>
      </c>
      <c r="I254" s="122">
        <v>6000</v>
      </c>
      <c r="J254" s="122"/>
      <c r="K254" s="121">
        <v>363788</v>
      </c>
      <c r="L254" s="192">
        <v>6000</v>
      </c>
      <c r="M254" s="123">
        <v>9.5917127601752092</v>
      </c>
      <c r="N254" s="123">
        <v>0</v>
      </c>
    </row>
    <row r="255" spans="1:17" x14ac:dyDescent="0.3">
      <c r="A255" s="137">
        <v>63461</v>
      </c>
      <c r="B255" s="133">
        <v>42982.604861111111</v>
      </c>
      <c r="C255" s="121">
        <v>30905830</v>
      </c>
      <c r="D255" s="121" t="s">
        <v>169</v>
      </c>
      <c r="E255" s="121" t="s">
        <v>173</v>
      </c>
      <c r="F255" s="121" t="s">
        <v>174</v>
      </c>
      <c r="G255" s="121" t="s">
        <v>460</v>
      </c>
      <c r="H255" s="121" t="s">
        <v>173</v>
      </c>
      <c r="I255" s="122">
        <v>144799</v>
      </c>
      <c r="J255" s="122"/>
      <c r="K255" s="121">
        <v>553619</v>
      </c>
      <c r="L255" s="192">
        <v>144799</v>
      </c>
      <c r="M255" s="123">
        <v>231.47840266010169</v>
      </c>
      <c r="N255" s="123">
        <v>436254</v>
      </c>
    </row>
    <row r="256" spans="1:17" x14ac:dyDescent="0.3">
      <c r="A256" s="137">
        <v>7224</v>
      </c>
      <c r="B256" s="133">
        <v>42982.95208333333</v>
      </c>
      <c r="C256" s="121">
        <v>30975278</v>
      </c>
      <c r="D256" s="121" t="s">
        <v>169</v>
      </c>
      <c r="E256" s="121" t="s">
        <v>170</v>
      </c>
      <c r="F256" s="121" t="s">
        <v>175</v>
      </c>
      <c r="G256" s="121" t="s">
        <v>416</v>
      </c>
      <c r="H256" s="121" t="s">
        <v>172</v>
      </c>
      <c r="I256" s="122"/>
      <c r="J256" s="122">
        <v>975</v>
      </c>
      <c r="K256" s="121">
        <v>4594</v>
      </c>
      <c r="L256" s="192">
        <v>609901.5</v>
      </c>
      <c r="M256" s="123">
        <v>975</v>
      </c>
      <c r="N256" s="123">
        <v>731881.79999999993</v>
      </c>
    </row>
    <row r="257" spans="1:14" x14ac:dyDescent="0.3">
      <c r="A257" s="137">
        <v>85310</v>
      </c>
      <c r="B257" s="133">
        <v>42983.541666666664</v>
      </c>
      <c r="C257" s="121">
        <v>30975278</v>
      </c>
      <c r="D257" s="121" t="s">
        <v>169</v>
      </c>
      <c r="E257" s="121" t="s">
        <v>170</v>
      </c>
      <c r="F257" s="121" t="s">
        <v>174</v>
      </c>
      <c r="G257" s="121" t="s">
        <v>412</v>
      </c>
      <c r="H257" s="121" t="s">
        <v>172</v>
      </c>
      <c r="I257" s="122"/>
      <c r="J257" s="122">
        <v>21</v>
      </c>
      <c r="K257" s="121">
        <v>98703</v>
      </c>
      <c r="L257" s="192">
        <v>13136.34</v>
      </c>
      <c r="M257" s="123">
        <v>21</v>
      </c>
      <c r="N257" s="123">
        <v>0</v>
      </c>
    </row>
    <row r="258" spans="1:14" x14ac:dyDescent="0.3">
      <c r="A258" s="137">
        <v>93251</v>
      </c>
      <c r="B258" s="133">
        <v>42983.544444444444</v>
      </c>
      <c r="C258" s="121">
        <v>30975278</v>
      </c>
      <c r="D258" s="121" t="s">
        <v>169</v>
      </c>
      <c r="E258" s="121" t="s">
        <v>170</v>
      </c>
      <c r="F258" s="121" t="s">
        <v>174</v>
      </c>
      <c r="G258" s="121" t="s">
        <v>413</v>
      </c>
      <c r="H258" s="121" t="s">
        <v>172</v>
      </c>
      <c r="I258" s="122"/>
      <c r="J258" s="122">
        <v>15</v>
      </c>
      <c r="K258" s="121">
        <v>11524</v>
      </c>
      <c r="L258" s="192">
        <v>9383.0999999999985</v>
      </c>
      <c r="M258" s="123">
        <v>14.999999999999998</v>
      </c>
      <c r="N258" s="123">
        <v>0</v>
      </c>
    </row>
    <row r="259" spans="1:14" x14ac:dyDescent="0.3">
      <c r="A259" s="137">
        <v>54715</v>
      </c>
      <c r="B259" s="133">
        <v>42984.573611111111</v>
      </c>
      <c r="C259" s="121">
        <v>30905830</v>
      </c>
      <c r="D259" s="121" t="s">
        <v>169</v>
      </c>
      <c r="E259" s="121" t="s">
        <v>173</v>
      </c>
      <c r="F259" s="121" t="s">
        <v>174</v>
      </c>
      <c r="G259" s="121" t="s">
        <v>461</v>
      </c>
      <c r="H259" s="121" t="s">
        <v>173</v>
      </c>
      <c r="I259" s="122">
        <v>144567</v>
      </c>
      <c r="J259" s="122"/>
      <c r="K259" s="121">
        <v>501646</v>
      </c>
      <c r="L259" s="192">
        <v>144567</v>
      </c>
      <c r="M259" s="123">
        <v>231.10752310004159</v>
      </c>
      <c r="N259" s="123">
        <v>578965</v>
      </c>
    </row>
    <row r="260" spans="1:14" x14ac:dyDescent="0.3">
      <c r="A260" s="137">
        <v>6585</v>
      </c>
      <c r="B260" s="133">
        <v>42984.581250000003</v>
      </c>
      <c r="C260" s="121">
        <v>30975278</v>
      </c>
      <c r="D260" s="121" t="s">
        <v>169</v>
      </c>
      <c r="E260" s="121" t="s">
        <v>170</v>
      </c>
      <c r="F260" s="121" t="s">
        <v>175</v>
      </c>
      <c r="G260" s="121" t="s">
        <v>462</v>
      </c>
      <c r="H260" s="121" t="s">
        <v>172</v>
      </c>
      <c r="I260" s="122"/>
      <c r="J260" s="122">
        <v>195</v>
      </c>
      <c r="K260" s="121">
        <v>80271</v>
      </c>
      <c r="L260" s="192">
        <v>121980.29999999999</v>
      </c>
      <c r="M260" s="123">
        <v>195</v>
      </c>
      <c r="N260" s="123">
        <v>609901.5</v>
      </c>
    </row>
    <row r="261" spans="1:14" x14ac:dyDescent="0.3">
      <c r="A261" s="137">
        <v>80373</v>
      </c>
      <c r="B261" s="133">
        <v>42984.581944444442</v>
      </c>
      <c r="C261" s="121">
        <v>30975278</v>
      </c>
      <c r="D261" s="121" t="s">
        <v>169</v>
      </c>
      <c r="E261" s="121" t="s">
        <v>170</v>
      </c>
      <c r="F261" s="121" t="s">
        <v>174</v>
      </c>
      <c r="G261" s="121" t="s">
        <v>463</v>
      </c>
      <c r="H261" s="121" t="s">
        <v>172</v>
      </c>
      <c r="I261" s="122"/>
      <c r="J261" s="122">
        <v>195</v>
      </c>
      <c r="K261" s="121">
        <v>84975</v>
      </c>
      <c r="L261" s="192">
        <v>121980.29999999999</v>
      </c>
      <c r="M261" s="123">
        <v>195</v>
      </c>
      <c r="N261" s="123">
        <v>0</v>
      </c>
    </row>
    <row r="262" spans="1:14" x14ac:dyDescent="0.3">
      <c r="A262" s="137">
        <v>40421</v>
      </c>
      <c r="B262" s="133">
        <v>42984.583333333336</v>
      </c>
      <c r="C262" s="121">
        <v>30975278</v>
      </c>
      <c r="D262" s="121" t="s">
        <v>169</v>
      </c>
      <c r="E262" s="121" t="s">
        <v>170</v>
      </c>
      <c r="F262" s="121" t="s">
        <v>175</v>
      </c>
      <c r="G262" s="121" t="s">
        <v>464</v>
      </c>
      <c r="H262" s="121" t="s">
        <v>172</v>
      </c>
      <c r="I262" s="122"/>
      <c r="J262" s="122">
        <v>176</v>
      </c>
      <c r="K262" s="121">
        <v>15644</v>
      </c>
      <c r="L262" s="192">
        <v>110095.03999999999</v>
      </c>
      <c r="M262" s="123">
        <v>176</v>
      </c>
      <c r="N262" s="123">
        <v>0</v>
      </c>
    </row>
    <row r="263" spans="1:14" x14ac:dyDescent="0.3">
      <c r="A263" s="137">
        <v>8520</v>
      </c>
      <c r="B263" s="133">
        <v>42984.583333333336</v>
      </c>
      <c r="C263" s="121">
        <v>30975278</v>
      </c>
      <c r="D263" s="121" t="s">
        <v>169</v>
      </c>
      <c r="E263" s="121" t="s">
        <v>170</v>
      </c>
      <c r="F263" s="121" t="s">
        <v>175</v>
      </c>
      <c r="G263" s="121" t="s">
        <v>465</v>
      </c>
      <c r="H263" s="121" t="s">
        <v>172</v>
      </c>
      <c r="I263" s="122"/>
      <c r="J263" s="122">
        <v>185</v>
      </c>
      <c r="K263" s="121">
        <v>965834</v>
      </c>
      <c r="L263" s="192">
        <v>115724.9</v>
      </c>
      <c r="M263" s="123">
        <v>185</v>
      </c>
      <c r="N263" s="123">
        <v>115724.9</v>
      </c>
    </row>
    <row r="264" spans="1:14" x14ac:dyDescent="0.3">
      <c r="A264" s="137">
        <v>90202</v>
      </c>
      <c r="B264" s="133">
        <v>42984.584722222222</v>
      </c>
      <c r="C264" s="121">
        <v>30975278</v>
      </c>
      <c r="D264" s="121" t="s">
        <v>169</v>
      </c>
      <c r="E264" s="121" t="s">
        <v>170</v>
      </c>
      <c r="F264" s="121" t="s">
        <v>175</v>
      </c>
      <c r="G264" s="121" t="s">
        <v>466</v>
      </c>
      <c r="H264" s="121" t="s">
        <v>172</v>
      </c>
      <c r="I264" s="122"/>
      <c r="J264" s="122">
        <v>195</v>
      </c>
      <c r="K264" s="121" t="s">
        <v>467</v>
      </c>
      <c r="L264" s="192">
        <v>121980.29999999999</v>
      </c>
      <c r="M264" s="123">
        <v>195</v>
      </c>
      <c r="N264" s="123">
        <v>0</v>
      </c>
    </row>
    <row r="265" spans="1:14" x14ac:dyDescent="0.3">
      <c r="A265" s="137">
        <v>94716</v>
      </c>
      <c r="B265" s="133">
        <v>42984.585416666669</v>
      </c>
      <c r="C265" s="121">
        <v>30975278</v>
      </c>
      <c r="D265" s="121" t="s">
        <v>169</v>
      </c>
      <c r="E265" s="121" t="s">
        <v>170</v>
      </c>
      <c r="F265" s="121" t="s">
        <v>175</v>
      </c>
      <c r="G265" s="121" t="s">
        <v>468</v>
      </c>
      <c r="H265" s="121" t="s">
        <v>172</v>
      </c>
      <c r="I265" s="122"/>
      <c r="J265" s="122">
        <v>185</v>
      </c>
      <c r="K265" s="121">
        <v>169162</v>
      </c>
      <c r="L265" s="192">
        <v>115724.9</v>
      </c>
      <c r="M265" s="123">
        <v>185</v>
      </c>
      <c r="N265" s="123">
        <v>0</v>
      </c>
    </row>
    <row r="266" spans="1:14" x14ac:dyDescent="0.3">
      <c r="A266" s="137">
        <v>7932</v>
      </c>
      <c r="B266" s="133">
        <v>42984.586111111108</v>
      </c>
      <c r="C266" s="121">
        <v>30975278</v>
      </c>
      <c r="D266" s="121" t="s">
        <v>169</v>
      </c>
      <c r="E266" s="121" t="s">
        <v>170</v>
      </c>
      <c r="F266" s="121" t="s">
        <v>174</v>
      </c>
      <c r="G266" s="121" t="s">
        <v>469</v>
      </c>
      <c r="H266" s="121" t="s">
        <v>172</v>
      </c>
      <c r="I266" s="122"/>
      <c r="J266" s="122">
        <v>195</v>
      </c>
      <c r="K266" s="121">
        <v>52367</v>
      </c>
      <c r="L266" s="192">
        <v>121980.29999999999</v>
      </c>
      <c r="M266" s="123">
        <v>195</v>
      </c>
      <c r="N266" s="123">
        <v>0</v>
      </c>
    </row>
    <row r="267" spans="1:14" x14ac:dyDescent="0.3">
      <c r="A267" s="137">
        <v>91641</v>
      </c>
      <c r="B267" s="133">
        <v>42984.586805555555</v>
      </c>
      <c r="C267" s="121">
        <v>30975278</v>
      </c>
      <c r="D267" s="121" t="s">
        <v>169</v>
      </c>
      <c r="E267" s="121" t="s">
        <v>170</v>
      </c>
      <c r="F267" s="121" t="s">
        <v>175</v>
      </c>
      <c r="G267" s="121" t="s">
        <v>470</v>
      </c>
      <c r="H267" s="121" t="s">
        <v>172</v>
      </c>
      <c r="I267" s="122"/>
      <c r="J267" s="122">
        <v>195</v>
      </c>
      <c r="K267" s="121">
        <v>62059</v>
      </c>
      <c r="L267" s="192">
        <v>121980.29999999999</v>
      </c>
      <c r="M267" s="123">
        <v>195</v>
      </c>
      <c r="N267" s="123">
        <v>0</v>
      </c>
    </row>
    <row r="268" spans="1:14" x14ac:dyDescent="0.3">
      <c r="A268" s="137">
        <v>55473</v>
      </c>
      <c r="B268" s="133">
        <v>42984.592361111114</v>
      </c>
      <c r="C268" s="121">
        <v>30975278</v>
      </c>
      <c r="D268" s="121" t="s">
        <v>169</v>
      </c>
      <c r="E268" s="121" t="s">
        <v>170</v>
      </c>
      <c r="F268" s="121" t="s">
        <v>175</v>
      </c>
      <c r="G268" s="121" t="s">
        <v>471</v>
      </c>
      <c r="H268" s="121" t="s">
        <v>172</v>
      </c>
      <c r="I268" s="122"/>
      <c r="J268" s="122">
        <v>220</v>
      </c>
      <c r="K268" s="121">
        <v>481306</v>
      </c>
      <c r="L268" s="192">
        <v>137618.79999999999</v>
      </c>
      <c r="M268" s="123">
        <v>220</v>
      </c>
      <c r="N268" s="123">
        <v>625540</v>
      </c>
    </row>
    <row r="269" spans="1:14" x14ac:dyDescent="0.3">
      <c r="A269" s="137">
        <v>93537</v>
      </c>
      <c r="B269" s="133">
        <v>42984.724305555559</v>
      </c>
      <c r="C269" s="121">
        <v>30975278</v>
      </c>
      <c r="D269" s="121" t="s">
        <v>169</v>
      </c>
      <c r="E269" s="121" t="s">
        <v>170</v>
      </c>
      <c r="F269" s="121" t="s">
        <v>174</v>
      </c>
      <c r="G269" s="121" t="s">
        <v>472</v>
      </c>
      <c r="H269" s="121" t="s">
        <v>172</v>
      </c>
      <c r="I269" s="122"/>
      <c r="J269" s="122">
        <v>195</v>
      </c>
      <c r="K269" s="121">
        <v>245953</v>
      </c>
      <c r="L269" s="192">
        <v>121980.29999999999</v>
      </c>
      <c r="M269" s="123">
        <v>195</v>
      </c>
      <c r="N269" s="123">
        <v>487921.19999999995</v>
      </c>
    </row>
    <row r="270" spans="1:14" x14ac:dyDescent="0.3">
      <c r="A270" s="137">
        <v>46123</v>
      </c>
      <c r="B270" s="133">
        <v>42984.729861111111</v>
      </c>
      <c r="C270" s="121">
        <v>30975278</v>
      </c>
      <c r="D270" s="121" t="s">
        <v>169</v>
      </c>
      <c r="E270" s="121" t="s">
        <v>170</v>
      </c>
      <c r="F270" s="121" t="s">
        <v>174</v>
      </c>
      <c r="G270" s="121" t="s">
        <v>473</v>
      </c>
      <c r="H270" s="121" t="s">
        <v>172</v>
      </c>
      <c r="I270" s="122"/>
      <c r="J270" s="122">
        <v>585</v>
      </c>
      <c r="K270" s="121" t="s">
        <v>474</v>
      </c>
      <c r="L270" s="192">
        <v>365940.89999999997</v>
      </c>
      <c r="M270" s="123">
        <v>585</v>
      </c>
      <c r="N270" s="123">
        <v>2122457.2199999997</v>
      </c>
    </row>
    <row r="271" spans="1:14" x14ac:dyDescent="0.3">
      <c r="A271" s="137">
        <v>46123</v>
      </c>
      <c r="B271" s="133">
        <v>42984.762499999997</v>
      </c>
      <c r="C271" s="121">
        <v>30975278</v>
      </c>
      <c r="D271" s="121" t="s">
        <v>169</v>
      </c>
      <c r="E271" s="121" t="s">
        <v>170</v>
      </c>
      <c r="F271" s="121" t="s">
        <v>175</v>
      </c>
      <c r="G271" s="121" t="s">
        <v>475</v>
      </c>
      <c r="H271" s="121" t="s">
        <v>172</v>
      </c>
      <c r="I271" s="122"/>
      <c r="J271" s="122">
        <v>1170</v>
      </c>
      <c r="K271" s="121">
        <v>683985</v>
      </c>
      <c r="L271" s="192">
        <v>731881.79999999993</v>
      </c>
      <c r="M271" s="123">
        <v>1170</v>
      </c>
      <c r="N271" s="123">
        <v>2122457.2199999997</v>
      </c>
    </row>
    <row r="272" spans="1:14" x14ac:dyDescent="0.3">
      <c r="A272" s="137">
        <v>46123</v>
      </c>
      <c r="B272" s="133">
        <v>42984.77847222222</v>
      </c>
      <c r="C272" s="121">
        <v>30975278</v>
      </c>
      <c r="D272" s="121" t="s">
        <v>169</v>
      </c>
      <c r="E272" s="121" t="s">
        <v>170</v>
      </c>
      <c r="F272" s="121" t="s">
        <v>171</v>
      </c>
      <c r="G272" s="121" t="s">
        <v>476</v>
      </c>
      <c r="H272" s="121" t="s">
        <v>172</v>
      </c>
      <c r="I272" s="122"/>
      <c r="J272" s="122">
        <v>1053</v>
      </c>
      <c r="K272" s="121">
        <v>28</v>
      </c>
      <c r="L272" s="192">
        <v>658693.62</v>
      </c>
      <c r="M272" s="123">
        <v>1053</v>
      </c>
      <c r="N272" s="123">
        <v>2122457.2199999997</v>
      </c>
    </row>
    <row r="273" spans="1:17" x14ac:dyDescent="0.3">
      <c r="A273" s="137">
        <v>94178</v>
      </c>
      <c r="B273" s="133">
        <v>42985.826388888891</v>
      </c>
      <c r="C273" s="121">
        <v>30905830</v>
      </c>
      <c r="D273" s="121" t="s">
        <v>169</v>
      </c>
      <c r="E273" s="121" t="s">
        <v>173</v>
      </c>
      <c r="F273" s="121" t="s">
        <v>174</v>
      </c>
      <c r="G273" s="121" t="s">
        <v>477</v>
      </c>
      <c r="H273" s="121" t="s">
        <v>173</v>
      </c>
      <c r="I273" s="122">
        <v>144103</v>
      </c>
      <c r="J273" s="122"/>
      <c r="K273" s="121">
        <v>782327</v>
      </c>
      <c r="L273" s="192">
        <v>144103</v>
      </c>
      <c r="M273" s="123">
        <v>230.36576397992135</v>
      </c>
      <c r="N273" s="123">
        <v>144103</v>
      </c>
    </row>
    <row r="274" spans="1:17" x14ac:dyDescent="0.3">
      <c r="A274" s="137">
        <v>94178</v>
      </c>
      <c r="B274" s="133">
        <v>42986.43472222222</v>
      </c>
      <c r="C274" s="121">
        <v>30905830</v>
      </c>
      <c r="D274" s="121" t="s">
        <v>169</v>
      </c>
      <c r="E274" s="121" t="s">
        <v>173</v>
      </c>
      <c r="F274" s="121" t="s">
        <v>174</v>
      </c>
      <c r="G274" s="121" t="s">
        <v>477</v>
      </c>
      <c r="H274" s="121" t="s">
        <v>173</v>
      </c>
      <c r="I274" s="122">
        <v>2000</v>
      </c>
      <c r="J274" s="122"/>
      <c r="K274" s="121">
        <v>967143</v>
      </c>
      <c r="L274" s="192">
        <v>2000</v>
      </c>
      <c r="M274" s="123">
        <v>3.1972375867250697</v>
      </c>
      <c r="N274" s="123">
        <v>144103</v>
      </c>
    </row>
    <row r="275" spans="1:17" x14ac:dyDescent="0.3">
      <c r="A275" s="137">
        <v>18243</v>
      </c>
      <c r="B275" s="133">
        <v>42986.458333333336</v>
      </c>
      <c r="C275" s="121">
        <v>30905830</v>
      </c>
      <c r="D275" s="121" t="s">
        <v>169</v>
      </c>
      <c r="E275" s="121" t="s">
        <v>173</v>
      </c>
      <c r="F275" s="121" t="s">
        <v>174</v>
      </c>
      <c r="G275" s="121" t="s">
        <v>478</v>
      </c>
      <c r="H275" s="121" t="s">
        <v>173</v>
      </c>
      <c r="I275" s="122">
        <v>154449</v>
      </c>
      <c r="J275" s="122"/>
      <c r="K275" s="121">
        <v>643090</v>
      </c>
      <c r="L275" s="192">
        <v>154449</v>
      </c>
      <c r="M275" s="123">
        <v>246.90507401605015</v>
      </c>
      <c r="N275" s="123">
        <v>0</v>
      </c>
      <c r="Q275" s="255">
        <v>1</v>
      </c>
    </row>
    <row r="276" spans="1:17" x14ac:dyDescent="0.3">
      <c r="A276" s="137">
        <v>95306</v>
      </c>
      <c r="B276" s="133">
        <v>42986.463194444441</v>
      </c>
      <c r="C276" s="121">
        <v>30975278</v>
      </c>
      <c r="D276" s="121" t="s">
        <v>169</v>
      </c>
      <c r="E276" s="121" t="s">
        <v>170</v>
      </c>
      <c r="F276" s="121" t="s">
        <v>174</v>
      </c>
      <c r="G276" s="121" t="s">
        <v>479</v>
      </c>
      <c r="H276" s="121" t="s">
        <v>172</v>
      </c>
      <c r="I276" s="122"/>
      <c r="J276" s="122">
        <v>220</v>
      </c>
      <c r="K276" s="121">
        <v>85656</v>
      </c>
      <c r="L276" s="192">
        <v>137618.79999999999</v>
      </c>
      <c r="M276" s="123">
        <v>220</v>
      </c>
      <c r="N276" s="123">
        <v>0</v>
      </c>
    </row>
    <row r="277" spans="1:17" x14ac:dyDescent="0.3">
      <c r="A277" s="137">
        <v>68965</v>
      </c>
      <c r="B277" s="133">
        <v>42986.464583333334</v>
      </c>
      <c r="C277" s="121">
        <v>30905830</v>
      </c>
      <c r="D277" s="121" t="s">
        <v>169</v>
      </c>
      <c r="E277" s="121" t="s">
        <v>173</v>
      </c>
      <c r="F277" s="121" t="s">
        <v>175</v>
      </c>
      <c r="G277" s="121" t="s">
        <v>480</v>
      </c>
      <c r="H277" s="121" t="s">
        <v>173</v>
      </c>
      <c r="I277" s="122">
        <v>161269</v>
      </c>
      <c r="J277" s="122"/>
      <c r="K277" s="121">
        <v>197295</v>
      </c>
      <c r="L277" s="192">
        <v>161269</v>
      </c>
      <c r="M277" s="123">
        <v>257.80765418678266</v>
      </c>
      <c r="N277" s="123">
        <v>0</v>
      </c>
    </row>
    <row r="278" spans="1:17" x14ac:dyDescent="0.3">
      <c r="A278" s="137">
        <v>76656</v>
      </c>
      <c r="B278" s="133">
        <v>42986.466666666667</v>
      </c>
      <c r="C278" s="121">
        <v>30975278</v>
      </c>
      <c r="D278" s="121" t="s">
        <v>169</v>
      </c>
      <c r="E278" s="121" t="s">
        <v>170</v>
      </c>
      <c r="F278" s="121" t="s">
        <v>175</v>
      </c>
      <c r="G278" s="121" t="s">
        <v>481</v>
      </c>
      <c r="H278" s="121" t="s">
        <v>172</v>
      </c>
      <c r="I278" s="122"/>
      <c r="J278" s="122">
        <v>220</v>
      </c>
      <c r="K278" s="121">
        <v>135855</v>
      </c>
      <c r="L278" s="192">
        <v>137618.79999999999</v>
      </c>
      <c r="M278" s="123">
        <v>220</v>
      </c>
      <c r="N278" s="123">
        <v>0</v>
      </c>
    </row>
    <row r="279" spans="1:17" x14ac:dyDescent="0.3">
      <c r="A279" s="137">
        <v>86677</v>
      </c>
      <c r="B279" s="133">
        <v>42986.468055555553</v>
      </c>
      <c r="C279" s="121">
        <v>30975278</v>
      </c>
      <c r="D279" s="121" t="s">
        <v>169</v>
      </c>
      <c r="E279" s="121" t="s">
        <v>170</v>
      </c>
      <c r="F279" s="121" t="s">
        <v>171</v>
      </c>
      <c r="G279" s="121" t="s">
        <v>482</v>
      </c>
      <c r="H279" s="121" t="s">
        <v>172</v>
      </c>
      <c r="I279" s="122"/>
      <c r="J279" s="122">
        <v>220</v>
      </c>
      <c r="K279" s="121">
        <v>51</v>
      </c>
      <c r="L279" s="192">
        <v>137618.79999999999</v>
      </c>
      <c r="M279" s="123">
        <v>220</v>
      </c>
      <c r="N279" s="123">
        <v>0</v>
      </c>
    </row>
    <row r="280" spans="1:17" x14ac:dyDescent="0.3">
      <c r="A280" s="137">
        <v>3352</v>
      </c>
      <c r="B280" s="133">
        <v>42986.46875</v>
      </c>
      <c r="C280" s="121">
        <v>30975278</v>
      </c>
      <c r="D280" s="121" t="s">
        <v>169</v>
      </c>
      <c r="E280" s="121" t="s">
        <v>170</v>
      </c>
      <c r="F280" s="121" t="s">
        <v>174</v>
      </c>
      <c r="G280" s="121" t="s">
        <v>483</v>
      </c>
      <c r="H280" s="121" t="s">
        <v>172</v>
      </c>
      <c r="I280" s="122"/>
      <c r="J280" s="122">
        <v>220</v>
      </c>
      <c r="K280" s="121">
        <v>35369</v>
      </c>
      <c r="L280" s="192">
        <v>137618.79999999999</v>
      </c>
      <c r="M280" s="123">
        <v>220</v>
      </c>
      <c r="N280" s="123">
        <v>0</v>
      </c>
    </row>
    <row r="281" spans="1:17" x14ac:dyDescent="0.3">
      <c r="A281" s="137">
        <v>69187</v>
      </c>
      <c r="B281" s="133">
        <v>42986.472916666666</v>
      </c>
      <c r="C281" s="121">
        <v>30975278</v>
      </c>
      <c r="D281" s="121" t="s">
        <v>169</v>
      </c>
      <c r="E281" s="121" t="s">
        <v>170</v>
      </c>
      <c r="F281" s="121" t="s">
        <v>174</v>
      </c>
      <c r="G281" s="121" t="s">
        <v>484</v>
      </c>
      <c r="H281" s="121" t="s">
        <v>172</v>
      </c>
      <c r="I281" s="122"/>
      <c r="J281" s="122">
        <v>220</v>
      </c>
      <c r="K281" s="121">
        <v>1985</v>
      </c>
      <c r="L281" s="192">
        <v>137618.79999999999</v>
      </c>
      <c r="M281" s="123">
        <v>220</v>
      </c>
      <c r="N281" s="123">
        <v>0</v>
      </c>
    </row>
    <row r="282" spans="1:17" x14ac:dyDescent="0.3">
      <c r="A282" s="137">
        <v>10241</v>
      </c>
      <c r="B282" s="133">
        <v>42986.563888888886</v>
      </c>
      <c r="C282" s="121">
        <v>30905830</v>
      </c>
      <c r="D282" s="121" t="s">
        <v>169</v>
      </c>
      <c r="E282" s="121" t="s">
        <v>173</v>
      </c>
      <c r="F282" s="121" t="s">
        <v>174</v>
      </c>
      <c r="G282" s="121" t="s">
        <v>485</v>
      </c>
      <c r="H282" s="121" t="s">
        <v>173</v>
      </c>
      <c r="I282" s="122">
        <v>161269</v>
      </c>
      <c r="J282" s="122"/>
      <c r="K282" s="121">
        <v>617201</v>
      </c>
      <c r="L282" s="192">
        <v>161269</v>
      </c>
      <c r="M282" s="123">
        <v>257.80765418678266</v>
      </c>
      <c r="N282" s="123">
        <v>0</v>
      </c>
    </row>
    <row r="283" spans="1:17" x14ac:dyDescent="0.3">
      <c r="A283" s="137">
        <v>75080</v>
      </c>
      <c r="B283" s="133">
        <v>42986.566666666666</v>
      </c>
      <c r="C283" s="121">
        <v>30975278</v>
      </c>
      <c r="D283" s="121" t="s">
        <v>169</v>
      </c>
      <c r="E283" s="121" t="s">
        <v>170</v>
      </c>
      <c r="F283" s="121" t="s">
        <v>174</v>
      </c>
      <c r="G283" s="121" t="s">
        <v>486</v>
      </c>
      <c r="H283" s="121" t="s">
        <v>172</v>
      </c>
      <c r="I283" s="122"/>
      <c r="J283" s="122">
        <v>220</v>
      </c>
      <c r="K283" s="121">
        <v>48331</v>
      </c>
      <c r="L283" s="192">
        <v>137618.79999999999</v>
      </c>
      <c r="M283" s="123">
        <v>220</v>
      </c>
      <c r="N283" s="123">
        <v>0</v>
      </c>
    </row>
    <row r="284" spans="1:17" x14ac:dyDescent="0.3">
      <c r="A284" s="137">
        <v>61322</v>
      </c>
      <c r="B284" s="133">
        <v>42987.602083333331</v>
      </c>
      <c r="C284" s="121">
        <v>30975278</v>
      </c>
      <c r="D284" s="121" t="s">
        <v>169</v>
      </c>
      <c r="E284" s="121" t="s">
        <v>170</v>
      </c>
      <c r="F284" s="121" t="s">
        <v>175</v>
      </c>
      <c r="G284" s="121" t="s">
        <v>419</v>
      </c>
      <c r="H284" s="121" t="s">
        <v>172</v>
      </c>
      <c r="I284" s="122"/>
      <c r="J284" s="122">
        <v>195</v>
      </c>
      <c r="K284" s="121">
        <v>2004</v>
      </c>
      <c r="L284" s="192">
        <v>121980.29999999999</v>
      </c>
      <c r="M284" s="123">
        <v>195</v>
      </c>
      <c r="N284" s="123">
        <v>243960.59999999998</v>
      </c>
    </row>
    <row r="285" spans="1:17" x14ac:dyDescent="0.3">
      <c r="A285" s="137">
        <v>71887</v>
      </c>
      <c r="B285" s="133">
        <v>42987.790972222225</v>
      </c>
      <c r="C285" s="121">
        <v>30905830</v>
      </c>
      <c r="D285" s="121" t="s">
        <v>169</v>
      </c>
      <c r="E285" s="121" t="s">
        <v>173</v>
      </c>
      <c r="F285" s="121" t="s">
        <v>194</v>
      </c>
      <c r="G285" s="121" t="s">
        <v>487</v>
      </c>
      <c r="H285" s="121" t="s">
        <v>195</v>
      </c>
      <c r="I285" s="122">
        <v>135795</v>
      </c>
      <c r="J285" s="122"/>
      <c r="K285" s="121">
        <v>390587</v>
      </c>
      <c r="L285" s="192">
        <v>135795</v>
      </c>
      <c r="M285" s="123">
        <v>217.08443904466543</v>
      </c>
      <c r="N285" s="123">
        <v>135795</v>
      </c>
    </row>
    <row r="286" spans="1:17" x14ac:dyDescent="0.3">
      <c r="A286" s="137">
        <v>58757</v>
      </c>
      <c r="B286" s="133">
        <v>42988.493055555555</v>
      </c>
      <c r="C286" s="121">
        <v>30975278</v>
      </c>
      <c r="D286" s="121" t="s">
        <v>169</v>
      </c>
      <c r="E286" s="121" t="s">
        <v>170</v>
      </c>
      <c r="F286" s="121" t="s">
        <v>174</v>
      </c>
      <c r="G286" s="121" t="s">
        <v>488</v>
      </c>
      <c r="H286" s="121" t="s">
        <v>172</v>
      </c>
      <c r="I286" s="122"/>
      <c r="J286" s="122">
        <v>1000</v>
      </c>
      <c r="K286" s="121">
        <v>421326</v>
      </c>
      <c r="L286" s="192">
        <v>625540</v>
      </c>
      <c r="M286" s="123">
        <v>1000.0000000000001</v>
      </c>
      <c r="N286" s="123">
        <v>747520.29999999993</v>
      </c>
    </row>
    <row r="287" spans="1:17" x14ac:dyDescent="0.3">
      <c r="A287" s="137">
        <v>32395</v>
      </c>
      <c r="B287" s="133">
        <v>42989.384722222225</v>
      </c>
      <c r="C287" s="121">
        <v>30905830</v>
      </c>
      <c r="D287" s="121" t="s">
        <v>169</v>
      </c>
      <c r="E287" s="121" t="s">
        <v>173</v>
      </c>
      <c r="F287" s="121" t="s">
        <v>174</v>
      </c>
      <c r="G287" s="121" t="s">
        <v>489</v>
      </c>
      <c r="H287" s="121" t="s">
        <v>173</v>
      </c>
      <c r="I287" s="122">
        <v>142943</v>
      </c>
      <c r="J287" s="122"/>
      <c r="K287" s="121">
        <v>830431</v>
      </c>
      <c r="L287" s="192">
        <v>142943</v>
      </c>
      <c r="M287" s="123">
        <v>228.51136617962081</v>
      </c>
      <c r="N287" s="123">
        <v>290991</v>
      </c>
    </row>
    <row r="288" spans="1:17" x14ac:dyDescent="0.3">
      <c r="A288" s="137">
        <v>71265</v>
      </c>
      <c r="B288" s="133">
        <v>42989.387499999997</v>
      </c>
      <c r="C288" s="121">
        <v>30975278</v>
      </c>
      <c r="D288" s="121" t="s">
        <v>169</v>
      </c>
      <c r="E288" s="121" t="s">
        <v>170</v>
      </c>
      <c r="F288" s="121" t="s">
        <v>175</v>
      </c>
      <c r="G288" s="121" t="s">
        <v>490</v>
      </c>
      <c r="H288" s="121" t="s">
        <v>172</v>
      </c>
      <c r="I288" s="122"/>
      <c r="J288" s="122">
        <v>195</v>
      </c>
      <c r="K288" s="121">
        <v>32342</v>
      </c>
      <c r="L288" s="192">
        <v>121980.29999999999</v>
      </c>
      <c r="M288" s="123">
        <v>195</v>
      </c>
      <c r="N288" s="123">
        <v>0</v>
      </c>
    </row>
    <row r="289" spans="1:14" x14ac:dyDescent="0.3">
      <c r="A289" s="137">
        <v>46700</v>
      </c>
      <c r="B289" s="133">
        <v>42989.788194444445</v>
      </c>
      <c r="C289" s="121">
        <v>30975278</v>
      </c>
      <c r="D289" s="121" t="s">
        <v>169</v>
      </c>
      <c r="E289" s="121" t="s">
        <v>170</v>
      </c>
      <c r="F289" s="121" t="s">
        <v>171</v>
      </c>
      <c r="G289" s="121" t="s">
        <v>491</v>
      </c>
      <c r="H289" s="121" t="s">
        <v>172</v>
      </c>
      <c r="I289" s="122"/>
      <c r="J289" s="122">
        <v>1170</v>
      </c>
      <c r="K289" s="121">
        <v>12</v>
      </c>
      <c r="L289" s="192">
        <v>731881.79999999993</v>
      </c>
      <c r="M289" s="123">
        <v>1170</v>
      </c>
      <c r="N289" s="123">
        <v>975842.39999999991</v>
      </c>
    </row>
    <row r="290" spans="1:14" x14ac:dyDescent="0.3">
      <c r="A290" s="137">
        <v>13475</v>
      </c>
      <c r="B290" s="133">
        <v>42990.582638888889</v>
      </c>
      <c r="C290" s="121">
        <v>30975278</v>
      </c>
      <c r="D290" s="121" t="s">
        <v>169</v>
      </c>
      <c r="E290" s="121" t="s">
        <v>170</v>
      </c>
      <c r="F290" s="121" t="s">
        <v>175</v>
      </c>
      <c r="G290" s="121" t="s">
        <v>420</v>
      </c>
      <c r="H290" s="121" t="s">
        <v>172</v>
      </c>
      <c r="I290" s="122"/>
      <c r="J290" s="122">
        <v>830</v>
      </c>
      <c r="K290" s="121">
        <v>603674</v>
      </c>
      <c r="L290" s="192">
        <v>519198.19999999995</v>
      </c>
      <c r="M290" s="123">
        <v>830</v>
      </c>
      <c r="N290" s="123">
        <v>641178.5</v>
      </c>
    </row>
    <row r="291" spans="1:14" x14ac:dyDescent="0.3">
      <c r="A291" s="137">
        <v>98661</v>
      </c>
      <c r="B291" s="133">
        <v>42990.709722222222</v>
      </c>
      <c r="C291" s="121">
        <v>30975278</v>
      </c>
      <c r="D291" s="121" t="s">
        <v>169</v>
      </c>
      <c r="E291" s="121" t="s">
        <v>170</v>
      </c>
      <c r="F291" s="121" t="s">
        <v>174</v>
      </c>
      <c r="G291" s="121" t="s">
        <v>492</v>
      </c>
      <c r="H291" s="121" t="s">
        <v>172</v>
      </c>
      <c r="I291" s="122"/>
      <c r="J291" s="122">
        <v>351</v>
      </c>
      <c r="K291" s="121">
        <v>17146</v>
      </c>
      <c r="L291" s="192">
        <v>219564.53999999998</v>
      </c>
      <c r="M291" s="123">
        <v>351</v>
      </c>
      <c r="N291" s="123">
        <v>219564.53999999998</v>
      </c>
    </row>
    <row r="292" spans="1:14" x14ac:dyDescent="0.3">
      <c r="A292" s="137">
        <v>50453</v>
      </c>
      <c r="B292" s="133">
        <v>42992.336111111108</v>
      </c>
      <c r="C292" s="121">
        <v>30975278</v>
      </c>
      <c r="D292" s="121" t="s">
        <v>169</v>
      </c>
      <c r="E292" s="121" t="s">
        <v>170</v>
      </c>
      <c r="F292" s="121" t="s">
        <v>175</v>
      </c>
      <c r="G292" s="121" t="s">
        <v>418</v>
      </c>
      <c r="H292" s="121" t="s">
        <v>172</v>
      </c>
      <c r="I292" s="122"/>
      <c r="J292" s="122">
        <v>702</v>
      </c>
      <c r="K292" s="121">
        <v>56810</v>
      </c>
      <c r="L292" s="192">
        <v>439129.07999999996</v>
      </c>
      <c r="M292" s="123">
        <v>702</v>
      </c>
      <c r="N292" s="123">
        <v>549224.12</v>
      </c>
    </row>
    <row r="293" spans="1:14" x14ac:dyDescent="0.3">
      <c r="A293" s="137">
        <v>31622</v>
      </c>
      <c r="B293" s="133">
        <v>42992.881249999999</v>
      </c>
      <c r="C293" s="121">
        <v>30975278</v>
      </c>
      <c r="D293" s="121" t="s">
        <v>169</v>
      </c>
      <c r="E293" s="121" t="s">
        <v>170</v>
      </c>
      <c r="F293" s="121" t="s">
        <v>174</v>
      </c>
      <c r="G293" s="121" t="s">
        <v>493</v>
      </c>
      <c r="H293" s="121" t="s">
        <v>172</v>
      </c>
      <c r="I293" s="122"/>
      <c r="J293" s="122">
        <v>660</v>
      </c>
      <c r="K293" s="121">
        <v>89462</v>
      </c>
      <c r="L293" s="192">
        <v>412856.39999999997</v>
      </c>
      <c r="M293" s="123">
        <v>660</v>
      </c>
      <c r="N293" s="123">
        <v>534836.69999999995</v>
      </c>
    </row>
    <row r="294" spans="1:14" x14ac:dyDescent="0.3">
      <c r="A294" s="137">
        <v>67560</v>
      </c>
      <c r="B294" s="133">
        <v>42993.456944444442</v>
      </c>
      <c r="C294" s="121">
        <v>30905830</v>
      </c>
      <c r="D294" s="121" t="s">
        <v>169</v>
      </c>
      <c r="E294" s="121" t="s">
        <v>173</v>
      </c>
      <c r="F294" s="121" t="s">
        <v>175</v>
      </c>
      <c r="G294" s="121" t="s">
        <v>494</v>
      </c>
      <c r="H294" s="121" t="s">
        <v>173</v>
      </c>
      <c r="I294" s="122">
        <v>145495</v>
      </c>
      <c r="J294" s="122"/>
      <c r="K294" s="121">
        <v>514715</v>
      </c>
      <c r="L294" s="192">
        <v>145495</v>
      </c>
      <c r="M294" s="123">
        <v>232.591041340282</v>
      </c>
      <c r="N294" s="123">
        <v>290990</v>
      </c>
    </row>
    <row r="295" spans="1:14" x14ac:dyDescent="0.3">
      <c r="A295" s="137">
        <v>5189</v>
      </c>
      <c r="B295" s="133">
        <v>42993.459027777775</v>
      </c>
      <c r="C295" s="121">
        <v>30975278</v>
      </c>
      <c r="D295" s="121" t="s">
        <v>169</v>
      </c>
      <c r="E295" s="121" t="s">
        <v>170</v>
      </c>
      <c r="F295" s="121" t="s">
        <v>171</v>
      </c>
      <c r="G295" s="121" t="s">
        <v>482</v>
      </c>
      <c r="H295" s="121" t="s">
        <v>172</v>
      </c>
      <c r="I295" s="122"/>
      <c r="J295" s="122">
        <v>195</v>
      </c>
      <c r="K295" s="121">
        <v>56</v>
      </c>
      <c r="L295" s="192">
        <v>121980.29999999999</v>
      </c>
      <c r="M295" s="123">
        <v>195</v>
      </c>
      <c r="N295" s="123">
        <v>0</v>
      </c>
    </row>
    <row r="296" spans="1:14" x14ac:dyDescent="0.3">
      <c r="A296" s="137">
        <v>53723</v>
      </c>
      <c r="B296" s="133">
        <v>42993.461111111108</v>
      </c>
      <c r="C296" s="121">
        <v>30975278</v>
      </c>
      <c r="D296" s="121" t="s">
        <v>169</v>
      </c>
      <c r="E296" s="121" t="s">
        <v>170</v>
      </c>
      <c r="F296" s="121" t="s">
        <v>175</v>
      </c>
      <c r="G296" s="121" t="s">
        <v>495</v>
      </c>
      <c r="H296" s="121" t="s">
        <v>172</v>
      </c>
      <c r="I296" s="122"/>
      <c r="J296" s="122">
        <v>220</v>
      </c>
      <c r="K296" s="121">
        <v>3177</v>
      </c>
      <c r="L296" s="192">
        <v>137618.79999999999</v>
      </c>
      <c r="M296" s="123">
        <v>220</v>
      </c>
      <c r="N296" s="123">
        <v>0</v>
      </c>
    </row>
    <row r="297" spans="1:14" x14ac:dyDescent="0.3">
      <c r="A297" s="286">
        <v>84347</v>
      </c>
      <c r="B297" s="287">
        <v>42993.462500000001</v>
      </c>
      <c r="C297" s="288">
        <v>30975278</v>
      </c>
      <c r="D297" s="288" t="s">
        <v>169</v>
      </c>
      <c r="E297" s="288" t="s">
        <v>170</v>
      </c>
      <c r="F297" s="288" t="s">
        <v>174</v>
      </c>
      <c r="G297" s="288" t="s">
        <v>496</v>
      </c>
      <c r="H297" s="288" t="s">
        <v>172</v>
      </c>
      <c r="I297" s="289"/>
      <c r="J297" s="289">
        <v>556</v>
      </c>
      <c r="K297" s="288">
        <v>507355</v>
      </c>
      <c r="L297" s="192">
        <v>347800.24</v>
      </c>
      <c r="M297" s="123">
        <v>556</v>
      </c>
      <c r="N297" s="123">
        <v>0</v>
      </c>
    </row>
    <row r="298" spans="1:14" x14ac:dyDescent="0.3">
      <c r="A298" s="286">
        <v>59360</v>
      </c>
      <c r="B298" s="287">
        <v>42993.464583333334</v>
      </c>
      <c r="C298" s="288">
        <v>30905830</v>
      </c>
      <c r="D298" s="288" t="s">
        <v>169</v>
      </c>
      <c r="E298" s="288" t="s">
        <v>173</v>
      </c>
      <c r="F298" s="288" t="s">
        <v>175</v>
      </c>
      <c r="G298" s="288" t="s">
        <v>497</v>
      </c>
      <c r="H298" s="288" t="s">
        <v>173</v>
      </c>
      <c r="I298" s="289">
        <v>145495</v>
      </c>
      <c r="J298" s="289"/>
      <c r="K298" s="288">
        <v>575794</v>
      </c>
      <c r="L298" s="192">
        <v>145495</v>
      </c>
      <c r="M298" s="123">
        <v>232.591041340282</v>
      </c>
      <c r="N298" s="123">
        <v>0</v>
      </c>
    </row>
    <row r="299" spans="1:14" x14ac:dyDescent="0.3">
      <c r="A299" s="137">
        <v>98885</v>
      </c>
      <c r="B299" s="133">
        <v>42993.466666666667</v>
      </c>
      <c r="C299" s="121">
        <v>30905830</v>
      </c>
      <c r="D299" s="121" t="s">
        <v>169</v>
      </c>
      <c r="E299" s="121" t="s">
        <v>173</v>
      </c>
      <c r="F299" s="121" t="s">
        <v>174</v>
      </c>
      <c r="G299" s="121" t="s">
        <v>498</v>
      </c>
      <c r="H299" s="121" t="s">
        <v>173</v>
      </c>
      <c r="I299" s="122">
        <v>130945</v>
      </c>
      <c r="J299" s="122"/>
      <c r="K299" s="121">
        <v>501614</v>
      </c>
      <c r="L299" s="192">
        <v>130945</v>
      </c>
      <c r="M299" s="123">
        <v>209.33113789685711</v>
      </c>
      <c r="N299" s="123">
        <v>0</v>
      </c>
    </row>
    <row r="300" spans="1:14" x14ac:dyDescent="0.3">
      <c r="A300" s="137">
        <v>52958</v>
      </c>
      <c r="B300" s="133">
        <v>42993.47152777778</v>
      </c>
      <c r="C300" s="121">
        <v>30975278</v>
      </c>
      <c r="D300" s="121" t="s">
        <v>169</v>
      </c>
      <c r="E300" s="121" t="s">
        <v>170</v>
      </c>
      <c r="F300" s="121" t="s">
        <v>174</v>
      </c>
      <c r="G300" s="121" t="s">
        <v>499</v>
      </c>
      <c r="H300" s="121" t="s">
        <v>172</v>
      </c>
      <c r="I300" s="122"/>
      <c r="J300" s="122">
        <v>195</v>
      </c>
      <c r="K300" s="121" t="s">
        <v>500</v>
      </c>
      <c r="L300" s="192">
        <v>121980.29999999999</v>
      </c>
      <c r="M300" s="123">
        <v>195</v>
      </c>
      <c r="N300" s="123">
        <v>0</v>
      </c>
    </row>
    <row r="301" spans="1:14" x14ac:dyDescent="0.3">
      <c r="A301" s="137">
        <v>99208</v>
      </c>
      <c r="B301" s="133">
        <v>42993.479166666664</v>
      </c>
      <c r="C301" s="121">
        <v>30975278</v>
      </c>
      <c r="D301" s="121" t="s">
        <v>169</v>
      </c>
      <c r="E301" s="121" t="s">
        <v>170</v>
      </c>
      <c r="F301" s="121" t="s">
        <v>174</v>
      </c>
      <c r="G301" s="121" t="s">
        <v>425</v>
      </c>
      <c r="H301" s="121" t="s">
        <v>172</v>
      </c>
      <c r="I301" s="122"/>
      <c r="J301" s="122">
        <v>926</v>
      </c>
      <c r="K301" s="121">
        <v>614564</v>
      </c>
      <c r="L301" s="192">
        <v>579250.03999999992</v>
      </c>
      <c r="M301" s="123">
        <v>925.99999999999989</v>
      </c>
      <c r="N301" s="123">
        <v>709987.89999999991</v>
      </c>
    </row>
    <row r="302" spans="1:14" x14ac:dyDescent="0.3">
      <c r="A302" s="137">
        <v>76220</v>
      </c>
      <c r="B302" s="133">
        <v>42993.736111111109</v>
      </c>
      <c r="C302" s="121">
        <v>30975278</v>
      </c>
      <c r="D302" s="121" t="s">
        <v>169</v>
      </c>
      <c r="E302" s="121" t="s">
        <v>170</v>
      </c>
      <c r="F302" s="121" t="s">
        <v>171</v>
      </c>
      <c r="G302" s="121" t="s">
        <v>501</v>
      </c>
      <c r="H302" s="121" t="s">
        <v>172</v>
      </c>
      <c r="I302" s="122"/>
      <c r="J302" s="122">
        <v>195</v>
      </c>
      <c r="K302" s="121">
        <v>76</v>
      </c>
      <c r="L302" s="192">
        <v>121980.29999999999</v>
      </c>
      <c r="M302" s="123">
        <v>195</v>
      </c>
      <c r="N302" s="123">
        <v>0</v>
      </c>
    </row>
    <row r="303" spans="1:14" x14ac:dyDescent="0.3">
      <c r="A303" s="137">
        <v>79315</v>
      </c>
      <c r="B303" s="133">
        <v>42993.952777777777</v>
      </c>
      <c r="C303" s="121">
        <v>30905830</v>
      </c>
      <c r="D303" s="121" t="s">
        <v>169</v>
      </c>
      <c r="E303" s="121" t="s">
        <v>173</v>
      </c>
      <c r="F303" s="121" t="s">
        <v>174</v>
      </c>
      <c r="G303" s="121" t="s">
        <v>502</v>
      </c>
      <c r="H303" s="121" t="s">
        <v>173</v>
      </c>
      <c r="I303" s="122">
        <v>491660</v>
      </c>
      <c r="J303" s="122"/>
      <c r="K303" s="121">
        <v>931406</v>
      </c>
      <c r="L303" s="192">
        <v>491660</v>
      </c>
      <c r="M303" s="123">
        <v>785.9769159446239</v>
      </c>
      <c r="N303" s="123">
        <v>659997</v>
      </c>
    </row>
    <row r="304" spans="1:14" x14ac:dyDescent="0.3">
      <c r="A304" s="137">
        <v>14853</v>
      </c>
      <c r="B304" s="133">
        <v>42994.439583333333</v>
      </c>
      <c r="C304" s="121">
        <v>30975278</v>
      </c>
      <c r="D304" s="121" t="s">
        <v>169</v>
      </c>
      <c r="E304" s="121" t="s">
        <v>170</v>
      </c>
      <c r="F304" s="121" t="s">
        <v>174</v>
      </c>
      <c r="G304" s="121" t="s">
        <v>503</v>
      </c>
      <c r="H304" s="121" t="s">
        <v>172</v>
      </c>
      <c r="I304" s="122"/>
      <c r="J304" s="122">
        <v>195</v>
      </c>
      <c r="K304" s="121">
        <v>75982</v>
      </c>
      <c r="L304" s="192">
        <v>121980.29999999999</v>
      </c>
      <c r="M304" s="123">
        <v>195</v>
      </c>
      <c r="N304" s="123">
        <v>0</v>
      </c>
    </row>
    <row r="305" spans="1:19" x14ac:dyDescent="0.3">
      <c r="A305" s="137">
        <v>76220</v>
      </c>
      <c r="B305" s="133">
        <v>42994.453472222223</v>
      </c>
      <c r="C305" s="121">
        <v>30975278</v>
      </c>
      <c r="D305" s="121" t="s">
        <v>169</v>
      </c>
      <c r="E305" s="121" t="s">
        <v>170</v>
      </c>
      <c r="F305" s="121" t="s">
        <v>171</v>
      </c>
      <c r="G305" s="121" t="s">
        <v>501</v>
      </c>
      <c r="H305" s="121" t="s">
        <v>172</v>
      </c>
      <c r="I305" s="122"/>
      <c r="J305" s="122">
        <v>195</v>
      </c>
      <c r="K305" s="121">
        <v>86</v>
      </c>
      <c r="L305" s="192">
        <v>121980.29999999999</v>
      </c>
      <c r="M305" s="123">
        <v>195</v>
      </c>
      <c r="N305" s="123">
        <v>0</v>
      </c>
    </row>
    <row r="306" spans="1:19" x14ac:dyDescent="0.3">
      <c r="A306" s="137">
        <v>53254</v>
      </c>
      <c r="B306" s="133">
        <v>42994.459027777775</v>
      </c>
      <c r="C306" s="121">
        <v>30905830</v>
      </c>
      <c r="D306" s="121" t="s">
        <v>169</v>
      </c>
      <c r="E306" s="121" t="s">
        <v>173</v>
      </c>
      <c r="F306" s="121" t="s">
        <v>174</v>
      </c>
      <c r="G306" s="121" t="s">
        <v>422</v>
      </c>
      <c r="H306" s="121" t="s">
        <v>173</v>
      </c>
      <c r="I306" s="122">
        <v>146191</v>
      </c>
      <c r="J306" s="122"/>
      <c r="K306" s="121">
        <v>809984</v>
      </c>
      <c r="L306" s="192">
        <v>146191</v>
      </c>
      <c r="M306" s="123">
        <v>233.70368002046234</v>
      </c>
      <c r="N306" s="123">
        <v>295399</v>
      </c>
    </row>
    <row r="307" spans="1:19" x14ac:dyDescent="0.3">
      <c r="A307" s="137">
        <v>73580</v>
      </c>
      <c r="B307" s="133">
        <v>42995.325694444444</v>
      </c>
      <c r="C307" s="121">
        <v>30975278</v>
      </c>
      <c r="D307" s="121" t="s">
        <v>169</v>
      </c>
      <c r="E307" s="121" t="s">
        <v>170</v>
      </c>
      <c r="F307" s="121" t="s">
        <v>175</v>
      </c>
      <c r="G307" s="121" t="s">
        <v>504</v>
      </c>
      <c r="H307" s="121" t="s">
        <v>172</v>
      </c>
      <c r="I307" s="122"/>
      <c r="J307" s="122">
        <v>220</v>
      </c>
      <c r="K307" s="121">
        <v>511456</v>
      </c>
      <c r="L307" s="192">
        <v>137618.79999999999</v>
      </c>
      <c r="M307" s="123">
        <v>220</v>
      </c>
      <c r="N307" s="123">
        <v>0</v>
      </c>
    </row>
    <row r="308" spans="1:19" x14ac:dyDescent="0.3">
      <c r="A308" s="137">
        <v>59192</v>
      </c>
      <c r="B308" s="133">
        <v>42995.351388888892</v>
      </c>
      <c r="C308" s="121">
        <v>30975278</v>
      </c>
      <c r="D308" s="121" t="s">
        <v>169</v>
      </c>
      <c r="E308" s="121" t="s">
        <v>170</v>
      </c>
      <c r="F308" s="121" t="s">
        <v>171</v>
      </c>
      <c r="G308" s="121" t="s">
        <v>505</v>
      </c>
      <c r="H308" s="121" t="s">
        <v>172</v>
      </c>
      <c r="I308" s="122"/>
      <c r="J308" s="122">
        <v>440</v>
      </c>
      <c r="K308" s="121">
        <v>18</v>
      </c>
      <c r="L308" s="192">
        <v>275237.59999999998</v>
      </c>
      <c r="M308" s="123">
        <v>440</v>
      </c>
      <c r="N308" s="123">
        <v>0</v>
      </c>
    </row>
    <row r="309" spans="1:19" x14ac:dyDescent="0.3">
      <c r="A309" s="137">
        <v>5429</v>
      </c>
      <c r="B309" s="133">
        <v>42995.526388888888</v>
      </c>
      <c r="C309" s="121">
        <v>30975278</v>
      </c>
      <c r="D309" s="121" t="s">
        <v>169</v>
      </c>
      <c r="E309" s="121" t="s">
        <v>170</v>
      </c>
      <c r="F309" s="121" t="s">
        <v>174</v>
      </c>
      <c r="G309" s="121" t="s">
        <v>506</v>
      </c>
      <c r="H309" s="121" t="s">
        <v>172</v>
      </c>
      <c r="I309" s="122"/>
      <c r="J309" s="122">
        <v>805</v>
      </c>
      <c r="K309" s="121">
        <v>96820</v>
      </c>
      <c r="L309" s="192">
        <v>503559.69999999995</v>
      </c>
      <c r="M309" s="123">
        <v>805</v>
      </c>
      <c r="N309" s="123">
        <v>641178.5</v>
      </c>
    </row>
    <row r="310" spans="1:19" x14ac:dyDescent="0.3">
      <c r="A310" s="137">
        <v>806</v>
      </c>
      <c r="B310" s="133">
        <v>42995.549305555556</v>
      </c>
      <c r="C310" s="121">
        <v>30975278</v>
      </c>
      <c r="D310" s="121" t="s">
        <v>169</v>
      </c>
      <c r="E310" s="121" t="s">
        <v>170</v>
      </c>
      <c r="F310" s="121" t="s">
        <v>174</v>
      </c>
      <c r="G310" s="121" t="s">
        <v>507</v>
      </c>
      <c r="H310" s="121" t="s">
        <v>172</v>
      </c>
      <c r="I310" s="122"/>
      <c r="J310" s="122">
        <v>610</v>
      </c>
      <c r="K310" s="121">
        <v>128490</v>
      </c>
      <c r="L310" s="192">
        <v>381579.39999999997</v>
      </c>
      <c r="M310" s="123">
        <v>610</v>
      </c>
      <c r="N310" s="123">
        <v>519198.19999999995</v>
      </c>
    </row>
    <row r="311" spans="1:19" x14ac:dyDescent="0.3">
      <c r="A311" s="137">
        <v>4370</v>
      </c>
      <c r="B311" s="133">
        <v>42996.496527777781</v>
      </c>
      <c r="C311" s="121">
        <v>30905830</v>
      </c>
      <c r="D311" s="121" t="s">
        <v>169</v>
      </c>
      <c r="E311" s="121" t="s">
        <v>173</v>
      </c>
      <c r="F311" s="121" t="s">
        <v>174</v>
      </c>
      <c r="G311" s="121" t="s">
        <v>440</v>
      </c>
      <c r="H311" s="121" t="s">
        <v>173</v>
      </c>
      <c r="I311" s="122">
        <v>4000</v>
      </c>
      <c r="J311" s="122"/>
      <c r="K311" s="121">
        <v>585943</v>
      </c>
      <c r="L311" s="192">
        <v>4000</v>
      </c>
      <c r="M311" s="123">
        <v>6.3944751734501395</v>
      </c>
      <c r="N311" s="123">
        <v>275237.59999999998</v>
      </c>
    </row>
    <row r="312" spans="1:19" x14ac:dyDescent="0.3">
      <c r="A312" s="137">
        <v>4370</v>
      </c>
      <c r="B312" s="133">
        <v>42996.496527777781</v>
      </c>
      <c r="C312" s="121">
        <v>30905830</v>
      </c>
      <c r="D312" s="121" t="s">
        <v>169</v>
      </c>
      <c r="E312" s="121" t="s">
        <v>378</v>
      </c>
      <c r="F312" s="121" t="s">
        <v>174</v>
      </c>
      <c r="G312" s="121" t="s">
        <v>440</v>
      </c>
      <c r="H312" s="121" t="s">
        <v>173</v>
      </c>
      <c r="I312" s="122">
        <v>-4000</v>
      </c>
      <c r="J312" s="122"/>
      <c r="K312" s="121">
        <v>585943</v>
      </c>
      <c r="L312" s="192">
        <v>-4000</v>
      </c>
      <c r="M312" s="123">
        <v>-6.3944751734501395</v>
      </c>
      <c r="N312" s="123">
        <v>275237.59999999998</v>
      </c>
    </row>
    <row r="313" spans="1:19" x14ac:dyDescent="0.3">
      <c r="A313" s="137">
        <v>55473</v>
      </c>
      <c r="B313" s="133">
        <v>42996.520138888889</v>
      </c>
      <c r="C313" s="121">
        <v>30975278</v>
      </c>
      <c r="D313" s="121" t="s">
        <v>169</v>
      </c>
      <c r="E313" s="121" t="s">
        <v>170</v>
      </c>
      <c r="F313" s="121" t="s">
        <v>175</v>
      </c>
      <c r="G313" s="121" t="s">
        <v>508</v>
      </c>
      <c r="H313" s="121" t="s">
        <v>172</v>
      </c>
      <c r="I313" s="122"/>
      <c r="J313" s="122">
        <v>780</v>
      </c>
      <c r="K313" s="121">
        <v>210616</v>
      </c>
      <c r="L313" s="192">
        <v>487921.19999999995</v>
      </c>
      <c r="M313" s="123">
        <v>780</v>
      </c>
      <c r="N313" s="123">
        <v>625540</v>
      </c>
    </row>
    <row r="314" spans="1:19" x14ac:dyDescent="0.3">
      <c r="A314" s="137">
        <v>79315</v>
      </c>
      <c r="B314" s="133">
        <v>42997.477777777778</v>
      </c>
      <c r="C314" s="121">
        <v>30905830</v>
      </c>
      <c r="D314" s="121" t="s">
        <v>169</v>
      </c>
      <c r="E314" s="121" t="s">
        <v>173</v>
      </c>
      <c r="F314" s="121" t="s">
        <v>174</v>
      </c>
      <c r="G314" s="121" t="s">
        <v>502</v>
      </c>
      <c r="H314" s="121" t="s">
        <v>173</v>
      </c>
      <c r="I314" s="122">
        <v>13000</v>
      </c>
      <c r="J314" s="122"/>
      <c r="K314" s="121">
        <v>469161</v>
      </c>
      <c r="L314" s="192">
        <v>13000</v>
      </c>
      <c r="M314" s="123">
        <v>20.782044313712952</v>
      </c>
      <c r="N314" s="123">
        <v>659997</v>
      </c>
    </row>
    <row r="315" spans="1:19" x14ac:dyDescent="0.3">
      <c r="A315" s="137">
        <v>67560</v>
      </c>
      <c r="B315" s="133">
        <v>42997.561111111114</v>
      </c>
      <c r="C315" s="121">
        <v>30905830</v>
      </c>
      <c r="D315" s="121" t="s">
        <v>169</v>
      </c>
      <c r="E315" s="121" t="s">
        <v>173</v>
      </c>
      <c r="F315" s="121" t="s">
        <v>175</v>
      </c>
      <c r="G315" s="121" t="s">
        <v>494</v>
      </c>
      <c r="H315" s="121" t="s">
        <v>173</v>
      </c>
      <c r="I315" s="122">
        <v>145495</v>
      </c>
      <c r="J315" s="122"/>
      <c r="K315" s="121">
        <v>449054</v>
      </c>
      <c r="L315" s="192">
        <v>145495</v>
      </c>
      <c r="M315" s="123">
        <v>232.591041340282</v>
      </c>
      <c r="N315" s="123">
        <v>290990</v>
      </c>
      <c r="R315" s="60" t="s">
        <v>248</v>
      </c>
      <c r="S315" s="60" t="s">
        <v>249</v>
      </c>
    </row>
    <row r="316" spans="1:19" x14ac:dyDescent="0.3">
      <c r="A316" s="137">
        <v>79315</v>
      </c>
      <c r="B316" s="133">
        <v>42997.568055555559</v>
      </c>
      <c r="C316" s="121">
        <v>30905830</v>
      </c>
      <c r="D316" s="121" t="s">
        <v>169</v>
      </c>
      <c r="E316" s="121" t="s">
        <v>173</v>
      </c>
      <c r="F316" s="121" t="s">
        <v>174</v>
      </c>
      <c r="G316" s="121" t="s">
        <v>502</v>
      </c>
      <c r="H316" s="121" t="s">
        <v>173</v>
      </c>
      <c r="I316" s="122">
        <v>8000</v>
      </c>
      <c r="J316" s="122"/>
      <c r="K316" s="121">
        <v>741254</v>
      </c>
      <c r="L316" s="192">
        <v>8000</v>
      </c>
      <c r="M316" s="123">
        <v>12.788950346900279</v>
      </c>
      <c r="N316" s="123">
        <v>659997</v>
      </c>
    </row>
    <row r="317" spans="1:19" x14ac:dyDescent="0.3">
      <c r="A317" s="137">
        <v>74102</v>
      </c>
      <c r="B317" s="133">
        <v>42997.621527777781</v>
      </c>
      <c r="C317" s="121">
        <v>30975278</v>
      </c>
      <c r="D317" s="121" t="s">
        <v>169</v>
      </c>
      <c r="E317" s="121" t="s">
        <v>170</v>
      </c>
      <c r="F317" s="121" t="s">
        <v>174</v>
      </c>
      <c r="G317" s="121" t="s">
        <v>509</v>
      </c>
      <c r="H317" s="121" t="s">
        <v>172</v>
      </c>
      <c r="I317" s="122"/>
      <c r="J317" s="122">
        <v>780</v>
      </c>
      <c r="K317" s="121">
        <v>993608</v>
      </c>
      <c r="L317" s="192">
        <v>487921.19999999995</v>
      </c>
      <c r="M317" s="123">
        <v>780</v>
      </c>
      <c r="N317" s="123">
        <v>487921.19999999995</v>
      </c>
    </row>
    <row r="318" spans="1:19" x14ac:dyDescent="0.3">
      <c r="A318" s="137">
        <v>57837</v>
      </c>
      <c r="B318" s="133">
        <v>42997.666666666664</v>
      </c>
      <c r="C318" s="121">
        <v>30905830</v>
      </c>
      <c r="D318" s="121" t="s">
        <v>169</v>
      </c>
      <c r="E318" s="121" t="s">
        <v>173</v>
      </c>
      <c r="F318" s="121" t="s">
        <v>175</v>
      </c>
      <c r="G318" s="121" t="s">
        <v>510</v>
      </c>
      <c r="H318" s="121" t="s">
        <v>173</v>
      </c>
      <c r="I318" s="122">
        <v>1309458</v>
      </c>
      <c r="J318" s="122"/>
      <c r="K318" s="121">
        <v>764118</v>
      </c>
      <c r="L318" s="192">
        <v>1309458</v>
      </c>
      <c r="M318" s="123">
        <v>2093.3241679189182</v>
      </c>
      <c r="N318" s="123">
        <v>1757082</v>
      </c>
    </row>
    <row r="319" spans="1:19" x14ac:dyDescent="0.3">
      <c r="A319" s="137">
        <v>30452</v>
      </c>
      <c r="B319" s="133">
        <v>42998.376388888886</v>
      </c>
      <c r="C319" s="121">
        <v>30975278</v>
      </c>
      <c r="D319" s="121" t="s">
        <v>169</v>
      </c>
      <c r="E319" s="121" t="s">
        <v>170</v>
      </c>
      <c r="F319" s="121" t="s">
        <v>174</v>
      </c>
      <c r="G319" s="121" t="s">
        <v>441</v>
      </c>
      <c r="H319" s="121" t="s">
        <v>172</v>
      </c>
      <c r="I319" s="122"/>
      <c r="J319" s="122">
        <v>585</v>
      </c>
      <c r="K319" s="121">
        <v>86913</v>
      </c>
      <c r="L319" s="192">
        <v>365940.89999999997</v>
      </c>
      <c r="M319" s="123">
        <v>585</v>
      </c>
      <c r="N319" s="123">
        <v>487921.19999999995</v>
      </c>
    </row>
    <row r="320" spans="1:19" x14ac:dyDescent="0.3">
      <c r="A320" s="137">
        <v>67560</v>
      </c>
      <c r="B320" s="133">
        <v>42998.45</v>
      </c>
      <c r="C320" s="121">
        <v>30905830</v>
      </c>
      <c r="D320" s="121" t="s">
        <v>169</v>
      </c>
      <c r="E320" s="121" t="s">
        <v>173</v>
      </c>
      <c r="F320" s="121" t="s">
        <v>194</v>
      </c>
      <c r="G320" s="121" t="s">
        <v>511</v>
      </c>
      <c r="H320" s="121" t="s">
        <v>195</v>
      </c>
      <c r="I320" s="122">
        <v>9000</v>
      </c>
      <c r="J320" s="122"/>
      <c r="K320" s="121">
        <v>1329</v>
      </c>
      <c r="L320" s="192">
        <v>9000</v>
      </c>
      <c r="M320" s="123">
        <v>14.387569140262814</v>
      </c>
      <c r="N320" s="123">
        <v>290990</v>
      </c>
    </row>
    <row r="321" spans="1:17" x14ac:dyDescent="0.3">
      <c r="A321" s="137">
        <v>65714</v>
      </c>
      <c r="B321" s="133">
        <v>43000.409722222219</v>
      </c>
      <c r="C321" s="121">
        <v>30905830</v>
      </c>
      <c r="D321" s="121" t="s">
        <v>169</v>
      </c>
      <c r="E321" s="121" t="s">
        <v>173</v>
      </c>
      <c r="F321" s="121" t="s">
        <v>175</v>
      </c>
      <c r="G321" s="121" t="s">
        <v>512</v>
      </c>
      <c r="H321" s="121" t="s">
        <v>173</v>
      </c>
      <c r="I321" s="122">
        <v>289598</v>
      </c>
      <c r="J321" s="122"/>
      <c r="K321" s="121">
        <v>745427</v>
      </c>
      <c r="L321" s="192">
        <v>289598</v>
      </c>
      <c r="M321" s="123">
        <v>462.95680532020339</v>
      </c>
      <c r="N321" s="123">
        <v>121980.29999999999</v>
      </c>
    </row>
    <row r="322" spans="1:17" x14ac:dyDescent="0.3">
      <c r="A322" s="137">
        <v>65714</v>
      </c>
      <c r="B322" s="133">
        <v>43000.409722222219</v>
      </c>
      <c r="C322" s="121">
        <v>30905830</v>
      </c>
      <c r="D322" s="121" t="s">
        <v>169</v>
      </c>
      <c r="E322" s="121" t="s">
        <v>378</v>
      </c>
      <c r="F322" s="121" t="s">
        <v>175</v>
      </c>
      <c r="G322" s="121" t="s">
        <v>512</v>
      </c>
      <c r="H322" s="121" t="s">
        <v>173</v>
      </c>
      <c r="I322" s="122">
        <v>-289598</v>
      </c>
      <c r="J322" s="122"/>
      <c r="K322" s="121">
        <v>745427</v>
      </c>
      <c r="L322" s="192">
        <v>-289598</v>
      </c>
      <c r="M322" s="123">
        <v>-462.95680532020339</v>
      </c>
      <c r="N322" s="123">
        <v>121980.29999999999</v>
      </c>
    </row>
    <row r="323" spans="1:17" x14ac:dyDescent="0.3">
      <c r="A323" s="137">
        <v>5315</v>
      </c>
      <c r="B323" s="133">
        <v>43000.419444444444</v>
      </c>
      <c r="C323" s="121">
        <v>30975278</v>
      </c>
      <c r="D323" s="121" t="s">
        <v>169</v>
      </c>
      <c r="E323" s="121" t="s">
        <v>170</v>
      </c>
      <c r="F323" s="121" t="s">
        <v>174</v>
      </c>
      <c r="G323" s="121" t="s">
        <v>513</v>
      </c>
      <c r="H323" s="121" t="s">
        <v>172</v>
      </c>
      <c r="I323" s="122"/>
      <c r="J323" s="122">
        <v>176</v>
      </c>
      <c r="K323" s="121">
        <v>448426</v>
      </c>
      <c r="L323" s="192">
        <v>110095.03999999999</v>
      </c>
      <c r="M323" s="123">
        <v>176</v>
      </c>
      <c r="N323" s="123">
        <v>0</v>
      </c>
    </row>
    <row r="324" spans="1:17" x14ac:dyDescent="0.3">
      <c r="A324" s="137">
        <v>59084</v>
      </c>
      <c r="B324" s="133">
        <v>43000.422222222223</v>
      </c>
      <c r="C324" s="121">
        <v>30975278</v>
      </c>
      <c r="D324" s="121" t="s">
        <v>169</v>
      </c>
      <c r="E324" s="121" t="s">
        <v>170</v>
      </c>
      <c r="F324" s="121" t="s">
        <v>174</v>
      </c>
      <c r="G324" s="121" t="s">
        <v>514</v>
      </c>
      <c r="H324" s="121" t="s">
        <v>172</v>
      </c>
      <c r="I324" s="122"/>
      <c r="J324" s="122">
        <v>195</v>
      </c>
      <c r="K324" s="121">
        <v>95961</v>
      </c>
      <c r="L324" s="192">
        <v>121980.29999999999</v>
      </c>
      <c r="M324" s="123">
        <v>195</v>
      </c>
      <c r="N324" s="123">
        <v>0</v>
      </c>
    </row>
    <row r="325" spans="1:17" x14ac:dyDescent="0.3">
      <c r="A325" s="137">
        <v>77608</v>
      </c>
      <c r="B325" s="133">
        <v>43000.425694444442</v>
      </c>
      <c r="C325" s="121">
        <v>30975278</v>
      </c>
      <c r="D325" s="121" t="s">
        <v>169</v>
      </c>
      <c r="E325" s="121" t="s">
        <v>170</v>
      </c>
      <c r="F325" s="121" t="s">
        <v>174</v>
      </c>
      <c r="G325" s="121" t="s">
        <v>515</v>
      </c>
      <c r="H325" s="121" t="s">
        <v>172</v>
      </c>
      <c r="I325" s="122"/>
      <c r="J325" s="122">
        <v>195</v>
      </c>
      <c r="K325" s="121">
        <v>333630</v>
      </c>
      <c r="L325" s="192">
        <v>121980.29999999999</v>
      </c>
      <c r="M325" s="123">
        <v>195</v>
      </c>
      <c r="N325" s="123">
        <v>0</v>
      </c>
    </row>
    <row r="326" spans="1:17" x14ac:dyDescent="0.3">
      <c r="A326" s="137">
        <v>80184</v>
      </c>
      <c r="B326" s="133">
        <v>43000.427083333336</v>
      </c>
      <c r="C326" s="121">
        <v>30975278</v>
      </c>
      <c r="D326" s="121" t="s">
        <v>169</v>
      </c>
      <c r="E326" s="121" t="s">
        <v>170</v>
      </c>
      <c r="F326" s="121" t="s">
        <v>174</v>
      </c>
      <c r="G326" s="121" t="s">
        <v>516</v>
      </c>
      <c r="H326" s="121" t="s">
        <v>172</v>
      </c>
      <c r="I326" s="122"/>
      <c r="J326" s="122">
        <v>195</v>
      </c>
      <c r="K326" s="121">
        <v>171055</v>
      </c>
      <c r="L326" s="192">
        <v>121980.29999999999</v>
      </c>
      <c r="M326" s="123">
        <v>195</v>
      </c>
      <c r="N326" s="123">
        <v>0</v>
      </c>
    </row>
    <row r="327" spans="1:17" x14ac:dyDescent="0.3">
      <c r="A327" s="137">
        <v>10879</v>
      </c>
      <c r="B327" s="133">
        <v>43000.428472222222</v>
      </c>
      <c r="C327" s="121">
        <v>30975278</v>
      </c>
      <c r="D327" s="121" t="s">
        <v>169</v>
      </c>
      <c r="E327" s="121" t="s">
        <v>170</v>
      </c>
      <c r="F327" s="121" t="s">
        <v>171</v>
      </c>
      <c r="G327" s="121" t="s">
        <v>517</v>
      </c>
      <c r="H327" s="121" t="s">
        <v>172</v>
      </c>
      <c r="I327" s="122"/>
      <c r="J327" s="122">
        <v>185</v>
      </c>
      <c r="K327" s="121">
        <v>38</v>
      </c>
      <c r="L327" s="192">
        <v>115724.9</v>
      </c>
      <c r="M327" s="123">
        <v>185</v>
      </c>
      <c r="N327" s="123">
        <v>0</v>
      </c>
    </row>
    <row r="328" spans="1:17" x14ac:dyDescent="0.3">
      <c r="A328" s="137">
        <v>68732</v>
      </c>
      <c r="B328" s="133">
        <v>43000.433333333334</v>
      </c>
      <c r="C328" s="121">
        <v>30975278</v>
      </c>
      <c r="D328" s="121" t="s">
        <v>169</v>
      </c>
      <c r="E328" s="121" t="s">
        <v>170</v>
      </c>
      <c r="F328" s="121" t="s">
        <v>174</v>
      </c>
      <c r="G328" s="121" t="s">
        <v>518</v>
      </c>
      <c r="H328" s="121" t="s">
        <v>172</v>
      </c>
      <c r="I328" s="122"/>
      <c r="J328" s="122">
        <v>176</v>
      </c>
      <c r="K328" s="121">
        <v>68146</v>
      </c>
      <c r="L328" s="192">
        <v>110095.03999999999</v>
      </c>
      <c r="M328" s="123">
        <v>176</v>
      </c>
      <c r="N328" s="123">
        <v>0</v>
      </c>
      <c r="Q328" s="60" t="s">
        <v>309</v>
      </c>
    </row>
    <row r="329" spans="1:17" x14ac:dyDescent="0.3">
      <c r="A329" s="137">
        <v>80646</v>
      </c>
      <c r="B329" s="133">
        <v>43000.501388888886</v>
      </c>
      <c r="C329" s="121">
        <v>30975278</v>
      </c>
      <c r="D329" s="121" t="s">
        <v>169</v>
      </c>
      <c r="E329" s="121" t="s">
        <v>170</v>
      </c>
      <c r="F329" s="121" t="s">
        <v>171</v>
      </c>
      <c r="G329" s="121" t="s">
        <v>519</v>
      </c>
      <c r="H329" s="121" t="s">
        <v>172</v>
      </c>
      <c r="I329" s="122"/>
      <c r="J329" s="122">
        <v>390</v>
      </c>
      <c r="K329" s="121">
        <v>63</v>
      </c>
      <c r="L329" s="192">
        <v>243960.59999999998</v>
      </c>
      <c r="M329" s="123">
        <v>390</v>
      </c>
      <c r="N329" s="123">
        <v>365940.89999999997</v>
      </c>
    </row>
    <row r="330" spans="1:17" x14ac:dyDescent="0.3">
      <c r="A330" s="137">
        <v>49529</v>
      </c>
      <c r="B330" s="133">
        <v>43000</v>
      </c>
      <c r="C330" s="121">
        <v>30975278</v>
      </c>
      <c r="D330" s="121" t="s">
        <v>169</v>
      </c>
      <c r="E330" s="121" t="s">
        <v>170</v>
      </c>
      <c r="F330" s="121" t="s">
        <v>175</v>
      </c>
      <c r="G330" s="121" t="s">
        <v>520</v>
      </c>
      <c r="H330" s="121" t="s">
        <v>172</v>
      </c>
      <c r="I330" s="122"/>
      <c r="J330" s="122">
        <v>195</v>
      </c>
      <c r="K330" s="121">
        <v>645622</v>
      </c>
      <c r="L330" s="192">
        <v>121980.29999999999</v>
      </c>
      <c r="M330" s="123">
        <v>195</v>
      </c>
      <c r="N330" s="123">
        <v>0</v>
      </c>
    </row>
    <row r="331" spans="1:17" x14ac:dyDescent="0.3">
      <c r="A331" s="137">
        <v>52567</v>
      </c>
      <c r="B331" s="133">
        <v>43000</v>
      </c>
      <c r="C331" s="121">
        <v>30905830</v>
      </c>
      <c r="D331" s="121" t="s">
        <v>169</v>
      </c>
      <c r="E331" s="121" t="s">
        <v>173</v>
      </c>
      <c r="F331" s="121" t="s">
        <v>417</v>
      </c>
      <c r="G331" s="121" t="s">
        <v>521</v>
      </c>
      <c r="H331" s="121" t="s">
        <v>173</v>
      </c>
      <c r="I331" s="122">
        <v>144799</v>
      </c>
      <c r="J331" s="122"/>
      <c r="K331" s="121">
        <v>760083</v>
      </c>
      <c r="L331" s="192">
        <v>144799</v>
      </c>
      <c r="M331" s="123">
        <v>231.47840266010169</v>
      </c>
      <c r="N331" s="123">
        <v>0</v>
      </c>
    </row>
    <row r="332" spans="1:17" x14ac:dyDescent="0.3">
      <c r="A332" s="137">
        <v>52559</v>
      </c>
      <c r="B332" s="133">
        <v>43000</v>
      </c>
      <c r="C332" s="121">
        <v>30975278</v>
      </c>
      <c r="D332" s="121" t="s">
        <v>169</v>
      </c>
      <c r="E332" s="121" t="s">
        <v>170</v>
      </c>
      <c r="F332" s="121" t="s">
        <v>175</v>
      </c>
      <c r="G332" s="121" t="s">
        <v>522</v>
      </c>
      <c r="H332" s="121" t="s">
        <v>172</v>
      </c>
      <c r="I332" s="122"/>
      <c r="J332" s="122">
        <v>390</v>
      </c>
      <c r="K332" s="121">
        <v>686607</v>
      </c>
      <c r="L332" s="192">
        <v>243960.59999999998</v>
      </c>
      <c r="M332" s="123">
        <v>390</v>
      </c>
      <c r="N332" s="123">
        <v>0</v>
      </c>
    </row>
    <row r="333" spans="1:17" x14ac:dyDescent="0.3">
      <c r="A333" s="137">
        <v>1807</v>
      </c>
      <c r="B333" s="133">
        <v>43000</v>
      </c>
      <c r="C333" s="121">
        <v>30975278</v>
      </c>
      <c r="D333" s="121" t="s">
        <v>169</v>
      </c>
      <c r="E333" s="121" t="s">
        <v>170</v>
      </c>
      <c r="F333" s="121" t="s">
        <v>195</v>
      </c>
      <c r="G333" s="121" t="s">
        <v>523</v>
      </c>
      <c r="H333" s="121" t="s">
        <v>172</v>
      </c>
      <c r="I333" s="122"/>
      <c r="J333" s="122">
        <v>351</v>
      </c>
      <c r="K333" s="121" t="s">
        <v>524</v>
      </c>
      <c r="L333" s="192">
        <v>219564.53999999998</v>
      </c>
      <c r="M333" s="123">
        <v>351</v>
      </c>
      <c r="N333" s="123">
        <v>0</v>
      </c>
    </row>
    <row r="334" spans="1:17" x14ac:dyDescent="0.3">
      <c r="A334" s="137">
        <v>7122</v>
      </c>
      <c r="B334" s="133">
        <v>43001</v>
      </c>
      <c r="C334" s="121">
        <v>30975278</v>
      </c>
      <c r="D334" s="121" t="s">
        <v>169</v>
      </c>
      <c r="E334" s="121" t="s">
        <v>170</v>
      </c>
      <c r="F334" s="121" t="s">
        <v>175</v>
      </c>
      <c r="G334" s="121" t="s">
        <v>525</v>
      </c>
      <c r="H334" s="121" t="s">
        <v>172</v>
      </c>
      <c r="I334" s="122"/>
      <c r="J334" s="122">
        <v>975</v>
      </c>
      <c r="K334" s="121">
        <v>343371</v>
      </c>
      <c r="L334" s="192">
        <v>609901.5</v>
      </c>
      <c r="M334" s="123">
        <v>975</v>
      </c>
      <c r="N334" s="123">
        <v>609901.5</v>
      </c>
    </row>
    <row r="335" spans="1:17" x14ac:dyDescent="0.3">
      <c r="A335" s="137">
        <v>38870</v>
      </c>
      <c r="B335" s="133">
        <v>43001</v>
      </c>
      <c r="C335" s="121">
        <v>30975278</v>
      </c>
      <c r="D335" s="121" t="s">
        <v>169</v>
      </c>
      <c r="E335" s="121" t="s">
        <v>170</v>
      </c>
      <c r="F335" s="121" t="s">
        <v>175</v>
      </c>
      <c r="G335" s="121" t="s">
        <v>526</v>
      </c>
      <c r="H335" s="121" t="s">
        <v>172</v>
      </c>
      <c r="I335" s="122"/>
      <c r="J335" s="122">
        <v>975</v>
      </c>
      <c r="K335" s="121">
        <v>65425</v>
      </c>
      <c r="L335" s="192">
        <v>609901.5</v>
      </c>
      <c r="M335" s="123">
        <v>975</v>
      </c>
      <c r="N335" s="123">
        <v>731881.79999999993</v>
      </c>
    </row>
    <row r="336" spans="1:17" x14ac:dyDescent="0.3">
      <c r="A336" s="137">
        <v>65714</v>
      </c>
      <c r="B336" s="133">
        <v>43001</v>
      </c>
      <c r="C336" s="121">
        <v>30975278</v>
      </c>
      <c r="D336" s="121" t="s">
        <v>169</v>
      </c>
      <c r="E336" s="121" t="s">
        <v>170</v>
      </c>
      <c r="F336" s="121" t="s">
        <v>175</v>
      </c>
      <c r="G336" s="121" t="s">
        <v>512</v>
      </c>
      <c r="H336" s="121" t="s">
        <v>172</v>
      </c>
      <c r="I336" s="122"/>
      <c r="J336" s="122">
        <v>195</v>
      </c>
      <c r="K336" s="121">
        <v>81578</v>
      </c>
      <c r="L336" s="192">
        <v>121980.29999999999</v>
      </c>
      <c r="M336" s="123">
        <v>195</v>
      </c>
      <c r="N336" s="123">
        <v>121980.29999999999</v>
      </c>
    </row>
    <row r="337" spans="1:14" x14ac:dyDescent="0.3">
      <c r="A337" s="137">
        <v>52253</v>
      </c>
      <c r="B337" s="133">
        <v>43001</v>
      </c>
      <c r="C337" s="121">
        <v>30905830</v>
      </c>
      <c r="D337" s="121" t="s">
        <v>169</v>
      </c>
      <c r="E337" s="121" t="s">
        <v>173</v>
      </c>
      <c r="F337" s="121" t="s">
        <v>171</v>
      </c>
      <c r="G337" s="121" t="s">
        <v>527</v>
      </c>
      <c r="H337" s="121" t="s">
        <v>173</v>
      </c>
      <c r="I337" s="122">
        <v>144799</v>
      </c>
      <c r="J337" s="122"/>
      <c r="K337" s="121">
        <v>576106</v>
      </c>
      <c r="L337" s="192">
        <v>144799</v>
      </c>
      <c r="M337" s="123">
        <v>231.47840266010169</v>
      </c>
      <c r="N337" s="123">
        <v>0</v>
      </c>
    </row>
    <row r="338" spans="1:14" x14ac:dyDescent="0.3">
      <c r="A338" s="137">
        <v>54715</v>
      </c>
      <c r="B338" s="133">
        <v>43002.462500000001</v>
      </c>
      <c r="C338" s="121">
        <v>30905830</v>
      </c>
      <c r="D338" s="121" t="s">
        <v>169</v>
      </c>
      <c r="E338" s="121" t="s">
        <v>173</v>
      </c>
      <c r="F338" s="121" t="s">
        <v>174</v>
      </c>
      <c r="G338" s="121" t="s">
        <v>461</v>
      </c>
      <c r="H338" s="121" t="s">
        <v>173</v>
      </c>
      <c r="I338" s="122">
        <v>434398</v>
      </c>
      <c r="J338" s="122"/>
      <c r="K338" s="121">
        <v>246005</v>
      </c>
      <c r="L338" s="192">
        <v>434398</v>
      </c>
      <c r="M338" s="123">
        <v>694.43680659909842</v>
      </c>
      <c r="N338" s="123">
        <v>578965</v>
      </c>
    </row>
    <row r="339" spans="1:14" x14ac:dyDescent="0.3">
      <c r="A339" s="137">
        <v>82949</v>
      </c>
      <c r="B339" s="133">
        <v>43002.749305555553</v>
      </c>
      <c r="C339" s="121">
        <v>30975278</v>
      </c>
      <c r="D339" s="121" t="s">
        <v>169</v>
      </c>
      <c r="E339" s="121" t="s">
        <v>170</v>
      </c>
      <c r="F339" s="121" t="s">
        <v>174</v>
      </c>
      <c r="G339" s="121" t="s">
        <v>528</v>
      </c>
      <c r="H339" s="121" t="s">
        <v>172</v>
      </c>
      <c r="I339" s="122"/>
      <c r="J339" s="122">
        <v>351</v>
      </c>
      <c r="K339" s="121">
        <v>631560</v>
      </c>
      <c r="L339" s="192">
        <v>219564.53999999998</v>
      </c>
      <c r="M339" s="123">
        <v>351</v>
      </c>
      <c r="N339" s="123">
        <v>878258.15999999992</v>
      </c>
    </row>
    <row r="340" spans="1:14" x14ac:dyDescent="0.3">
      <c r="A340" s="137">
        <v>82949</v>
      </c>
      <c r="B340" s="133">
        <v>43002.750694444447</v>
      </c>
      <c r="C340" s="121">
        <v>30975278</v>
      </c>
      <c r="D340" s="121" t="s">
        <v>169</v>
      </c>
      <c r="E340" s="121" t="s">
        <v>170</v>
      </c>
      <c r="F340" s="121" t="s">
        <v>175</v>
      </c>
      <c r="G340" s="121" t="s">
        <v>529</v>
      </c>
      <c r="H340" s="121" t="s">
        <v>172</v>
      </c>
      <c r="I340" s="122"/>
      <c r="J340" s="122">
        <v>702</v>
      </c>
      <c r="K340" s="121">
        <v>24262</v>
      </c>
      <c r="L340" s="192">
        <v>439129.07999999996</v>
      </c>
      <c r="M340" s="123">
        <v>702</v>
      </c>
      <c r="N340" s="123">
        <v>878258.15999999992</v>
      </c>
    </row>
    <row r="341" spans="1:14" x14ac:dyDescent="0.3">
      <c r="A341" s="137">
        <v>70278</v>
      </c>
      <c r="B341" s="133">
        <v>43004.411111111112</v>
      </c>
      <c r="C341" s="121">
        <v>30975278</v>
      </c>
      <c r="D341" s="121" t="s">
        <v>169</v>
      </c>
      <c r="E341" s="121" t="s">
        <v>170</v>
      </c>
      <c r="F341" s="121" t="s">
        <v>175</v>
      </c>
      <c r="G341" s="121" t="s">
        <v>530</v>
      </c>
      <c r="H341" s="121" t="s">
        <v>172</v>
      </c>
      <c r="I341" s="122"/>
      <c r="J341" s="122">
        <v>195</v>
      </c>
      <c r="K341" s="121">
        <v>62259</v>
      </c>
      <c r="L341" s="192">
        <v>121980.29999999999</v>
      </c>
      <c r="M341" s="123">
        <v>195</v>
      </c>
      <c r="N341" s="123">
        <v>0</v>
      </c>
    </row>
    <row r="342" spans="1:14" x14ac:dyDescent="0.3">
      <c r="A342" s="137">
        <v>98635</v>
      </c>
      <c r="B342" s="133">
        <v>43004.413888888892</v>
      </c>
      <c r="C342" s="121">
        <v>30975278</v>
      </c>
      <c r="D342" s="121" t="s">
        <v>169</v>
      </c>
      <c r="E342" s="121" t="s">
        <v>170</v>
      </c>
      <c r="F342" s="121" t="s">
        <v>175</v>
      </c>
      <c r="G342" s="121" t="s">
        <v>531</v>
      </c>
      <c r="H342" s="121" t="s">
        <v>172</v>
      </c>
      <c r="I342" s="122"/>
      <c r="J342" s="122">
        <v>195</v>
      </c>
      <c r="K342" s="121">
        <v>45218</v>
      </c>
      <c r="L342" s="192">
        <v>121980.29999999999</v>
      </c>
      <c r="M342" s="123">
        <v>195</v>
      </c>
      <c r="N342" s="123">
        <v>0</v>
      </c>
    </row>
    <row r="343" spans="1:14" x14ac:dyDescent="0.3">
      <c r="A343" s="137">
        <v>79600</v>
      </c>
      <c r="B343" s="133">
        <v>43004.415277777778</v>
      </c>
      <c r="C343" s="121">
        <v>30975278</v>
      </c>
      <c r="D343" s="121" t="s">
        <v>169</v>
      </c>
      <c r="E343" s="121" t="s">
        <v>170</v>
      </c>
      <c r="F343" s="121" t="s">
        <v>174</v>
      </c>
      <c r="G343" s="121" t="s">
        <v>532</v>
      </c>
      <c r="H343" s="121" t="s">
        <v>172</v>
      </c>
      <c r="I343" s="122"/>
      <c r="J343" s="122">
        <v>195</v>
      </c>
      <c r="K343" s="121">
        <v>39800</v>
      </c>
      <c r="L343" s="192">
        <v>121980.29999999999</v>
      </c>
      <c r="M343" s="123">
        <v>195</v>
      </c>
      <c r="N343" s="123">
        <v>0</v>
      </c>
    </row>
    <row r="344" spans="1:14" x14ac:dyDescent="0.3">
      <c r="A344" s="137">
        <v>98518</v>
      </c>
      <c r="B344" s="133">
        <v>43004.429166666669</v>
      </c>
      <c r="C344" s="121">
        <v>30975278</v>
      </c>
      <c r="D344" s="121" t="s">
        <v>169</v>
      </c>
      <c r="E344" s="121" t="s">
        <v>170</v>
      </c>
      <c r="F344" s="121" t="s">
        <v>175</v>
      </c>
      <c r="G344" s="121" t="s">
        <v>533</v>
      </c>
      <c r="H344" s="121" t="s">
        <v>172</v>
      </c>
      <c r="I344" s="122"/>
      <c r="J344" s="122">
        <v>195</v>
      </c>
      <c r="K344" s="121">
        <v>92108</v>
      </c>
      <c r="L344" s="192">
        <v>121980.29999999999</v>
      </c>
      <c r="M344" s="123">
        <v>195</v>
      </c>
      <c r="N344" s="123">
        <v>0</v>
      </c>
    </row>
    <row r="345" spans="1:14" x14ac:dyDescent="0.3">
      <c r="A345" s="137">
        <v>29149</v>
      </c>
      <c r="B345" s="133">
        <v>43004.807638888888</v>
      </c>
      <c r="C345" s="121">
        <v>30975278</v>
      </c>
      <c r="D345" s="121" t="s">
        <v>169</v>
      </c>
      <c r="E345" s="121" t="s">
        <v>170</v>
      </c>
      <c r="F345" s="121" t="s">
        <v>175</v>
      </c>
      <c r="G345" s="121" t="s">
        <v>534</v>
      </c>
      <c r="H345" s="121" t="s">
        <v>172</v>
      </c>
      <c r="I345" s="122"/>
      <c r="J345" s="122">
        <v>195</v>
      </c>
      <c r="K345" s="121">
        <v>863608</v>
      </c>
      <c r="L345" s="192">
        <v>121980.29999999999</v>
      </c>
      <c r="M345" s="123">
        <v>195</v>
      </c>
      <c r="N345" s="123">
        <v>0</v>
      </c>
    </row>
    <row r="346" spans="1:14" x14ac:dyDescent="0.3">
      <c r="A346" s="137">
        <v>99810</v>
      </c>
      <c r="B346" s="133">
        <v>43005.402777777781</v>
      </c>
      <c r="C346" s="121">
        <v>30975278</v>
      </c>
      <c r="D346" s="121" t="s">
        <v>169</v>
      </c>
      <c r="E346" s="121" t="s">
        <v>170</v>
      </c>
      <c r="F346" s="121" t="s">
        <v>175</v>
      </c>
      <c r="G346" s="121" t="s">
        <v>535</v>
      </c>
      <c r="H346" s="121" t="s">
        <v>172</v>
      </c>
      <c r="I346" s="122"/>
      <c r="J346" s="122">
        <v>195</v>
      </c>
      <c r="K346" s="121">
        <v>79133</v>
      </c>
      <c r="L346" s="192">
        <v>121980.29999999999</v>
      </c>
      <c r="M346" s="123">
        <v>195</v>
      </c>
      <c r="N346" s="123">
        <v>0</v>
      </c>
    </row>
    <row r="347" spans="1:14" x14ac:dyDescent="0.3">
      <c r="A347" s="137">
        <v>98518</v>
      </c>
      <c r="B347" s="133">
        <v>43005.413194444445</v>
      </c>
      <c r="C347" s="121">
        <v>30975278</v>
      </c>
      <c r="D347" s="121" t="s">
        <v>169</v>
      </c>
      <c r="E347" s="121" t="s">
        <v>170</v>
      </c>
      <c r="F347" s="121" t="s">
        <v>175</v>
      </c>
      <c r="G347" s="121" t="s">
        <v>533</v>
      </c>
      <c r="H347" s="121" t="s">
        <v>172</v>
      </c>
      <c r="I347" s="122"/>
      <c r="J347" s="122">
        <v>195</v>
      </c>
      <c r="K347" s="121">
        <v>8370</v>
      </c>
      <c r="L347" s="192">
        <v>121980.29999999999</v>
      </c>
      <c r="M347" s="123">
        <v>195</v>
      </c>
      <c r="N347" s="123">
        <v>0</v>
      </c>
    </row>
    <row r="348" spans="1:14" x14ac:dyDescent="0.3">
      <c r="A348" s="137">
        <v>63461</v>
      </c>
      <c r="B348" s="133">
        <v>43005.493750000001</v>
      </c>
      <c r="C348" s="121">
        <v>30905830</v>
      </c>
      <c r="D348" s="121" t="s">
        <v>169</v>
      </c>
      <c r="E348" s="121" t="s">
        <v>173</v>
      </c>
      <c r="F348" s="121" t="s">
        <v>194</v>
      </c>
      <c r="G348" s="121" t="s">
        <v>536</v>
      </c>
      <c r="H348" s="121" t="s">
        <v>195</v>
      </c>
      <c r="I348" s="122">
        <v>291455</v>
      </c>
      <c r="J348" s="122"/>
      <c r="K348" s="121">
        <v>1390</v>
      </c>
      <c r="L348" s="192">
        <v>291455</v>
      </c>
      <c r="M348" s="123">
        <v>465.92544041947758</v>
      </c>
      <c r="N348" s="123">
        <v>436254</v>
      </c>
    </row>
    <row r="349" spans="1:14" x14ac:dyDescent="0.3">
      <c r="A349" s="137">
        <v>25097</v>
      </c>
      <c r="B349" s="133">
        <v>43005.552083333336</v>
      </c>
      <c r="C349" s="121">
        <v>30905830</v>
      </c>
      <c r="D349" s="121" t="s">
        <v>169</v>
      </c>
      <c r="E349" s="121" t="s">
        <v>173</v>
      </c>
      <c r="F349" s="121" t="s">
        <v>174</v>
      </c>
      <c r="G349" s="121" t="s">
        <v>537</v>
      </c>
      <c r="H349" s="121" t="s">
        <v>173</v>
      </c>
      <c r="I349" s="122">
        <v>146888</v>
      </c>
      <c r="J349" s="122"/>
      <c r="K349" s="121">
        <v>779117</v>
      </c>
      <c r="L349" s="192">
        <v>146888</v>
      </c>
      <c r="M349" s="123">
        <v>234.81791731943602</v>
      </c>
      <c r="N349" s="123">
        <v>0</v>
      </c>
    </row>
    <row r="350" spans="1:14" x14ac:dyDescent="0.3">
      <c r="A350" s="137">
        <v>49324</v>
      </c>
      <c r="B350" s="133">
        <v>43005.553472222222</v>
      </c>
      <c r="C350" s="121">
        <v>30905830</v>
      </c>
      <c r="D350" s="121" t="s">
        <v>169</v>
      </c>
      <c r="E350" s="121" t="s">
        <v>173</v>
      </c>
      <c r="F350" s="121" t="s">
        <v>175</v>
      </c>
      <c r="G350" s="121" t="s">
        <v>538</v>
      </c>
      <c r="H350" s="121" t="s">
        <v>173</v>
      </c>
      <c r="I350" s="122">
        <v>173573</v>
      </c>
      <c r="J350" s="122"/>
      <c r="K350" s="121">
        <v>15553</v>
      </c>
      <c r="L350" s="192">
        <v>173573</v>
      </c>
      <c r="M350" s="123">
        <v>277.47705982031528</v>
      </c>
      <c r="N350" s="123">
        <v>0</v>
      </c>
    </row>
    <row r="351" spans="1:14" x14ac:dyDescent="0.3">
      <c r="A351" s="137">
        <v>37786</v>
      </c>
      <c r="B351" s="133">
        <v>43005.554166666669</v>
      </c>
      <c r="C351" s="121">
        <v>30905830</v>
      </c>
      <c r="D351" s="121" t="s">
        <v>169</v>
      </c>
      <c r="E351" s="121" t="s">
        <v>173</v>
      </c>
      <c r="F351" s="121" t="s">
        <v>174</v>
      </c>
      <c r="G351" s="121" t="s">
        <v>539</v>
      </c>
      <c r="H351" s="121" t="s">
        <v>173</v>
      </c>
      <c r="I351" s="122">
        <v>173573</v>
      </c>
      <c r="J351" s="122"/>
      <c r="K351" s="121">
        <v>527584</v>
      </c>
      <c r="L351" s="192">
        <v>173573</v>
      </c>
      <c r="M351" s="123">
        <v>277.47705982031528</v>
      </c>
      <c r="N351" s="123">
        <v>0</v>
      </c>
    </row>
    <row r="352" spans="1:14" x14ac:dyDescent="0.3">
      <c r="A352" s="137">
        <v>62881</v>
      </c>
      <c r="B352" s="133">
        <v>43005.556250000001</v>
      </c>
      <c r="C352" s="121">
        <v>30975278</v>
      </c>
      <c r="D352" s="121" t="s">
        <v>169</v>
      </c>
      <c r="E352" s="121" t="s">
        <v>170</v>
      </c>
      <c r="F352" s="121" t="s">
        <v>174</v>
      </c>
      <c r="G352" s="121" t="s">
        <v>540</v>
      </c>
      <c r="H352" s="121" t="s">
        <v>172</v>
      </c>
      <c r="I352" s="122"/>
      <c r="J352" s="122">
        <v>195</v>
      </c>
      <c r="K352" s="121" t="s">
        <v>541</v>
      </c>
      <c r="L352" s="192">
        <v>121980.29999999999</v>
      </c>
      <c r="M352" s="123">
        <v>195</v>
      </c>
      <c r="N352" s="123">
        <v>0</v>
      </c>
    </row>
    <row r="353" spans="1:17" x14ac:dyDescent="0.3">
      <c r="A353" s="137">
        <v>48056</v>
      </c>
      <c r="B353" s="133">
        <v>43005.556944444441</v>
      </c>
      <c r="C353" s="121">
        <v>30975278</v>
      </c>
      <c r="D353" s="121" t="s">
        <v>169</v>
      </c>
      <c r="E353" s="121" t="s">
        <v>170</v>
      </c>
      <c r="F353" s="121" t="s">
        <v>174</v>
      </c>
      <c r="G353" s="121" t="s">
        <v>542</v>
      </c>
      <c r="H353" s="121" t="s">
        <v>172</v>
      </c>
      <c r="I353" s="122"/>
      <c r="J353" s="122">
        <v>195</v>
      </c>
      <c r="K353" s="121">
        <v>25875</v>
      </c>
      <c r="L353" s="192">
        <v>121980.29999999999</v>
      </c>
      <c r="M353" s="123">
        <v>195</v>
      </c>
      <c r="N353" s="123">
        <v>0</v>
      </c>
    </row>
    <row r="354" spans="1:17" x14ac:dyDescent="0.3">
      <c r="A354" s="137">
        <v>66238</v>
      </c>
      <c r="B354" s="133">
        <v>43005.557638888888</v>
      </c>
      <c r="C354" s="121">
        <v>30975278</v>
      </c>
      <c r="D354" s="121" t="s">
        <v>169</v>
      </c>
      <c r="E354" s="121" t="s">
        <v>170</v>
      </c>
      <c r="F354" s="121" t="s">
        <v>171</v>
      </c>
      <c r="G354" s="121" t="s">
        <v>543</v>
      </c>
      <c r="H354" s="121" t="s">
        <v>172</v>
      </c>
      <c r="I354" s="122"/>
      <c r="J354" s="122">
        <v>185</v>
      </c>
      <c r="K354" s="121">
        <v>75</v>
      </c>
      <c r="L354" s="192">
        <v>115724.9</v>
      </c>
      <c r="M354" s="123">
        <v>185</v>
      </c>
      <c r="N354" s="123">
        <v>0</v>
      </c>
    </row>
    <row r="355" spans="1:17" x14ac:dyDescent="0.3">
      <c r="A355" s="137">
        <v>62881</v>
      </c>
      <c r="B355" s="133">
        <v>43005.578472222223</v>
      </c>
      <c r="C355" s="121">
        <v>30975278</v>
      </c>
      <c r="D355" s="121" t="s">
        <v>169</v>
      </c>
      <c r="E355" s="121" t="s">
        <v>170</v>
      </c>
      <c r="F355" s="121" t="s">
        <v>174</v>
      </c>
      <c r="G355" s="121" t="s">
        <v>540</v>
      </c>
      <c r="H355" s="121" t="s">
        <v>172</v>
      </c>
      <c r="I355" s="122"/>
      <c r="J355" s="122">
        <v>440</v>
      </c>
      <c r="K355" s="121" t="s">
        <v>544</v>
      </c>
      <c r="L355" s="192">
        <v>275237.59999999998</v>
      </c>
      <c r="M355" s="123">
        <v>440</v>
      </c>
      <c r="N355" s="123">
        <v>0</v>
      </c>
    </row>
    <row r="356" spans="1:17" x14ac:dyDescent="0.3">
      <c r="A356" s="137">
        <v>93537</v>
      </c>
      <c r="B356" s="133">
        <v>43005.677777777775</v>
      </c>
      <c r="C356" s="121">
        <v>30975278</v>
      </c>
      <c r="D356" s="121" t="s">
        <v>169</v>
      </c>
      <c r="E356" s="121" t="s">
        <v>170</v>
      </c>
      <c r="F356" s="121" t="s">
        <v>175</v>
      </c>
      <c r="G356" s="121" t="s">
        <v>545</v>
      </c>
      <c r="H356" s="121" t="s">
        <v>172</v>
      </c>
      <c r="I356" s="122"/>
      <c r="J356" s="122">
        <v>585</v>
      </c>
      <c r="K356" s="121">
        <v>77535</v>
      </c>
      <c r="L356" s="192">
        <v>365940.89999999997</v>
      </c>
      <c r="M356" s="123">
        <v>585</v>
      </c>
      <c r="N356" s="123">
        <v>487921.19999999995</v>
      </c>
    </row>
    <row r="357" spans="1:17" x14ac:dyDescent="0.3">
      <c r="A357" s="137">
        <v>90447</v>
      </c>
      <c r="B357" s="133">
        <v>43006.385416666664</v>
      </c>
      <c r="C357" s="121">
        <v>30975278</v>
      </c>
      <c r="D357" s="121" t="s">
        <v>169</v>
      </c>
      <c r="E357" s="121" t="s">
        <v>170</v>
      </c>
      <c r="F357" s="121" t="s">
        <v>174</v>
      </c>
      <c r="G357" s="121" t="s">
        <v>442</v>
      </c>
      <c r="H357" s="121" t="s">
        <v>172</v>
      </c>
      <c r="I357" s="122"/>
      <c r="J357" s="122">
        <v>975</v>
      </c>
      <c r="K357" s="121">
        <v>86025</v>
      </c>
      <c r="L357" s="192">
        <v>609901.5</v>
      </c>
      <c r="M357" s="123">
        <v>975</v>
      </c>
      <c r="N357" s="123">
        <v>731881.79999999993</v>
      </c>
    </row>
    <row r="358" spans="1:17" x14ac:dyDescent="0.3">
      <c r="A358" s="137">
        <v>67184</v>
      </c>
      <c r="B358" s="133">
        <v>43006.511111111111</v>
      </c>
      <c r="C358" s="121">
        <v>30975278</v>
      </c>
      <c r="D358" s="121" t="s">
        <v>169</v>
      </c>
      <c r="E358" s="121" t="s">
        <v>170</v>
      </c>
      <c r="F358" s="121" t="s">
        <v>174</v>
      </c>
      <c r="G358" s="121" t="s">
        <v>458</v>
      </c>
      <c r="H358" s="121" t="s">
        <v>172</v>
      </c>
      <c r="I358" s="122"/>
      <c r="J358" s="122">
        <v>527</v>
      </c>
      <c r="K358" s="121">
        <v>68206</v>
      </c>
      <c r="L358" s="192">
        <v>329659.57999999996</v>
      </c>
      <c r="M358" s="123">
        <v>527</v>
      </c>
      <c r="N358" s="123">
        <v>439754.62</v>
      </c>
    </row>
    <row r="359" spans="1:17" x14ac:dyDescent="0.3">
      <c r="A359" s="137">
        <v>60068</v>
      </c>
      <c r="B359" s="133">
        <v>43006.554861111108</v>
      </c>
      <c r="C359" s="121">
        <v>30975278</v>
      </c>
      <c r="D359" s="121" t="s">
        <v>169</v>
      </c>
      <c r="E359" s="121" t="s">
        <v>170</v>
      </c>
      <c r="F359" s="121" t="s">
        <v>174</v>
      </c>
      <c r="G359" s="121" t="s">
        <v>546</v>
      </c>
      <c r="H359" s="121" t="s">
        <v>172</v>
      </c>
      <c r="I359" s="122"/>
      <c r="J359" s="122">
        <v>198</v>
      </c>
      <c r="K359" s="121">
        <v>104632</v>
      </c>
      <c r="L359" s="192">
        <v>123856.92</v>
      </c>
      <c r="M359" s="123">
        <v>198</v>
      </c>
      <c r="N359" s="123">
        <v>0</v>
      </c>
    </row>
    <row r="360" spans="1:17" x14ac:dyDescent="0.3">
      <c r="A360" s="137">
        <v>33337</v>
      </c>
      <c r="B360" s="133">
        <v>43006.555555555555</v>
      </c>
      <c r="C360" s="121">
        <v>30975278</v>
      </c>
      <c r="D360" s="121" t="s">
        <v>169</v>
      </c>
      <c r="E360" s="121" t="s">
        <v>170</v>
      </c>
      <c r="F360" s="121" t="s">
        <v>171</v>
      </c>
      <c r="G360" s="121" t="s">
        <v>547</v>
      </c>
      <c r="H360" s="121" t="s">
        <v>172</v>
      </c>
      <c r="I360" s="122"/>
      <c r="J360" s="122">
        <v>220</v>
      </c>
      <c r="K360" s="121">
        <v>12</v>
      </c>
      <c r="L360" s="192">
        <v>137618.79999999999</v>
      </c>
      <c r="M360" s="123">
        <v>220</v>
      </c>
      <c r="N360" s="123">
        <v>0</v>
      </c>
      <c r="Q360" s="274" t="str">
        <f t="shared" ref="Q360:Q364" si="0">CONCATENATE(MID(B360,1,2),"-",MID(B360,4,2),"-",MID(B360,7,4))</f>
        <v>43-06-5555</v>
      </c>
    </row>
    <row r="361" spans="1:17" x14ac:dyDescent="0.3">
      <c r="A361" s="137">
        <v>84347</v>
      </c>
      <c r="B361" s="133">
        <v>43006.560416666667</v>
      </c>
      <c r="C361" s="121">
        <v>30975278</v>
      </c>
      <c r="D361" s="121" t="s">
        <v>169</v>
      </c>
      <c r="E361" s="121" t="s">
        <v>170</v>
      </c>
      <c r="F361" s="121" t="s">
        <v>174</v>
      </c>
      <c r="G361" s="121" t="s">
        <v>496</v>
      </c>
      <c r="H361" s="121" t="s">
        <v>172</v>
      </c>
      <c r="I361" s="122"/>
      <c r="J361" s="122">
        <v>1667</v>
      </c>
      <c r="K361" s="121">
        <v>179083</v>
      </c>
      <c r="L361" s="192">
        <v>1042775.1799999999</v>
      </c>
      <c r="M361" s="123">
        <v>1667</v>
      </c>
      <c r="N361" s="123">
        <v>0</v>
      </c>
      <c r="Q361" s="274" t="str">
        <f t="shared" si="0"/>
        <v>43-06-5604</v>
      </c>
    </row>
    <row r="362" spans="1:17" x14ac:dyDescent="0.3">
      <c r="A362" s="137">
        <v>61206</v>
      </c>
      <c r="B362" s="133">
        <v>43007.315972222219</v>
      </c>
      <c r="C362" s="121">
        <v>30975278</v>
      </c>
      <c r="D362" s="121" t="s">
        <v>169</v>
      </c>
      <c r="E362" s="121" t="s">
        <v>170</v>
      </c>
      <c r="F362" s="121" t="s">
        <v>174</v>
      </c>
      <c r="G362" s="121" t="s">
        <v>446</v>
      </c>
      <c r="H362" s="121" t="s">
        <v>172</v>
      </c>
      <c r="I362" s="122"/>
      <c r="J362" s="122">
        <v>527</v>
      </c>
      <c r="K362" s="121">
        <v>670228</v>
      </c>
      <c r="L362" s="192">
        <v>329659.57999999996</v>
      </c>
      <c r="M362" s="123">
        <v>527</v>
      </c>
      <c r="N362" s="123">
        <v>439754.62</v>
      </c>
      <c r="Q362" s="274" t="str">
        <f t="shared" si="0"/>
        <v>43-07-3159</v>
      </c>
    </row>
    <row r="363" spans="1:17" x14ac:dyDescent="0.3">
      <c r="A363" s="137">
        <v>49685</v>
      </c>
      <c r="B363" s="133">
        <v>43007.361805555556</v>
      </c>
      <c r="C363" s="121">
        <v>30975278</v>
      </c>
      <c r="D363" s="121" t="s">
        <v>169</v>
      </c>
      <c r="E363" s="121" t="s">
        <v>170</v>
      </c>
      <c r="F363" s="121" t="s">
        <v>171</v>
      </c>
      <c r="G363" s="121" t="s">
        <v>548</v>
      </c>
      <c r="H363" s="121" t="s">
        <v>172</v>
      </c>
      <c r="I363" s="122"/>
      <c r="J363" s="122">
        <v>198</v>
      </c>
      <c r="K363" s="121">
        <v>13</v>
      </c>
      <c r="L363" s="192">
        <v>123856.92</v>
      </c>
      <c r="M363" s="123">
        <v>198</v>
      </c>
      <c r="N363" s="123">
        <v>0</v>
      </c>
      <c r="Q363" s="274" t="str">
        <f t="shared" si="0"/>
        <v>43-07-3618</v>
      </c>
    </row>
    <row r="364" spans="1:17" x14ac:dyDescent="0.3">
      <c r="A364" s="137">
        <v>81492</v>
      </c>
      <c r="B364" s="133">
        <v>43007.365972222222</v>
      </c>
      <c r="C364" s="121">
        <v>30905830</v>
      </c>
      <c r="D364" s="121" t="s">
        <v>169</v>
      </c>
      <c r="E364" s="121" t="s">
        <v>173</v>
      </c>
      <c r="F364" s="121" t="s">
        <v>174</v>
      </c>
      <c r="G364" s="121" t="s">
        <v>549</v>
      </c>
      <c r="H364" s="121" t="s">
        <v>173</v>
      </c>
      <c r="I364" s="122">
        <v>166767</v>
      </c>
      <c r="J364" s="122"/>
      <c r="K364" s="121">
        <v>829704</v>
      </c>
      <c r="L364" s="192">
        <v>166767</v>
      </c>
      <c r="M364" s="123">
        <v>266.59686031268984</v>
      </c>
      <c r="N364" s="123">
        <v>0</v>
      </c>
      <c r="Q364" s="274" t="str">
        <f t="shared" si="0"/>
        <v>43-07-3659</v>
      </c>
    </row>
    <row r="365" spans="1:17" x14ac:dyDescent="0.3">
      <c r="A365" s="137">
        <v>2656</v>
      </c>
      <c r="B365" s="133">
        <v>43007.393055555556</v>
      </c>
      <c r="C365" s="121">
        <v>30905830</v>
      </c>
      <c r="D365" s="121" t="s">
        <v>169</v>
      </c>
      <c r="E365" s="121" t="s">
        <v>173</v>
      </c>
      <c r="F365" s="121" t="s">
        <v>174</v>
      </c>
      <c r="G365" s="121" t="s">
        <v>550</v>
      </c>
      <c r="H365" s="121" t="s">
        <v>173</v>
      </c>
      <c r="I365" s="122">
        <v>140425</v>
      </c>
      <c r="J365" s="122"/>
      <c r="K365" s="121">
        <v>199049</v>
      </c>
      <c r="L365" s="192">
        <v>140425</v>
      </c>
      <c r="M365" s="123">
        <v>224.48604405793395</v>
      </c>
      <c r="N365" s="123">
        <v>0</v>
      </c>
      <c r="Q365" s="274" t="str">
        <f>CONCATENATE(MID(B365,1,2),"-",MID(B365,4,2),"-",MID(B365,7,4))</f>
        <v>43-07-3930</v>
      </c>
    </row>
    <row r="366" spans="1:17" x14ac:dyDescent="0.3">
      <c r="A366" s="137">
        <v>32395</v>
      </c>
      <c r="B366" s="133">
        <v>43007.50277777778</v>
      </c>
      <c r="C366" s="121">
        <v>30905830</v>
      </c>
      <c r="D366" s="121" t="s">
        <v>169</v>
      </c>
      <c r="E366" s="121" t="s">
        <v>173</v>
      </c>
      <c r="F366" s="121" t="s">
        <v>174</v>
      </c>
      <c r="G366" s="121" t="s">
        <v>551</v>
      </c>
      <c r="H366" s="121" t="s">
        <v>173</v>
      </c>
      <c r="I366" s="122">
        <v>148048</v>
      </c>
      <c r="J366" s="122"/>
      <c r="K366" s="121">
        <v>8370</v>
      </c>
      <c r="L366" s="192">
        <v>148048</v>
      </c>
      <c r="M366" s="123">
        <v>236.67231511973657</v>
      </c>
      <c r="N366" s="123">
        <v>290991</v>
      </c>
    </row>
    <row r="367" spans="1:17" x14ac:dyDescent="0.3">
      <c r="A367" s="137">
        <v>14148</v>
      </c>
      <c r="B367" s="133">
        <v>43007.573611111111</v>
      </c>
      <c r="C367" s="121">
        <v>30905830</v>
      </c>
      <c r="D367" s="121" t="s">
        <v>169</v>
      </c>
      <c r="E367" s="121" t="s">
        <v>173</v>
      </c>
      <c r="F367" s="121" t="s">
        <v>175</v>
      </c>
      <c r="G367" s="121" t="s">
        <v>552</v>
      </c>
      <c r="H367" s="121" t="s">
        <v>173</v>
      </c>
      <c r="I367" s="122">
        <v>167028</v>
      </c>
      <c r="J367" s="122"/>
      <c r="K367" s="121">
        <v>126042</v>
      </c>
      <c r="L367" s="192">
        <v>167028</v>
      </c>
      <c r="M367" s="123">
        <v>267.01409981775748</v>
      </c>
      <c r="N367" s="123">
        <v>0</v>
      </c>
    </row>
    <row r="368" spans="1:17" x14ac:dyDescent="0.3">
      <c r="A368" s="137">
        <v>28442</v>
      </c>
      <c r="B368" s="133">
        <v>43007.807638888888</v>
      </c>
      <c r="C368" s="121">
        <v>30975278</v>
      </c>
      <c r="D368" s="121" t="s">
        <v>169</v>
      </c>
      <c r="E368" s="121" t="s">
        <v>170</v>
      </c>
      <c r="F368" s="121" t="s">
        <v>175</v>
      </c>
      <c r="G368" s="121" t="s">
        <v>449</v>
      </c>
      <c r="H368" s="121" t="s">
        <v>172</v>
      </c>
      <c r="I368" s="122"/>
      <c r="J368" s="122">
        <v>195</v>
      </c>
      <c r="K368" s="121">
        <v>287279</v>
      </c>
      <c r="L368" s="192">
        <v>121980.29999999999</v>
      </c>
      <c r="M368" s="123">
        <v>195</v>
      </c>
      <c r="N368" s="123">
        <v>243960.59999999998</v>
      </c>
    </row>
    <row r="369" spans="1:14" x14ac:dyDescent="0.3">
      <c r="A369" s="137">
        <v>66239</v>
      </c>
      <c r="B369" s="133">
        <v>43008.339583333334</v>
      </c>
      <c r="C369" s="121">
        <v>30975278</v>
      </c>
      <c r="D369" s="121" t="s">
        <v>169</v>
      </c>
      <c r="E369" s="121" t="s">
        <v>170</v>
      </c>
      <c r="F369" s="121" t="s">
        <v>171</v>
      </c>
      <c r="G369" s="121" t="s">
        <v>543</v>
      </c>
      <c r="H369" s="121" t="s">
        <v>172</v>
      </c>
      <c r="I369" s="122"/>
      <c r="J369" s="122">
        <v>185</v>
      </c>
      <c r="K369" s="121">
        <v>31</v>
      </c>
      <c r="L369" s="192">
        <v>115724.9</v>
      </c>
      <c r="M369" s="123">
        <v>185</v>
      </c>
      <c r="N369" s="123">
        <v>0</v>
      </c>
    </row>
    <row r="370" spans="1:14" x14ac:dyDescent="0.3">
      <c r="A370" s="137">
        <v>30193</v>
      </c>
      <c r="B370" s="133">
        <v>43008.341666666667</v>
      </c>
      <c r="C370" s="121">
        <v>30905830</v>
      </c>
      <c r="D370" s="121" t="s">
        <v>169</v>
      </c>
      <c r="E370" s="121" t="s">
        <v>173</v>
      </c>
      <c r="F370" s="121" t="s">
        <v>174</v>
      </c>
      <c r="G370" s="121" t="s">
        <v>553</v>
      </c>
      <c r="H370" s="121" t="s">
        <v>173</v>
      </c>
      <c r="I370" s="122">
        <v>167028</v>
      </c>
      <c r="J370" s="122"/>
      <c r="K370" s="121">
        <v>607633</v>
      </c>
      <c r="L370" s="192">
        <v>167028</v>
      </c>
      <c r="M370" s="123">
        <v>267.01409981775748</v>
      </c>
      <c r="N370" s="123">
        <v>0</v>
      </c>
    </row>
    <row r="371" spans="1:14" x14ac:dyDescent="0.3">
      <c r="A371" s="137">
        <v>22946</v>
      </c>
      <c r="B371" s="133">
        <v>43008.342361111114</v>
      </c>
      <c r="C371" s="121">
        <v>30905830</v>
      </c>
      <c r="D371" s="121" t="s">
        <v>169</v>
      </c>
      <c r="E371" s="121" t="s">
        <v>173</v>
      </c>
      <c r="F371" s="121" t="s">
        <v>175</v>
      </c>
      <c r="G371" s="121" t="s">
        <v>554</v>
      </c>
      <c r="H371" s="121" t="s">
        <v>173</v>
      </c>
      <c r="I371" s="122">
        <v>148048</v>
      </c>
      <c r="J371" s="122"/>
      <c r="K371" s="121">
        <v>641085</v>
      </c>
      <c r="L371" s="192">
        <v>148048</v>
      </c>
      <c r="M371" s="123">
        <v>236.67231511973657</v>
      </c>
      <c r="N371" s="123">
        <v>148048</v>
      </c>
    </row>
    <row r="372" spans="1:14" x14ac:dyDescent="0.3">
      <c r="A372" s="137">
        <v>6585</v>
      </c>
      <c r="B372" s="133">
        <v>43008.755555555559</v>
      </c>
      <c r="C372" s="121">
        <v>30975278</v>
      </c>
      <c r="D372" s="121" t="s">
        <v>169</v>
      </c>
      <c r="E372" s="121" t="s">
        <v>170</v>
      </c>
      <c r="F372" s="121" t="s">
        <v>174</v>
      </c>
      <c r="G372" s="121" t="s">
        <v>555</v>
      </c>
      <c r="H372" s="121" t="s">
        <v>172</v>
      </c>
      <c r="I372" s="122"/>
      <c r="J372" s="122">
        <v>390</v>
      </c>
      <c r="K372" s="121">
        <v>54358</v>
      </c>
      <c r="L372" s="192">
        <v>243960.59999999998</v>
      </c>
      <c r="M372" s="123">
        <v>390</v>
      </c>
      <c r="N372" s="123">
        <v>609901.5</v>
      </c>
    </row>
    <row r="373" spans="1:14" x14ac:dyDescent="0.3">
      <c r="A373" s="137">
        <v>6585</v>
      </c>
      <c r="B373" s="133">
        <v>43008.755555555559</v>
      </c>
      <c r="C373" s="121">
        <v>30975278</v>
      </c>
      <c r="D373" s="121" t="s">
        <v>169</v>
      </c>
      <c r="E373" s="121" t="s">
        <v>170</v>
      </c>
      <c r="F373" s="121" t="s">
        <v>174</v>
      </c>
      <c r="G373" s="121" t="s">
        <v>556</v>
      </c>
      <c r="H373" s="121" t="s">
        <v>172</v>
      </c>
      <c r="I373" s="122"/>
      <c r="J373" s="122">
        <v>390</v>
      </c>
      <c r="K373" s="121">
        <v>55220</v>
      </c>
      <c r="L373" s="192">
        <v>243960.59999999998</v>
      </c>
      <c r="M373" s="123">
        <v>390</v>
      </c>
      <c r="N373" s="123">
        <v>609901.5</v>
      </c>
    </row>
    <row r="374" spans="1:14" x14ac:dyDescent="0.3">
      <c r="A374" s="137"/>
      <c r="B374" s="133"/>
      <c r="C374" s="121"/>
      <c r="D374" s="121"/>
      <c r="E374" s="121"/>
      <c r="F374" s="121"/>
      <c r="G374" s="121"/>
      <c r="H374" s="121"/>
      <c r="I374" s="122"/>
      <c r="J374" s="122"/>
      <c r="K374" s="121"/>
      <c r="L374" s="192"/>
      <c r="M374" s="123"/>
      <c r="N374" s="123"/>
    </row>
    <row r="375" spans="1:14" x14ac:dyDescent="0.3">
      <c r="A375" s="137"/>
      <c r="B375" s="133"/>
      <c r="C375" s="121"/>
      <c r="D375" s="121"/>
      <c r="E375" s="121"/>
      <c r="F375" s="121"/>
      <c r="G375" s="121"/>
      <c r="H375" s="121"/>
      <c r="I375" s="122"/>
      <c r="J375" s="122"/>
      <c r="K375" s="121"/>
      <c r="L375" s="192"/>
      <c r="M375" s="123"/>
      <c r="N375" s="123"/>
    </row>
    <row r="376" spans="1:14" x14ac:dyDescent="0.3">
      <c r="A376" s="137">
        <v>29193</v>
      </c>
      <c r="B376" s="133">
        <v>42966.393750000003</v>
      </c>
      <c r="C376" s="121">
        <v>30975278</v>
      </c>
      <c r="D376" s="121" t="s">
        <v>169</v>
      </c>
      <c r="E376" s="121" t="s">
        <v>170</v>
      </c>
      <c r="F376" s="121" t="s">
        <v>175</v>
      </c>
      <c r="G376" s="121" t="s">
        <v>421</v>
      </c>
      <c r="H376" s="121" t="s">
        <v>172</v>
      </c>
      <c r="I376" s="122"/>
      <c r="J376" s="122">
        <v>858</v>
      </c>
      <c r="K376" s="121">
        <v>452863</v>
      </c>
      <c r="L376" s="322">
        <f>I376+J376*EERR!$D$2</f>
        <v>540111</v>
      </c>
      <c r="M376" s="123">
        <f>L376/EERR!$D$2</f>
        <v>858</v>
      </c>
      <c r="N376" s="123">
        <f>SUMIF(Oct!$B$3:$B$89,A376,Oct!$T$3:$T$89)</f>
        <v>1080222</v>
      </c>
    </row>
    <row r="377" spans="1:14" x14ac:dyDescent="0.3">
      <c r="A377" s="137">
        <v>26576</v>
      </c>
      <c r="B377" s="133">
        <v>42966.395833333336</v>
      </c>
      <c r="C377" s="121">
        <v>30975278</v>
      </c>
      <c r="D377" s="121" t="s">
        <v>169</v>
      </c>
      <c r="E377" s="121" t="s">
        <v>170</v>
      </c>
      <c r="F377" s="121" t="s">
        <v>175</v>
      </c>
      <c r="G377" s="121" t="s">
        <v>421</v>
      </c>
      <c r="H377" s="121" t="s">
        <v>172</v>
      </c>
      <c r="I377" s="122"/>
      <c r="J377" s="122">
        <v>176</v>
      </c>
      <c r="K377" s="121">
        <v>457193</v>
      </c>
      <c r="L377" s="322">
        <f>I377+J377*EERR!$D$2</f>
        <v>110792</v>
      </c>
      <c r="M377" s="123">
        <f>L377/EERR!$D$2</f>
        <v>176</v>
      </c>
      <c r="N377" s="123">
        <f>SUMIF(Oct!$B$3:$B$89,A377,Oct!$T$3:$T$89)</f>
        <v>110477.25</v>
      </c>
    </row>
    <row r="378" spans="1:14" x14ac:dyDescent="0.3">
      <c r="A378" s="137">
        <v>85375</v>
      </c>
      <c r="B378" s="133">
        <v>42966.393750000003</v>
      </c>
      <c r="C378" s="121">
        <v>30975278</v>
      </c>
      <c r="D378" s="121" t="s">
        <v>169</v>
      </c>
      <c r="E378" s="121" t="s">
        <v>170</v>
      </c>
      <c r="F378" s="121" t="s">
        <v>175</v>
      </c>
      <c r="G378" s="121" t="s">
        <v>421</v>
      </c>
      <c r="H378" s="121" t="s">
        <v>172</v>
      </c>
      <c r="I378" s="122"/>
      <c r="J378" s="122">
        <v>463</v>
      </c>
      <c r="K378" s="121">
        <v>454233</v>
      </c>
      <c r="L378" s="322">
        <f>I378+J378*EERR!$D$2</f>
        <v>291458.5</v>
      </c>
      <c r="M378" s="123">
        <f>L378/EERR!$D$2</f>
        <v>463</v>
      </c>
      <c r="N378" s="123">
        <f>SUMIF(Oct!$B$3:$B$89,A378,Oct!$T$3:$T$89)</f>
        <v>0</v>
      </c>
    </row>
    <row r="379" spans="1:14" x14ac:dyDescent="0.3">
      <c r="A379" s="137">
        <v>85371</v>
      </c>
      <c r="B379" s="133">
        <v>42966.395138888889</v>
      </c>
      <c r="C379" s="121">
        <v>30975278</v>
      </c>
      <c r="D379" s="121" t="s">
        <v>169</v>
      </c>
      <c r="E379" s="121" t="s">
        <v>170</v>
      </c>
      <c r="F379" s="121" t="s">
        <v>175</v>
      </c>
      <c r="G379" s="121" t="s">
        <v>421</v>
      </c>
      <c r="H379" s="121" t="s">
        <v>172</v>
      </c>
      <c r="I379" s="122"/>
      <c r="J379" s="122">
        <v>463</v>
      </c>
      <c r="K379" s="121">
        <v>455630</v>
      </c>
      <c r="L379" s="322">
        <f>I379+J379*EERR!$D$2</f>
        <v>291458.5</v>
      </c>
      <c r="M379" s="123">
        <f>L379/EERR!$D$2</f>
        <v>463</v>
      </c>
      <c r="N379" s="123">
        <f>SUMIF(Oct!$B$3:$B$89,A379,Oct!$T$3:$T$89)</f>
        <v>0</v>
      </c>
    </row>
    <row r="380" spans="1:14" x14ac:dyDescent="0.3">
      <c r="A380" s="137"/>
      <c r="B380" s="133"/>
      <c r="C380" s="121"/>
      <c r="D380" s="121"/>
      <c r="E380" s="121"/>
      <c r="F380" s="121"/>
      <c r="G380" s="121"/>
      <c r="H380" s="121"/>
      <c r="I380" s="122"/>
      <c r="J380" s="122"/>
      <c r="K380" s="121"/>
      <c r="L380" s="322">
        <f>I380+J380*EERR!$D$2</f>
        <v>0</v>
      </c>
      <c r="M380" s="123">
        <f>L380/EERR!$D$2</f>
        <v>0</v>
      </c>
      <c r="N380" s="123">
        <f>SUMIF(Oct!$B$3:$B$89,A380,Oct!$T$3:$T$89)</f>
        <v>0</v>
      </c>
    </row>
    <row r="381" spans="1:14" x14ac:dyDescent="0.3">
      <c r="A381" s="137"/>
      <c r="B381" s="133"/>
      <c r="C381" s="121"/>
      <c r="D381" s="121"/>
      <c r="E381" s="121"/>
      <c r="F381" s="121"/>
      <c r="G381" s="121"/>
      <c r="H381" s="121"/>
      <c r="I381" s="122"/>
      <c r="J381" s="122"/>
      <c r="K381" s="121"/>
      <c r="L381" s="192"/>
      <c r="M381" s="123"/>
      <c r="N381" s="123"/>
    </row>
    <row r="382" spans="1:14" x14ac:dyDescent="0.3">
      <c r="A382" s="137"/>
      <c r="B382" s="133"/>
      <c r="C382" s="121"/>
      <c r="D382" s="121"/>
      <c r="E382" s="121"/>
      <c r="F382" s="121"/>
      <c r="G382" s="121"/>
      <c r="H382" s="121"/>
      <c r="I382" s="122"/>
      <c r="J382" s="122"/>
      <c r="K382" s="121"/>
      <c r="L382" s="192"/>
      <c r="M382" s="123"/>
      <c r="N382" s="123"/>
    </row>
    <row r="383" spans="1:14" x14ac:dyDescent="0.3">
      <c r="A383" s="137"/>
      <c r="B383" s="133"/>
      <c r="C383" s="121"/>
      <c r="D383" s="121"/>
      <c r="E383" s="121"/>
      <c r="F383" s="121"/>
      <c r="G383" s="121"/>
      <c r="H383" s="121"/>
      <c r="I383" s="122"/>
      <c r="J383" s="122"/>
      <c r="K383" s="121"/>
      <c r="L383" s="192"/>
      <c r="M383" s="123"/>
      <c r="N383" s="123"/>
    </row>
    <row r="384" spans="1:14" x14ac:dyDescent="0.3">
      <c r="A384" s="137"/>
      <c r="B384" s="133"/>
      <c r="C384" s="121"/>
      <c r="D384" s="121"/>
      <c r="E384" s="121"/>
      <c r="F384" s="121"/>
      <c r="G384" s="121"/>
      <c r="H384" s="121"/>
      <c r="I384" s="122"/>
      <c r="J384" s="122"/>
      <c r="K384" s="121"/>
      <c r="L384" s="192"/>
      <c r="M384" s="123"/>
      <c r="N384" s="123"/>
    </row>
    <row r="385" spans="1:14" x14ac:dyDescent="0.3">
      <c r="A385" s="137"/>
      <c r="B385" s="133"/>
      <c r="C385" s="121"/>
      <c r="D385" s="121"/>
      <c r="E385" s="121"/>
      <c r="F385" s="121"/>
      <c r="G385" s="121"/>
      <c r="H385" s="121"/>
      <c r="I385" s="122"/>
      <c r="J385" s="122"/>
      <c r="K385" s="121"/>
      <c r="L385" s="192"/>
      <c r="M385" s="123"/>
      <c r="N385" s="123"/>
    </row>
    <row r="386" spans="1:14" x14ac:dyDescent="0.3">
      <c r="A386" s="137"/>
      <c r="B386" s="133"/>
      <c r="C386" s="121"/>
      <c r="D386" s="121"/>
      <c r="E386" s="121"/>
      <c r="F386" s="121"/>
      <c r="G386" s="121"/>
      <c r="H386" s="121"/>
      <c r="I386" s="122"/>
      <c r="J386" s="122"/>
      <c r="K386" s="121"/>
      <c r="L386" s="192"/>
      <c r="M386" s="123"/>
      <c r="N386" s="123"/>
    </row>
    <row r="387" spans="1:14" x14ac:dyDescent="0.3">
      <c r="A387" s="137"/>
      <c r="B387" s="133"/>
      <c r="C387" s="121"/>
      <c r="D387" s="121"/>
      <c r="E387" s="121"/>
      <c r="F387" s="121"/>
      <c r="G387" s="121"/>
      <c r="H387" s="121"/>
      <c r="I387" s="122"/>
      <c r="J387" s="122"/>
      <c r="K387" s="121"/>
      <c r="L387" s="192"/>
      <c r="M387" s="123"/>
      <c r="N387" s="123"/>
    </row>
    <row r="388" spans="1:14" x14ac:dyDescent="0.3">
      <c r="A388" s="137"/>
      <c r="B388" s="133"/>
      <c r="C388" s="121"/>
      <c r="D388" s="121"/>
      <c r="E388" s="121"/>
      <c r="F388" s="121"/>
      <c r="G388" s="121"/>
      <c r="H388" s="121"/>
      <c r="I388" s="122"/>
      <c r="J388" s="122"/>
      <c r="K388" s="121"/>
      <c r="L388" s="192"/>
      <c r="M388" s="123"/>
      <c r="N388" s="123"/>
    </row>
    <row r="389" spans="1:14" x14ac:dyDescent="0.3">
      <c r="A389" s="137"/>
      <c r="B389" s="133"/>
      <c r="C389" s="121"/>
      <c r="D389" s="121"/>
      <c r="E389" s="121"/>
      <c r="F389" s="121"/>
      <c r="G389" s="121"/>
      <c r="H389" s="121"/>
      <c r="I389" s="122"/>
      <c r="J389" s="122"/>
      <c r="K389" s="121"/>
      <c r="L389" s="192"/>
      <c r="M389" s="123"/>
      <c r="N389" s="123"/>
    </row>
    <row r="390" spans="1:14" x14ac:dyDescent="0.3">
      <c r="A390" s="137"/>
      <c r="B390" s="133"/>
      <c r="C390" s="121"/>
      <c r="D390" s="121"/>
      <c r="E390" s="121"/>
      <c r="F390" s="121"/>
      <c r="G390" s="121"/>
      <c r="H390" s="121"/>
      <c r="I390" s="122"/>
      <c r="J390" s="122"/>
      <c r="K390" s="121"/>
      <c r="L390" s="192"/>
      <c r="M390" s="123"/>
      <c r="N390" s="123"/>
    </row>
    <row r="391" spans="1:14" x14ac:dyDescent="0.3">
      <c r="A391" s="137"/>
      <c r="B391" s="133"/>
      <c r="C391" s="121"/>
      <c r="D391" s="121"/>
      <c r="E391" s="121"/>
      <c r="F391" s="121"/>
      <c r="G391" s="121"/>
      <c r="H391" s="121"/>
      <c r="I391" s="122"/>
      <c r="J391" s="122"/>
      <c r="K391" s="121"/>
      <c r="L391" s="192"/>
      <c r="M391" s="123"/>
      <c r="N391" s="123"/>
    </row>
    <row r="392" spans="1:14" x14ac:dyDescent="0.3">
      <c r="A392" s="137"/>
      <c r="B392" s="133"/>
      <c r="C392" s="121"/>
      <c r="D392" s="121"/>
      <c r="E392" s="121"/>
      <c r="F392" s="121"/>
      <c r="G392" s="121"/>
      <c r="H392" s="121"/>
      <c r="I392" s="122"/>
      <c r="J392" s="122"/>
      <c r="K392" s="121"/>
      <c r="L392" s="192"/>
      <c r="M392" s="123"/>
      <c r="N392" s="123"/>
    </row>
    <row r="393" spans="1:14" x14ac:dyDescent="0.3">
      <c r="A393" s="137"/>
      <c r="B393" s="133"/>
      <c r="C393" s="121"/>
      <c r="D393" s="121"/>
      <c r="E393" s="121"/>
      <c r="F393" s="121"/>
      <c r="G393" s="121"/>
      <c r="H393" s="121"/>
      <c r="I393" s="122"/>
      <c r="J393" s="122"/>
      <c r="K393" s="121"/>
      <c r="L393" s="192"/>
      <c r="M393" s="123"/>
      <c r="N393" s="123"/>
    </row>
    <row r="394" spans="1:14" x14ac:dyDescent="0.3">
      <c r="A394" s="137"/>
      <c r="B394" s="133"/>
      <c r="C394" s="121"/>
      <c r="D394" s="121"/>
      <c r="E394" s="121"/>
      <c r="F394" s="121"/>
      <c r="G394" s="121"/>
      <c r="H394" s="121"/>
      <c r="I394" s="122"/>
      <c r="J394" s="122"/>
      <c r="K394" s="121"/>
      <c r="L394" s="192"/>
      <c r="M394" s="123"/>
      <c r="N394" s="123"/>
    </row>
    <row r="395" spans="1:14" x14ac:dyDescent="0.3">
      <c r="A395" s="137"/>
      <c r="B395" s="133"/>
      <c r="C395" s="121"/>
      <c r="D395" s="121"/>
      <c r="E395" s="121"/>
      <c r="F395" s="121"/>
      <c r="G395" s="121"/>
      <c r="H395" s="121"/>
      <c r="I395" s="122"/>
      <c r="J395" s="122"/>
      <c r="K395" s="121"/>
      <c r="L395" s="192"/>
      <c r="M395" s="123"/>
      <c r="N395" s="123"/>
    </row>
    <row r="396" spans="1:14" x14ac:dyDescent="0.3">
      <c r="A396" s="137"/>
      <c r="B396" s="133"/>
      <c r="C396" s="121"/>
      <c r="D396" s="121"/>
      <c r="E396" s="121"/>
      <c r="F396" s="121"/>
      <c r="G396" s="121"/>
      <c r="H396" s="121"/>
      <c r="I396" s="122"/>
      <c r="J396" s="122"/>
      <c r="K396" s="121"/>
      <c r="L396" s="192"/>
      <c r="M396" s="123"/>
      <c r="N396" s="123"/>
    </row>
    <row r="397" spans="1:14" x14ac:dyDescent="0.3">
      <c r="A397" s="137"/>
      <c r="B397" s="133"/>
      <c r="C397" s="121"/>
      <c r="D397" s="121"/>
      <c r="E397" s="121"/>
      <c r="F397" s="121"/>
      <c r="G397" s="121"/>
      <c r="H397" s="121"/>
      <c r="I397" s="122"/>
      <c r="J397" s="122"/>
      <c r="K397" s="121"/>
      <c r="L397" s="192"/>
      <c r="M397" s="123"/>
      <c r="N397" s="123"/>
    </row>
    <row r="398" spans="1:14" x14ac:dyDescent="0.3">
      <c r="A398" s="137"/>
      <c r="B398" s="133"/>
      <c r="C398" s="121"/>
      <c r="D398" s="121"/>
      <c r="E398" s="121"/>
      <c r="F398" s="121"/>
      <c r="G398" s="121"/>
      <c r="H398" s="121"/>
      <c r="I398" s="122"/>
      <c r="J398" s="122"/>
      <c r="K398" s="121"/>
      <c r="L398" s="192"/>
      <c r="M398" s="123"/>
      <c r="N398" s="123"/>
    </row>
    <row r="399" spans="1:14" x14ac:dyDescent="0.3">
      <c r="A399" s="137"/>
      <c r="B399" s="133"/>
      <c r="C399" s="121"/>
      <c r="D399" s="121"/>
      <c r="E399" s="121"/>
      <c r="F399" s="121"/>
      <c r="G399" s="121"/>
      <c r="H399" s="121"/>
      <c r="I399" s="122"/>
      <c r="J399" s="122"/>
      <c r="K399" s="121"/>
      <c r="L399" s="192"/>
      <c r="M399" s="123"/>
      <c r="N399" s="123"/>
    </row>
    <row r="400" spans="1:14" x14ac:dyDescent="0.3">
      <c r="A400" s="137"/>
      <c r="B400" s="133"/>
      <c r="C400" s="121"/>
      <c r="D400" s="121"/>
      <c r="E400" s="121"/>
      <c r="F400" s="121"/>
      <c r="G400" s="121"/>
      <c r="H400" s="121"/>
      <c r="I400" s="122"/>
      <c r="J400" s="122"/>
      <c r="K400" s="121"/>
      <c r="L400" s="192"/>
      <c r="M400" s="123"/>
      <c r="N400" s="123"/>
    </row>
    <row r="401" spans="1:14" x14ac:dyDescent="0.3">
      <c r="A401" s="137"/>
      <c r="B401" s="133"/>
      <c r="C401" s="121"/>
      <c r="D401" s="121"/>
      <c r="E401" s="121"/>
      <c r="F401" s="121"/>
      <c r="G401" s="121"/>
      <c r="H401" s="121"/>
      <c r="I401" s="122"/>
      <c r="J401" s="122"/>
      <c r="K401" s="121"/>
      <c r="L401" s="192"/>
      <c r="M401" s="123"/>
      <c r="N401" s="123"/>
    </row>
    <row r="402" spans="1:14" x14ac:dyDescent="0.3">
      <c r="A402" s="137"/>
      <c r="B402" s="133"/>
      <c r="C402" s="121"/>
      <c r="D402" s="121"/>
      <c r="E402" s="121"/>
      <c r="F402" s="121"/>
      <c r="G402" s="121"/>
      <c r="H402" s="121"/>
      <c r="I402" s="122"/>
      <c r="J402" s="122"/>
      <c r="K402" s="121"/>
      <c r="L402" s="192"/>
      <c r="M402" s="123"/>
      <c r="N402" s="123"/>
    </row>
    <row r="403" spans="1:14" x14ac:dyDescent="0.3">
      <c r="A403" s="137"/>
      <c r="B403" s="133"/>
      <c r="C403" s="121"/>
      <c r="D403" s="121"/>
      <c r="E403" s="121"/>
      <c r="F403" s="121"/>
      <c r="G403" s="121"/>
      <c r="H403" s="121"/>
      <c r="I403" s="122"/>
      <c r="J403" s="122"/>
      <c r="K403" s="121"/>
      <c r="L403" s="192"/>
      <c r="M403" s="123"/>
      <c r="N403" s="123"/>
    </row>
    <row r="404" spans="1:14" x14ac:dyDescent="0.3">
      <c r="A404" s="137"/>
      <c r="B404" s="133"/>
      <c r="C404" s="121"/>
      <c r="D404" s="121"/>
      <c r="E404" s="121"/>
      <c r="F404" s="121"/>
      <c r="G404" s="121"/>
      <c r="H404" s="121"/>
      <c r="I404" s="122"/>
      <c r="J404" s="122"/>
      <c r="K404" s="121"/>
      <c r="L404" s="192"/>
      <c r="M404" s="123"/>
      <c r="N404" s="123"/>
    </row>
    <row r="405" spans="1:14" x14ac:dyDescent="0.3">
      <c r="A405" s="137"/>
      <c r="B405" s="133"/>
      <c r="C405" s="121"/>
      <c r="D405" s="121"/>
      <c r="E405" s="121"/>
      <c r="F405" s="121"/>
      <c r="G405" s="121"/>
      <c r="H405" s="121"/>
      <c r="I405" s="122"/>
      <c r="J405" s="122"/>
      <c r="K405" s="121"/>
      <c r="L405" s="192"/>
      <c r="M405" s="123"/>
      <c r="N405" s="123"/>
    </row>
    <row r="406" spans="1:14" x14ac:dyDescent="0.3">
      <c r="A406" s="137"/>
      <c r="B406" s="133"/>
      <c r="C406" s="121"/>
      <c r="D406" s="121"/>
      <c r="E406" s="121"/>
      <c r="F406" s="121"/>
      <c r="G406" s="121"/>
      <c r="H406" s="121"/>
      <c r="I406" s="122"/>
      <c r="J406" s="122"/>
      <c r="K406" s="121"/>
      <c r="L406" s="192"/>
      <c r="M406" s="123"/>
      <c r="N406" s="123"/>
    </row>
    <row r="407" spans="1:14" x14ac:dyDescent="0.3">
      <c r="A407" s="137"/>
      <c r="B407" s="133"/>
      <c r="C407" s="121"/>
      <c r="D407" s="121"/>
      <c r="E407" s="121"/>
      <c r="F407" s="121"/>
      <c r="G407" s="121"/>
      <c r="H407" s="121"/>
      <c r="I407" s="122"/>
      <c r="J407" s="122"/>
      <c r="K407" s="121"/>
      <c r="L407" s="192"/>
      <c r="M407" s="123"/>
      <c r="N407" s="123"/>
    </row>
    <row r="408" spans="1:14" x14ac:dyDescent="0.3">
      <c r="A408" s="137"/>
      <c r="B408" s="133"/>
      <c r="C408" s="121"/>
      <c r="D408" s="121"/>
      <c r="E408" s="121"/>
      <c r="F408" s="121"/>
      <c r="G408" s="121"/>
      <c r="H408" s="121"/>
      <c r="I408" s="122"/>
      <c r="J408" s="122"/>
      <c r="K408" s="121"/>
      <c r="L408" s="192"/>
      <c r="M408" s="123"/>
      <c r="N408" s="123"/>
    </row>
    <row r="409" spans="1:14" x14ac:dyDescent="0.3">
      <c r="A409" s="137"/>
      <c r="B409" s="133"/>
      <c r="C409" s="121"/>
      <c r="D409" s="121"/>
      <c r="E409" s="121"/>
      <c r="F409" s="121"/>
      <c r="G409" s="121"/>
      <c r="H409" s="121"/>
      <c r="I409" s="122"/>
      <c r="J409" s="122"/>
      <c r="K409" s="121"/>
      <c r="L409" s="192"/>
      <c r="M409" s="123"/>
      <c r="N409" s="123"/>
    </row>
    <row r="410" spans="1:14" x14ac:dyDescent="0.3">
      <c r="A410" s="137"/>
      <c r="B410" s="133"/>
      <c r="C410" s="121"/>
      <c r="D410" s="121"/>
      <c r="E410" s="121"/>
      <c r="F410" s="121"/>
      <c r="G410" s="121"/>
      <c r="H410" s="121"/>
      <c r="I410" s="122"/>
      <c r="J410" s="122"/>
      <c r="K410" s="121"/>
      <c r="L410" s="192"/>
      <c r="M410" s="123"/>
      <c r="N410" s="123"/>
    </row>
    <row r="411" spans="1:14" x14ac:dyDescent="0.3">
      <c r="A411" s="137"/>
      <c r="B411" s="133"/>
      <c r="C411" s="121"/>
      <c r="D411" s="121"/>
      <c r="E411" s="121"/>
      <c r="F411" s="121"/>
      <c r="G411" s="121"/>
      <c r="H411" s="121"/>
      <c r="I411" s="122"/>
      <c r="J411" s="122"/>
      <c r="K411" s="121"/>
      <c r="L411" s="192"/>
      <c r="M411" s="123"/>
      <c r="N411" s="123"/>
    </row>
    <row r="412" spans="1:14" x14ac:dyDescent="0.3">
      <c r="A412" s="137"/>
      <c r="B412" s="133"/>
      <c r="C412" s="121"/>
      <c r="D412" s="121"/>
      <c r="E412" s="121"/>
      <c r="F412" s="121"/>
      <c r="G412" s="121"/>
      <c r="H412" s="121"/>
      <c r="I412" s="122"/>
      <c r="J412" s="122"/>
      <c r="K412" s="121"/>
      <c r="L412" s="192"/>
      <c r="M412" s="123"/>
      <c r="N412" s="123"/>
    </row>
    <row r="413" spans="1:14" x14ac:dyDescent="0.3">
      <c r="A413" s="137"/>
      <c r="B413" s="133"/>
      <c r="C413" s="121"/>
      <c r="D413" s="121"/>
      <c r="E413" s="121"/>
      <c r="F413" s="121"/>
      <c r="G413" s="121"/>
      <c r="H413" s="121"/>
      <c r="I413" s="122"/>
      <c r="J413" s="122"/>
      <c r="K413" s="121"/>
      <c r="L413" s="192"/>
      <c r="M413" s="123"/>
      <c r="N413" s="123"/>
    </row>
    <row r="414" spans="1:14" x14ac:dyDescent="0.3">
      <c r="A414" s="137"/>
      <c r="B414" s="133"/>
      <c r="C414" s="121"/>
      <c r="D414" s="121"/>
      <c r="E414" s="121"/>
      <c r="F414" s="121"/>
      <c r="G414" s="121"/>
      <c r="H414" s="121"/>
      <c r="I414" s="122"/>
      <c r="J414" s="122"/>
      <c r="K414" s="121"/>
      <c r="L414" s="192"/>
      <c r="M414" s="123"/>
      <c r="N414" s="123"/>
    </row>
    <row r="415" spans="1:14" x14ac:dyDescent="0.3">
      <c r="A415" s="137"/>
      <c r="B415" s="133"/>
      <c r="C415" s="121"/>
      <c r="D415" s="121"/>
      <c r="E415" s="121"/>
      <c r="F415" s="121"/>
      <c r="G415" s="121"/>
      <c r="H415" s="121"/>
      <c r="I415" s="122"/>
      <c r="J415" s="122"/>
      <c r="K415" s="121"/>
      <c r="L415" s="192"/>
      <c r="M415" s="123"/>
      <c r="N415" s="123"/>
    </row>
    <row r="416" spans="1:14" x14ac:dyDescent="0.3">
      <c r="A416" s="137"/>
      <c r="B416" s="133"/>
      <c r="C416" s="121"/>
      <c r="D416" s="121"/>
      <c r="E416" s="121"/>
      <c r="F416" s="121"/>
      <c r="G416" s="121"/>
      <c r="H416" s="121"/>
      <c r="I416" s="122"/>
      <c r="J416" s="122"/>
      <c r="K416" s="121"/>
      <c r="L416" s="192"/>
      <c r="M416" s="123"/>
      <c r="N416" s="123"/>
    </row>
    <row r="417" spans="1:21" x14ac:dyDescent="0.3">
      <c r="A417" s="137"/>
      <c r="B417" s="133"/>
      <c r="C417" s="121"/>
      <c r="D417" s="121"/>
      <c r="E417" s="121"/>
      <c r="F417" s="121"/>
      <c r="G417" s="121"/>
      <c r="H417" s="121"/>
      <c r="I417" s="122"/>
      <c r="J417" s="122"/>
      <c r="K417" s="121"/>
      <c r="L417" s="192"/>
      <c r="M417" s="123"/>
      <c r="N417" s="123"/>
    </row>
    <row r="418" spans="1:21" x14ac:dyDescent="0.3">
      <c r="A418" s="137"/>
      <c r="B418" s="133"/>
      <c r="C418" s="121"/>
      <c r="D418" s="121"/>
      <c r="E418" s="121"/>
      <c r="F418" s="121"/>
      <c r="G418" s="121"/>
      <c r="H418" s="121"/>
      <c r="I418" s="122"/>
      <c r="J418" s="122"/>
      <c r="K418" s="121"/>
      <c r="L418" s="192"/>
      <c r="M418" s="123"/>
      <c r="N418" s="123"/>
    </row>
    <row r="419" spans="1:21" x14ac:dyDescent="0.3">
      <c r="A419" s="137"/>
      <c r="B419" s="133"/>
      <c r="C419" s="121"/>
      <c r="D419" s="121"/>
      <c r="E419" s="121"/>
      <c r="F419" s="121"/>
      <c r="G419" s="121"/>
      <c r="H419" s="121"/>
      <c r="I419" s="122"/>
      <c r="J419" s="122"/>
      <c r="K419" s="121"/>
      <c r="L419" s="192"/>
      <c r="M419" s="123"/>
      <c r="N419" s="123"/>
    </row>
    <row r="420" spans="1:21" x14ac:dyDescent="0.3">
      <c r="A420" s="245"/>
      <c r="B420" s="246"/>
      <c r="C420" s="247"/>
      <c r="D420" s="247"/>
      <c r="E420" s="247"/>
      <c r="F420" s="247"/>
      <c r="G420" s="247"/>
      <c r="H420" s="247"/>
      <c r="I420" s="248"/>
      <c r="J420" s="248"/>
      <c r="K420" s="247"/>
      <c r="L420" s="192"/>
      <c r="M420" s="123"/>
      <c r="N420" s="123"/>
    </row>
    <row r="421" spans="1:21" x14ac:dyDescent="0.3">
      <c r="A421" s="245"/>
      <c r="B421" s="246"/>
      <c r="C421" s="247"/>
      <c r="D421" s="247"/>
      <c r="E421" s="247"/>
      <c r="F421" s="247"/>
      <c r="G421" s="247"/>
      <c r="H421" s="247"/>
      <c r="I421" s="248"/>
      <c r="J421" s="248"/>
      <c r="K421" s="247"/>
      <c r="L421" s="192"/>
      <c r="M421" s="123"/>
      <c r="N421" s="123"/>
    </row>
    <row r="422" spans="1:21" x14ac:dyDescent="0.3">
      <c r="A422" s="245"/>
      <c r="B422" s="246"/>
      <c r="C422" s="247"/>
      <c r="D422" s="247"/>
      <c r="E422" s="247"/>
      <c r="F422" s="247"/>
      <c r="G422" s="247"/>
      <c r="H422" s="247"/>
      <c r="I422" s="248"/>
      <c r="J422" s="248"/>
      <c r="K422" s="247"/>
      <c r="L422" s="192"/>
      <c r="M422" s="123"/>
      <c r="N422" s="123"/>
    </row>
    <row r="423" spans="1:21" x14ac:dyDescent="0.3">
      <c r="A423" s="245"/>
      <c r="B423" s="246"/>
      <c r="C423" s="247"/>
      <c r="D423" s="247"/>
      <c r="E423" s="247"/>
      <c r="F423" s="247"/>
      <c r="G423" s="247"/>
      <c r="H423" s="247"/>
      <c r="I423" s="248"/>
      <c r="J423" s="248"/>
      <c r="K423" s="247"/>
      <c r="L423" s="192"/>
      <c r="M423" s="123"/>
      <c r="N423" s="123"/>
      <c r="U423" s="60" t="s">
        <v>321</v>
      </c>
    </row>
    <row r="424" spans="1:21" x14ac:dyDescent="0.3">
      <c r="A424" s="137"/>
      <c r="B424" s="133"/>
      <c r="C424" s="121"/>
      <c r="D424" s="121"/>
      <c r="E424" s="121"/>
      <c r="F424" s="121"/>
      <c r="G424" s="121"/>
      <c r="H424" s="121"/>
      <c r="I424" s="122"/>
      <c r="J424" s="122"/>
      <c r="K424" s="121"/>
      <c r="L424" s="192">
        <f>I424+J424*EERR!$D$2</f>
        <v>0</v>
      </c>
      <c r="M424" s="123">
        <f>L424/EERR!$D$2</f>
        <v>0</v>
      </c>
      <c r="N424" s="123" t="e">
        <f>SUMIF(Oct!#REF!,A424,Oct!$R$3:$R$89)+SUMIF(Oct!$B$3:$B$89,A424,Oct!$R$3:$R$89)</f>
        <v>#REF!</v>
      </c>
    </row>
    <row r="425" spans="1:21" x14ac:dyDescent="0.3">
      <c r="A425" s="137"/>
      <c r="B425" s="133"/>
      <c r="C425" s="121"/>
      <c r="D425" s="121"/>
      <c r="E425" s="121"/>
      <c r="F425" s="121"/>
      <c r="G425" s="121"/>
      <c r="H425" s="121"/>
      <c r="I425" s="122"/>
      <c r="J425" s="122"/>
      <c r="K425" s="121"/>
      <c r="L425" s="192">
        <f>I425+J425*EERR!$D$2</f>
        <v>0</v>
      </c>
      <c r="M425" s="123">
        <f>L425/EERR!$D$2</f>
        <v>0</v>
      </c>
      <c r="N425" s="123" t="e">
        <f>SUMIF(Oct!#REF!,A425,Oct!$R$3:$R$89)+SUMIF(Oct!$B$3:$B$89,A425,Oct!$R$3:$R$89)</f>
        <v>#REF!</v>
      </c>
    </row>
    <row r="426" spans="1:21" x14ac:dyDescent="0.3">
      <c r="A426" s="137"/>
      <c r="B426" s="133"/>
      <c r="C426" s="121"/>
      <c r="D426" s="121"/>
      <c r="E426" s="121"/>
      <c r="F426" s="121"/>
      <c r="G426" s="121"/>
      <c r="H426" s="121"/>
      <c r="I426" s="122"/>
      <c r="J426" s="122"/>
      <c r="K426" s="121"/>
      <c r="L426" s="192">
        <f>I426+J426*EERR!$D$2</f>
        <v>0</v>
      </c>
      <c r="M426" s="123">
        <f>L426/EERR!$D$2</f>
        <v>0</v>
      </c>
      <c r="N426" s="123" t="e">
        <f>SUMIF(Oct!#REF!,A426,Oct!$R$3:$R$89)+SUMIF(Oct!$B$3:$B$89,A426,Oct!$R$3:$R$89)</f>
        <v>#REF!</v>
      </c>
    </row>
    <row r="427" spans="1:21" x14ac:dyDescent="0.3">
      <c r="A427" s="137"/>
      <c r="B427" s="133"/>
      <c r="C427" s="121"/>
      <c r="D427" s="121"/>
      <c r="E427" s="121"/>
      <c r="F427" s="121"/>
      <c r="G427" s="121"/>
      <c r="H427" s="121"/>
      <c r="I427" s="122"/>
      <c r="J427" s="122"/>
      <c r="K427" s="121"/>
      <c r="L427" s="192">
        <f>I427+J427*EERR!$D$2</f>
        <v>0</v>
      </c>
      <c r="M427" s="123">
        <f>L427/EERR!$D$2</f>
        <v>0</v>
      </c>
      <c r="N427" s="123" t="e">
        <f>SUMIF(Oct!#REF!,A427,Oct!$R$3:$R$89)+SUMIF(Oct!$B$3:$B$89,A427,Oct!$R$3:$R$89)</f>
        <v>#REF!</v>
      </c>
    </row>
    <row r="428" spans="1:21" x14ac:dyDescent="0.3">
      <c r="A428" s="137"/>
      <c r="B428" s="133"/>
      <c r="C428" s="121"/>
      <c r="D428" s="121"/>
      <c r="E428" s="121"/>
      <c r="F428" s="121"/>
      <c r="G428" s="121"/>
      <c r="H428" s="121"/>
      <c r="I428" s="122">
        <f>SUM(I228:I427)</f>
        <v>6457906</v>
      </c>
      <c r="J428" s="122">
        <f>SUM(J228:J427)</f>
        <v>40663</v>
      </c>
      <c r="K428" s="121"/>
      <c r="L428" s="192">
        <f>I428+J428*EERR!$D$2</f>
        <v>32055264.5</v>
      </c>
      <c r="M428" s="123">
        <f>L428/EERR!$D$2</f>
        <v>50921.786338363781</v>
      </c>
      <c r="N428" s="123" t="e">
        <f>SUMIF(Oct!#REF!,A428,Oct!$R$3:$R$89)+SUMIF(Oct!$B$3:$B$89,A428,Oct!$R$3:$R$89)</f>
        <v>#REF!</v>
      </c>
    </row>
    <row r="432" spans="1:21" x14ac:dyDescent="0.3">
      <c r="A432" s="183"/>
      <c r="B432" s="183"/>
      <c r="C432" s="183"/>
      <c r="D432" s="183"/>
      <c r="E432" s="183"/>
      <c r="F432" s="183"/>
      <c r="G432" s="183"/>
      <c r="H432" s="183"/>
      <c r="I432" s="210"/>
      <c r="J432" s="210"/>
      <c r="K432" s="183"/>
      <c r="L432" s="210">
        <f>Oct!J90</f>
        <v>0</v>
      </c>
      <c r="M432" s="183"/>
      <c r="N432" s="183"/>
    </row>
    <row r="433" spans="1:12" x14ac:dyDescent="0.3">
      <c r="A433" s="183"/>
      <c r="B433" s="211"/>
      <c r="C433" s="183"/>
      <c r="D433" s="183"/>
      <c r="E433" s="183"/>
      <c r="F433" s="183"/>
      <c r="G433" s="183"/>
      <c r="H433" s="183"/>
      <c r="I433" s="210"/>
      <c r="J433" s="210"/>
      <c r="K433" s="183"/>
      <c r="L433" s="184" t="e">
        <f>SUM(L221:L432)</f>
        <v>#VALUE!</v>
      </c>
    </row>
    <row r="434" spans="1:12" x14ac:dyDescent="0.3">
      <c r="A434" s="183"/>
      <c r="B434" s="211"/>
      <c r="C434" s="183"/>
      <c r="D434" s="183"/>
      <c r="E434" s="183"/>
      <c r="F434" s="183"/>
      <c r="G434" s="183"/>
      <c r="H434" s="183"/>
      <c r="I434" s="210"/>
      <c r="J434" s="210"/>
      <c r="K434" s="183"/>
    </row>
    <row r="435" spans="1:12" x14ac:dyDescent="0.3">
      <c r="A435" s="212"/>
      <c r="B435" s="212"/>
      <c r="C435" s="212"/>
      <c r="D435" s="212"/>
      <c r="E435" s="212"/>
      <c r="F435" s="212"/>
      <c r="G435" s="212" t="s">
        <v>153</v>
      </c>
      <c r="H435" s="212"/>
      <c r="I435" s="213">
        <f>I221</f>
        <v>6512072</v>
      </c>
      <c r="J435" s="213">
        <f>J221</f>
        <v>31342.5</v>
      </c>
      <c r="K435" s="212"/>
      <c r="L435" s="184">
        <v>51431551.622000001</v>
      </c>
    </row>
    <row r="436" spans="1:12" x14ac:dyDescent="0.3">
      <c r="A436" s="212"/>
      <c r="B436" s="212"/>
      <c r="C436" s="212"/>
      <c r="D436" s="212"/>
      <c r="E436" s="212"/>
      <c r="F436" s="212"/>
      <c r="G436" s="212" t="s">
        <v>154</v>
      </c>
      <c r="H436" s="212"/>
      <c r="I436" s="214"/>
      <c r="J436" s="214"/>
      <c r="K436" s="212"/>
    </row>
    <row r="437" spans="1:12" x14ac:dyDescent="0.3">
      <c r="A437" s="212"/>
      <c r="B437" s="212"/>
      <c r="C437" s="212"/>
      <c r="D437" s="212"/>
      <c r="E437" s="212"/>
      <c r="F437" s="212"/>
      <c r="G437" s="212"/>
      <c r="H437" s="212"/>
      <c r="K437" s="184"/>
    </row>
    <row r="438" spans="1:12" x14ac:dyDescent="0.3">
      <c r="A438" s="212"/>
      <c r="B438" s="212"/>
      <c r="C438" s="212"/>
      <c r="D438" s="212"/>
      <c r="E438" s="212"/>
      <c r="F438" s="212"/>
      <c r="G438" s="212"/>
      <c r="H438" s="212"/>
      <c r="I438" s="215"/>
      <c r="J438" s="215"/>
      <c r="K438" s="212"/>
    </row>
    <row r="439" spans="1:12" x14ac:dyDescent="0.3">
      <c r="A439" s="170" t="s">
        <v>142</v>
      </c>
      <c r="B439" s="212"/>
      <c r="C439" s="212"/>
      <c r="D439" s="212"/>
      <c r="E439" s="212"/>
      <c r="F439" s="212"/>
      <c r="G439" s="212"/>
      <c r="H439" s="212"/>
      <c r="I439" s="215"/>
      <c r="J439" s="215"/>
      <c r="K439" s="212"/>
    </row>
    <row r="440" spans="1:12" x14ac:dyDescent="0.3">
      <c r="A440" s="121"/>
      <c r="B440" s="212"/>
      <c r="C440" s="212"/>
      <c r="D440" s="212"/>
      <c r="E440" s="212"/>
      <c r="F440" s="212"/>
      <c r="G440" s="212"/>
      <c r="H440" s="212"/>
      <c r="I440" s="215"/>
      <c r="J440" s="215"/>
      <c r="K440" s="212"/>
    </row>
    <row r="441" spans="1:12" x14ac:dyDescent="0.3">
      <c r="A441" s="121"/>
      <c r="B441" s="212"/>
      <c r="C441" s="212"/>
      <c r="D441" s="212"/>
      <c r="E441" s="212"/>
      <c r="F441" s="212"/>
      <c r="G441" s="212"/>
      <c r="H441" s="212"/>
      <c r="I441" s="215"/>
      <c r="J441" s="215"/>
      <c r="K441" s="212"/>
    </row>
    <row r="442" spans="1:12" x14ac:dyDescent="0.3">
      <c r="A442" s="121"/>
      <c r="B442" s="212"/>
      <c r="C442" s="212"/>
      <c r="D442" s="212"/>
      <c r="E442" s="212"/>
      <c r="F442" s="212"/>
      <c r="G442" s="212"/>
      <c r="H442" s="212"/>
      <c r="I442" s="215"/>
      <c r="J442" s="215"/>
      <c r="K442" s="212"/>
    </row>
    <row r="443" spans="1:12" x14ac:dyDescent="0.3">
      <c r="A443" s="121"/>
      <c r="B443" s="212"/>
      <c r="C443" s="212"/>
      <c r="D443" s="212"/>
      <c r="E443" s="212"/>
      <c r="F443" s="212"/>
      <c r="G443" s="212"/>
      <c r="H443" s="212"/>
      <c r="I443" s="215"/>
      <c r="J443" s="215"/>
      <c r="K443" s="212"/>
    </row>
    <row r="444" spans="1:12" x14ac:dyDescent="0.3">
      <c r="A444" s="121"/>
    </row>
    <row r="445" spans="1:12" x14ac:dyDescent="0.3">
      <c r="A445" s="121"/>
    </row>
    <row r="446" spans="1:12" x14ac:dyDescent="0.3">
      <c r="A446" s="121"/>
    </row>
    <row r="447" spans="1:12" x14ac:dyDescent="0.3">
      <c r="A447" s="121"/>
    </row>
    <row r="448" spans="1:12" x14ac:dyDescent="0.3">
      <c r="A448" s="121"/>
    </row>
    <row r="449" spans="1:1" x14ac:dyDescent="0.3">
      <c r="A449" s="121"/>
    </row>
    <row r="450" spans="1:1" x14ac:dyDescent="0.3">
      <c r="A450" s="121"/>
    </row>
    <row r="451" spans="1:1" x14ac:dyDescent="0.3">
      <c r="A451" s="121"/>
    </row>
    <row r="452" spans="1:1" x14ac:dyDescent="0.3">
      <c r="A452" s="121"/>
    </row>
    <row r="453" spans="1:1" x14ac:dyDescent="0.3">
      <c r="A453" s="121"/>
    </row>
    <row r="454" spans="1:1" x14ac:dyDescent="0.3">
      <c r="A454" s="121"/>
    </row>
  </sheetData>
  <autoFilter ref="A1:N428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1"/>
  <sheetViews>
    <sheetView zoomScale="55" zoomScaleNormal="55" workbookViewId="0">
      <selection activeCell="O3" sqref="O3:W7"/>
    </sheetView>
  </sheetViews>
  <sheetFormatPr baseColWidth="10" defaultRowHeight="13.8" x14ac:dyDescent="0.25"/>
  <cols>
    <col min="1" max="1" width="3.88671875" style="19" customWidth="1"/>
    <col min="2" max="2" width="18.6640625" style="19" customWidth="1"/>
    <col min="3" max="3" width="20.33203125" style="19" customWidth="1"/>
    <col min="4" max="4" width="33.33203125" style="19" customWidth="1"/>
    <col min="5" max="5" width="14.6640625" style="19" customWidth="1"/>
    <col min="6" max="6" width="15" style="19" customWidth="1"/>
    <col min="7" max="7" width="15.6640625" style="19" customWidth="1"/>
    <col min="8" max="8" width="14.88671875" style="19" customWidth="1"/>
    <col min="9" max="9" width="27" style="45" customWidth="1"/>
    <col min="10" max="10" width="30.88671875" style="45" customWidth="1"/>
    <col min="11" max="11" width="22.109375" style="19" customWidth="1"/>
    <col min="12" max="12" width="23.44140625" style="19" customWidth="1"/>
    <col min="13" max="13" width="18.109375" style="19" customWidth="1"/>
    <col min="14" max="14" width="7.33203125" style="19" customWidth="1"/>
    <col min="15" max="15" width="13.33203125" style="118" customWidth="1"/>
    <col min="16" max="16" width="11.5546875" style="45" customWidth="1"/>
    <col min="17" max="17" width="18" style="45" customWidth="1"/>
    <col min="18" max="18" width="11.109375" style="45" customWidth="1"/>
    <col min="19" max="19" width="15.44140625" style="119" customWidth="1"/>
    <col min="20" max="20" width="11.109375" style="119" customWidth="1"/>
    <col min="21" max="22" width="11.109375" style="45" customWidth="1"/>
    <col min="23" max="23" width="29.6640625" style="45" customWidth="1"/>
    <col min="24" max="232" width="9.109375" style="19" customWidth="1"/>
    <col min="233" max="233" width="3.88671875" style="19" customWidth="1"/>
    <col min="234" max="235" width="23.33203125" style="19" customWidth="1"/>
    <col min="236" max="236" width="39" style="19" customWidth="1"/>
    <col min="237" max="237" width="19.6640625" style="19" customWidth="1"/>
    <col min="238" max="241" width="15.6640625" style="19" customWidth="1"/>
    <col min="242" max="488" width="9.109375" style="19" customWidth="1"/>
    <col min="489" max="489" width="3.88671875" style="19" customWidth="1"/>
    <col min="490" max="491" width="23.33203125" style="19" customWidth="1"/>
    <col min="492" max="492" width="39" style="19" customWidth="1"/>
    <col min="493" max="493" width="19.6640625" style="19" customWidth="1"/>
    <col min="494" max="497" width="15.6640625" style="19" customWidth="1"/>
    <col min="498" max="744" width="9.109375" style="19" customWidth="1"/>
    <col min="745" max="745" width="3.88671875" style="19" customWidth="1"/>
    <col min="746" max="747" width="23.33203125" style="19" customWidth="1"/>
    <col min="748" max="748" width="39" style="19" customWidth="1"/>
    <col min="749" max="749" width="19.6640625" style="19" customWidth="1"/>
    <col min="750" max="753" width="15.6640625" style="19" customWidth="1"/>
    <col min="754" max="1000" width="9.109375" style="19" customWidth="1"/>
    <col min="1001" max="1001" width="3.88671875" style="19" customWidth="1"/>
    <col min="1002" max="1003" width="23.33203125" style="19" customWidth="1"/>
    <col min="1004" max="1004" width="39" style="19" customWidth="1"/>
    <col min="1005" max="1005" width="19.6640625" style="19" customWidth="1"/>
    <col min="1006" max="1009" width="15.6640625" style="19" customWidth="1"/>
    <col min="1010" max="1256" width="9.109375" style="19" customWidth="1"/>
    <col min="1257" max="1257" width="3.88671875" style="19" customWidth="1"/>
    <col min="1258" max="1259" width="23.33203125" style="19" customWidth="1"/>
    <col min="1260" max="1260" width="39" style="19" customWidth="1"/>
    <col min="1261" max="1261" width="19.6640625" style="19" customWidth="1"/>
    <col min="1262" max="1265" width="15.6640625" style="19" customWidth="1"/>
    <col min="1266" max="1512" width="9.109375" style="19" customWidth="1"/>
    <col min="1513" max="1513" width="3.88671875" style="19" customWidth="1"/>
    <col min="1514" max="1515" width="23.33203125" style="19" customWidth="1"/>
    <col min="1516" max="1516" width="39" style="19" customWidth="1"/>
    <col min="1517" max="1517" width="19.6640625" style="19" customWidth="1"/>
    <col min="1518" max="1521" width="15.6640625" style="19" customWidth="1"/>
    <col min="1522" max="1768" width="9.109375" style="19" customWidth="1"/>
    <col min="1769" max="1769" width="3.88671875" style="19" customWidth="1"/>
    <col min="1770" max="1771" width="23.33203125" style="19" customWidth="1"/>
    <col min="1772" max="1772" width="39" style="19" customWidth="1"/>
    <col min="1773" max="1773" width="19.6640625" style="19" customWidth="1"/>
    <col min="1774" max="1777" width="15.6640625" style="19" customWidth="1"/>
    <col min="1778" max="2024" width="9.109375" style="19" customWidth="1"/>
    <col min="2025" max="2025" width="3.88671875" style="19" customWidth="1"/>
    <col min="2026" max="2027" width="23.33203125" style="19" customWidth="1"/>
    <col min="2028" max="2028" width="39" style="19" customWidth="1"/>
    <col min="2029" max="2029" width="19.6640625" style="19" customWidth="1"/>
    <col min="2030" max="2033" width="15.6640625" style="19" customWidth="1"/>
    <col min="2034" max="2280" width="9.109375" style="19" customWidth="1"/>
    <col min="2281" max="2281" width="3.88671875" style="19" customWidth="1"/>
    <col min="2282" max="2283" width="23.33203125" style="19" customWidth="1"/>
    <col min="2284" max="2284" width="39" style="19" customWidth="1"/>
    <col min="2285" max="2285" width="19.6640625" style="19" customWidth="1"/>
    <col min="2286" max="2289" width="15.6640625" style="19" customWidth="1"/>
    <col min="2290" max="2536" width="9.109375" style="19" customWidth="1"/>
    <col min="2537" max="2537" width="3.88671875" style="19" customWidth="1"/>
    <col min="2538" max="2539" width="23.33203125" style="19" customWidth="1"/>
    <col min="2540" max="2540" width="39" style="19" customWidth="1"/>
    <col min="2541" max="2541" width="19.6640625" style="19" customWidth="1"/>
    <col min="2542" max="2545" width="15.6640625" style="19" customWidth="1"/>
    <col min="2546" max="2792" width="9.109375" style="19" customWidth="1"/>
    <col min="2793" max="2793" width="3.88671875" style="19" customWidth="1"/>
    <col min="2794" max="2795" width="23.33203125" style="19" customWidth="1"/>
    <col min="2796" max="2796" width="39" style="19" customWidth="1"/>
    <col min="2797" max="2797" width="19.6640625" style="19" customWidth="1"/>
    <col min="2798" max="2801" width="15.6640625" style="19" customWidth="1"/>
    <col min="2802" max="3048" width="9.109375" style="19" customWidth="1"/>
    <col min="3049" max="3049" width="3.88671875" style="19" customWidth="1"/>
    <col min="3050" max="3051" width="23.33203125" style="19" customWidth="1"/>
    <col min="3052" max="3052" width="39" style="19" customWidth="1"/>
    <col min="3053" max="3053" width="19.6640625" style="19" customWidth="1"/>
    <col min="3054" max="3057" width="15.6640625" style="19" customWidth="1"/>
    <col min="3058" max="3304" width="9.109375" style="19" customWidth="1"/>
    <col min="3305" max="3305" width="3.88671875" style="19" customWidth="1"/>
    <col min="3306" max="3307" width="23.33203125" style="19" customWidth="1"/>
    <col min="3308" max="3308" width="39" style="19" customWidth="1"/>
    <col min="3309" max="3309" width="19.6640625" style="19" customWidth="1"/>
    <col min="3310" max="3313" width="15.6640625" style="19" customWidth="1"/>
    <col min="3314" max="3560" width="9.109375" style="19" customWidth="1"/>
    <col min="3561" max="3561" width="3.88671875" style="19" customWidth="1"/>
    <col min="3562" max="3563" width="23.33203125" style="19" customWidth="1"/>
    <col min="3564" max="3564" width="39" style="19" customWidth="1"/>
    <col min="3565" max="3565" width="19.6640625" style="19" customWidth="1"/>
    <col min="3566" max="3569" width="15.6640625" style="19" customWidth="1"/>
    <col min="3570" max="3816" width="9.109375" style="19" customWidth="1"/>
    <col min="3817" max="3817" width="3.88671875" style="19" customWidth="1"/>
    <col min="3818" max="3819" width="23.33203125" style="19" customWidth="1"/>
    <col min="3820" max="3820" width="39" style="19" customWidth="1"/>
    <col min="3821" max="3821" width="19.6640625" style="19" customWidth="1"/>
    <col min="3822" max="3825" width="15.6640625" style="19" customWidth="1"/>
    <col min="3826" max="4072" width="9.109375" style="19" customWidth="1"/>
    <col min="4073" max="4073" width="3.88671875" style="19" customWidth="1"/>
    <col min="4074" max="4075" width="23.33203125" style="19" customWidth="1"/>
    <col min="4076" max="4076" width="39" style="19" customWidth="1"/>
    <col min="4077" max="4077" width="19.6640625" style="19" customWidth="1"/>
    <col min="4078" max="4081" width="15.6640625" style="19" customWidth="1"/>
    <col min="4082" max="4328" width="9.109375" style="19" customWidth="1"/>
    <col min="4329" max="4329" width="3.88671875" style="19" customWidth="1"/>
    <col min="4330" max="4331" width="23.33203125" style="19" customWidth="1"/>
    <col min="4332" max="4332" width="39" style="19" customWidth="1"/>
    <col min="4333" max="4333" width="19.6640625" style="19" customWidth="1"/>
    <col min="4334" max="4337" width="15.6640625" style="19" customWidth="1"/>
    <col min="4338" max="4584" width="9.109375" style="19" customWidth="1"/>
    <col min="4585" max="4585" width="3.88671875" style="19" customWidth="1"/>
    <col min="4586" max="4587" width="23.33203125" style="19" customWidth="1"/>
    <col min="4588" max="4588" width="39" style="19" customWidth="1"/>
    <col min="4589" max="4589" width="19.6640625" style="19" customWidth="1"/>
    <col min="4590" max="4593" width="15.6640625" style="19" customWidth="1"/>
    <col min="4594" max="4840" width="9.109375" style="19" customWidth="1"/>
    <col min="4841" max="4841" width="3.88671875" style="19" customWidth="1"/>
    <col min="4842" max="4843" width="23.33203125" style="19" customWidth="1"/>
    <col min="4844" max="4844" width="39" style="19" customWidth="1"/>
    <col min="4845" max="4845" width="19.6640625" style="19" customWidth="1"/>
    <col min="4846" max="4849" width="15.6640625" style="19" customWidth="1"/>
    <col min="4850" max="5096" width="9.109375" style="19" customWidth="1"/>
    <col min="5097" max="5097" width="3.88671875" style="19" customWidth="1"/>
    <col min="5098" max="5099" width="23.33203125" style="19" customWidth="1"/>
    <col min="5100" max="5100" width="39" style="19" customWidth="1"/>
    <col min="5101" max="5101" width="19.6640625" style="19" customWidth="1"/>
    <col min="5102" max="5105" width="15.6640625" style="19" customWidth="1"/>
    <col min="5106" max="5352" width="9.109375" style="19" customWidth="1"/>
    <col min="5353" max="5353" width="3.88671875" style="19" customWidth="1"/>
    <col min="5354" max="5355" width="23.33203125" style="19" customWidth="1"/>
    <col min="5356" max="5356" width="39" style="19" customWidth="1"/>
    <col min="5357" max="5357" width="19.6640625" style="19" customWidth="1"/>
    <col min="5358" max="5361" width="15.6640625" style="19" customWidth="1"/>
    <col min="5362" max="5608" width="9.109375" style="19" customWidth="1"/>
    <col min="5609" max="5609" width="3.88671875" style="19" customWidth="1"/>
    <col min="5610" max="5611" width="23.33203125" style="19" customWidth="1"/>
    <col min="5612" max="5612" width="39" style="19" customWidth="1"/>
    <col min="5613" max="5613" width="19.6640625" style="19" customWidth="1"/>
    <col min="5614" max="5617" width="15.6640625" style="19" customWidth="1"/>
    <col min="5618" max="5864" width="9.109375" style="19" customWidth="1"/>
    <col min="5865" max="5865" width="3.88671875" style="19" customWidth="1"/>
    <col min="5866" max="5867" width="23.33203125" style="19" customWidth="1"/>
    <col min="5868" max="5868" width="39" style="19" customWidth="1"/>
    <col min="5869" max="5869" width="19.6640625" style="19" customWidth="1"/>
    <col min="5870" max="5873" width="15.6640625" style="19" customWidth="1"/>
    <col min="5874" max="6120" width="9.109375" style="19" customWidth="1"/>
    <col min="6121" max="6121" width="3.88671875" style="19" customWidth="1"/>
    <col min="6122" max="6123" width="23.33203125" style="19" customWidth="1"/>
    <col min="6124" max="6124" width="39" style="19" customWidth="1"/>
    <col min="6125" max="6125" width="19.6640625" style="19" customWidth="1"/>
    <col min="6126" max="6129" width="15.6640625" style="19" customWidth="1"/>
    <col min="6130" max="6376" width="9.109375" style="19" customWidth="1"/>
    <col min="6377" max="6377" width="3.88671875" style="19" customWidth="1"/>
    <col min="6378" max="6379" width="23.33203125" style="19" customWidth="1"/>
    <col min="6380" max="6380" width="39" style="19" customWidth="1"/>
    <col min="6381" max="6381" width="19.6640625" style="19" customWidth="1"/>
    <col min="6382" max="6385" width="15.6640625" style="19" customWidth="1"/>
    <col min="6386" max="6632" width="9.109375" style="19" customWidth="1"/>
    <col min="6633" max="6633" width="3.88671875" style="19" customWidth="1"/>
    <col min="6634" max="6635" width="23.33203125" style="19" customWidth="1"/>
    <col min="6636" max="6636" width="39" style="19" customWidth="1"/>
    <col min="6637" max="6637" width="19.6640625" style="19" customWidth="1"/>
    <col min="6638" max="6641" width="15.6640625" style="19" customWidth="1"/>
    <col min="6642" max="6888" width="9.109375" style="19" customWidth="1"/>
    <col min="6889" max="6889" width="3.88671875" style="19" customWidth="1"/>
    <col min="6890" max="6891" width="23.33203125" style="19" customWidth="1"/>
    <col min="6892" max="6892" width="39" style="19" customWidth="1"/>
    <col min="6893" max="6893" width="19.6640625" style="19" customWidth="1"/>
    <col min="6894" max="6897" width="15.6640625" style="19" customWidth="1"/>
    <col min="6898" max="7144" width="9.109375" style="19" customWidth="1"/>
    <col min="7145" max="7145" width="3.88671875" style="19" customWidth="1"/>
    <col min="7146" max="7147" width="23.33203125" style="19" customWidth="1"/>
    <col min="7148" max="7148" width="39" style="19" customWidth="1"/>
    <col min="7149" max="7149" width="19.6640625" style="19" customWidth="1"/>
    <col min="7150" max="7153" width="15.6640625" style="19" customWidth="1"/>
    <col min="7154" max="7400" width="9.109375" style="19" customWidth="1"/>
    <col min="7401" max="7401" width="3.88671875" style="19" customWidth="1"/>
    <col min="7402" max="7403" width="23.33203125" style="19" customWidth="1"/>
    <col min="7404" max="7404" width="39" style="19" customWidth="1"/>
    <col min="7405" max="7405" width="19.6640625" style="19" customWidth="1"/>
    <col min="7406" max="7409" width="15.6640625" style="19" customWidth="1"/>
    <col min="7410" max="7656" width="9.109375" style="19" customWidth="1"/>
    <col min="7657" max="7657" width="3.88671875" style="19" customWidth="1"/>
    <col min="7658" max="7659" width="23.33203125" style="19" customWidth="1"/>
    <col min="7660" max="7660" width="39" style="19" customWidth="1"/>
    <col min="7661" max="7661" width="19.6640625" style="19" customWidth="1"/>
    <col min="7662" max="7665" width="15.6640625" style="19" customWidth="1"/>
    <col min="7666" max="7912" width="9.109375" style="19" customWidth="1"/>
    <col min="7913" max="7913" width="3.88671875" style="19" customWidth="1"/>
    <col min="7914" max="7915" width="23.33203125" style="19" customWidth="1"/>
    <col min="7916" max="7916" width="39" style="19" customWidth="1"/>
    <col min="7917" max="7917" width="19.6640625" style="19" customWidth="1"/>
    <col min="7918" max="7921" width="15.6640625" style="19" customWidth="1"/>
    <col min="7922" max="8168" width="9.109375" style="19" customWidth="1"/>
    <col min="8169" max="8169" width="3.88671875" style="19" customWidth="1"/>
    <col min="8170" max="8171" width="23.33203125" style="19" customWidth="1"/>
    <col min="8172" max="8172" width="39" style="19" customWidth="1"/>
    <col min="8173" max="8173" width="19.6640625" style="19" customWidth="1"/>
    <col min="8174" max="8177" width="15.6640625" style="19" customWidth="1"/>
    <col min="8178" max="8424" width="9.109375" style="19" customWidth="1"/>
    <col min="8425" max="8425" width="3.88671875" style="19" customWidth="1"/>
    <col min="8426" max="8427" width="23.33203125" style="19" customWidth="1"/>
    <col min="8428" max="8428" width="39" style="19" customWidth="1"/>
    <col min="8429" max="8429" width="19.6640625" style="19" customWidth="1"/>
    <col min="8430" max="8433" width="15.6640625" style="19" customWidth="1"/>
    <col min="8434" max="8680" width="9.109375" style="19" customWidth="1"/>
    <col min="8681" max="8681" width="3.88671875" style="19" customWidth="1"/>
    <col min="8682" max="8683" width="23.33203125" style="19" customWidth="1"/>
    <col min="8684" max="8684" width="39" style="19" customWidth="1"/>
    <col min="8685" max="8685" width="19.6640625" style="19" customWidth="1"/>
    <col min="8686" max="8689" width="15.6640625" style="19" customWidth="1"/>
    <col min="8690" max="8936" width="9.109375" style="19" customWidth="1"/>
    <col min="8937" max="8937" width="3.88671875" style="19" customWidth="1"/>
    <col min="8938" max="8939" width="23.33203125" style="19" customWidth="1"/>
    <col min="8940" max="8940" width="39" style="19" customWidth="1"/>
    <col min="8941" max="8941" width="19.6640625" style="19" customWidth="1"/>
    <col min="8942" max="8945" width="15.6640625" style="19" customWidth="1"/>
    <col min="8946" max="9192" width="9.109375" style="19" customWidth="1"/>
    <col min="9193" max="9193" width="3.88671875" style="19" customWidth="1"/>
    <col min="9194" max="9195" width="23.33203125" style="19" customWidth="1"/>
    <col min="9196" max="9196" width="39" style="19" customWidth="1"/>
    <col min="9197" max="9197" width="19.6640625" style="19" customWidth="1"/>
    <col min="9198" max="9201" width="15.6640625" style="19" customWidth="1"/>
    <col min="9202" max="9448" width="9.109375" style="19" customWidth="1"/>
    <col min="9449" max="9449" width="3.88671875" style="19" customWidth="1"/>
    <col min="9450" max="9451" width="23.33203125" style="19" customWidth="1"/>
    <col min="9452" max="9452" width="39" style="19" customWidth="1"/>
    <col min="9453" max="9453" width="19.6640625" style="19" customWidth="1"/>
    <col min="9454" max="9457" width="15.6640625" style="19" customWidth="1"/>
    <col min="9458" max="9704" width="9.109375" style="19" customWidth="1"/>
    <col min="9705" max="9705" width="3.88671875" style="19" customWidth="1"/>
    <col min="9706" max="9707" width="23.33203125" style="19" customWidth="1"/>
    <col min="9708" max="9708" width="39" style="19" customWidth="1"/>
    <col min="9709" max="9709" width="19.6640625" style="19" customWidth="1"/>
    <col min="9710" max="9713" width="15.6640625" style="19" customWidth="1"/>
    <col min="9714" max="9960" width="9.109375" style="19" customWidth="1"/>
    <col min="9961" max="9961" width="3.88671875" style="19" customWidth="1"/>
    <col min="9962" max="9963" width="23.33203125" style="19" customWidth="1"/>
    <col min="9964" max="9964" width="39" style="19" customWidth="1"/>
    <col min="9965" max="9965" width="19.6640625" style="19" customWidth="1"/>
    <col min="9966" max="9969" width="15.6640625" style="19" customWidth="1"/>
    <col min="9970" max="10216" width="9.109375" style="19" customWidth="1"/>
    <col min="10217" max="10217" width="3.88671875" style="19" customWidth="1"/>
    <col min="10218" max="10219" width="23.33203125" style="19" customWidth="1"/>
    <col min="10220" max="10220" width="39" style="19" customWidth="1"/>
    <col min="10221" max="10221" width="19.6640625" style="19" customWidth="1"/>
    <col min="10222" max="10225" width="15.6640625" style="19" customWidth="1"/>
    <col min="10226" max="10472" width="9.109375" style="19" customWidth="1"/>
    <col min="10473" max="10473" width="3.88671875" style="19" customWidth="1"/>
    <col min="10474" max="10475" width="23.33203125" style="19" customWidth="1"/>
    <col min="10476" max="10476" width="39" style="19" customWidth="1"/>
    <col min="10477" max="10477" width="19.6640625" style="19" customWidth="1"/>
    <col min="10478" max="10481" width="15.6640625" style="19" customWidth="1"/>
    <col min="10482" max="10728" width="9.109375" style="19" customWidth="1"/>
    <col min="10729" max="10729" width="3.88671875" style="19" customWidth="1"/>
    <col min="10730" max="10731" width="23.33203125" style="19" customWidth="1"/>
    <col min="10732" max="10732" width="39" style="19" customWidth="1"/>
    <col min="10733" max="10733" width="19.6640625" style="19" customWidth="1"/>
    <col min="10734" max="10737" width="15.6640625" style="19" customWidth="1"/>
    <col min="10738" max="10984" width="9.109375" style="19" customWidth="1"/>
    <col min="10985" max="10985" width="3.88671875" style="19" customWidth="1"/>
    <col min="10986" max="10987" width="23.33203125" style="19" customWidth="1"/>
    <col min="10988" max="10988" width="39" style="19" customWidth="1"/>
    <col min="10989" max="10989" width="19.6640625" style="19" customWidth="1"/>
    <col min="10990" max="10993" width="15.6640625" style="19" customWidth="1"/>
    <col min="10994" max="11240" width="9.109375" style="19" customWidth="1"/>
    <col min="11241" max="11241" width="3.88671875" style="19" customWidth="1"/>
    <col min="11242" max="11243" width="23.33203125" style="19" customWidth="1"/>
    <col min="11244" max="11244" width="39" style="19" customWidth="1"/>
    <col min="11245" max="11245" width="19.6640625" style="19" customWidth="1"/>
    <col min="11246" max="11249" width="15.6640625" style="19" customWidth="1"/>
    <col min="11250" max="11496" width="9.109375" style="19" customWidth="1"/>
    <col min="11497" max="11497" width="3.88671875" style="19" customWidth="1"/>
    <col min="11498" max="11499" width="23.33203125" style="19" customWidth="1"/>
    <col min="11500" max="11500" width="39" style="19" customWidth="1"/>
    <col min="11501" max="11501" width="19.6640625" style="19" customWidth="1"/>
    <col min="11502" max="11505" width="15.6640625" style="19" customWidth="1"/>
    <col min="11506" max="11752" width="9.109375" style="19" customWidth="1"/>
    <col min="11753" max="11753" width="3.88671875" style="19" customWidth="1"/>
    <col min="11754" max="11755" width="23.33203125" style="19" customWidth="1"/>
    <col min="11756" max="11756" width="39" style="19" customWidth="1"/>
    <col min="11757" max="11757" width="19.6640625" style="19" customWidth="1"/>
    <col min="11758" max="11761" width="15.6640625" style="19" customWidth="1"/>
    <col min="11762" max="12008" width="9.109375" style="19" customWidth="1"/>
    <col min="12009" max="12009" width="3.88671875" style="19" customWidth="1"/>
    <col min="12010" max="12011" width="23.33203125" style="19" customWidth="1"/>
    <col min="12012" max="12012" width="39" style="19" customWidth="1"/>
    <col min="12013" max="12013" width="19.6640625" style="19" customWidth="1"/>
    <col min="12014" max="12017" width="15.6640625" style="19" customWidth="1"/>
    <col min="12018" max="12264" width="9.109375" style="19" customWidth="1"/>
    <col min="12265" max="12265" width="3.88671875" style="19" customWidth="1"/>
    <col min="12266" max="12267" width="23.33203125" style="19" customWidth="1"/>
    <col min="12268" max="12268" width="39" style="19" customWidth="1"/>
    <col min="12269" max="12269" width="19.6640625" style="19" customWidth="1"/>
    <col min="12270" max="12273" width="15.6640625" style="19" customWidth="1"/>
    <col min="12274" max="12520" width="9.109375" style="19" customWidth="1"/>
    <col min="12521" max="12521" width="3.88671875" style="19" customWidth="1"/>
    <col min="12522" max="12523" width="23.33203125" style="19" customWidth="1"/>
    <col min="12524" max="12524" width="39" style="19" customWidth="1"/>
    <col min="12525" max="12525" width="19.6640625" style="19" customWidth="1"/>
    <col min="12526" max="12529" width="15.6640625" style="19" customWidth="1"/>
    <col min="12530" max="12776" width="9.109375" style="19" customWidth="1"/>
    <col min="12777" max="12777" width="3.88671875" style="19" customWidth="1"/>
    <col min="12778" max="12779" width="23.33203125" style="19" customWidth="1"/>
    <col min="12780" max="12780" width="39" style="19" customWidth="1"/>
    <col min="12781" max="12781" width="19.6640625" style="19" customWidth="1"/>
    <col min="12782" max="12785" width="15.6640625" style="19" customWidth="1"/>
    <col min="12786" max="13032" width="9.109375" style="19" customWidth="1"/>
    <col min="13033" max="13033" width="3.88671875" style="19" customWidth="1"/>
    <col min="13034" max="13035" width="23.33203125" style="19" customWidth="1"/>
    <col min="13036" max="13036" width="39" style="19" customWidth="1"/>
    <col min="13037" max="13037" width="19.6640625" style="19" customWidth="1"/>
    <col min="13038" max="13041" width="15.6640625" style="19" customWidth="1"/>
    <col min="13042" max="13288" width="9.109375" style="19" customWidth="1"/>
    <col min="13289" max="13289" width="3.88671875" style="19" customWidth="1"/>
    <col min="13290" max="13291" width="23.33203125" style="19" customWidth="1"/>
    <col min="13292" max="13292" width="39" style="19" customWidth="1"/>
    <col min="13293" max="13293" width="19.6640625" style="19" customWidth="1"/>
    <col min="13294" max="13297" width="15.6640625" style="19" customWidth="1"/>
    <col min="13298" max="13544" width="9.109375" style="19" customWidth="1"/>
    <col min="13545" max="13545" width="3.88671875" style="19" customWidth="1"/>
    <col min="13546" max="13547" width="23.33203125" style="19" customWidth="1"/>
    <col min="13548" max="13548" width="39" style="19" customWidth="1"/>
    <col min="13549" max="13549" width="19.6640625" style="19" customWidth="1"/>
    <col min="13550" max="13553" width="15.6640625" style="19" customWidth="1"/>
    <col min="13554" max="13800" width="9.109375" style="19" customWidth="1"/>
    <col min="13801" max="13801" width="3.88671875" style="19" customWidth="1"/>
    <col min="13802" max="13803" width="23.33203125" style="19" customWidth="1"/>
    <col min="13804" max="13804" width="39" style="19" customWidth="1"/>
    <col min="13805" max="13805" width="19.6640625" style="19" customWidth="1"/>
    <col min="13806" max="13809" width="15.6640625" style="19" customWidth="1"/>
    <col min="13810" max="14056" width="9.109375" style="19" customWidth="1"/>
    <col min="14057" max="14057" width="3.88671875" style="19" customWidth="1"/>
    <col min="14058" max="14059" width="23.33203125" style="19" customWidth="1"/>
    <col min="14060" max="14060" width="39" style="19" customWidth="1"/>
    <col min="14061" max="14061" width="19.6640625" style="19" customWidth="1"/>
    <col min="14062" max="14065" width="15.6640625" style="19" customWidth="1"/>
    <col min="14066" max="14312" width="9.109375" style="19" customWidth="1"/>
    <col min="14313" max="14313" width="3.88671875" style="19" customWidth="1"/>
    <col min="14314" max="14315" width="23.33203125" style="19" customWidth="1"/>
    <col min="14316" max="14316" width="39" style="19" customWidth="1"/>
    <col min="14317" max="14317" width="19.6640625" style="19" customWidth="1"/>
    <col min="14318" max="14321" width="15.6640625" style="19" customWidth="1"/>
    <col min="14322" max="14568" width="9.109375" style="19" customWidth="1"/>
    <col min="14569" max="14569" width="3.88671875" style="19" customWidth="1"/>
    <col min="14570" max="14571" width="23.33203125" style="19" customWidth="1"/>
    <col min="14572" max="14572" width="39" style="19" customWidth="1"/>
    <col min="14573" max="14573" width="19.6640625" style="19" customWidth="1"/>
    <col min="14574" max="14577" width="15.6640625" style="19" customWidth="1"/>
    <col min="14578" max="14824" width="9.109375" style="19" customWidth="1"/>
    <col min="14825" max="14825" width="3.88671875" style="19" customWidth="1"/>
    <col min="14826" max="14827" width="23.33203125" style="19" customWidth="1"/>
    <col min="14828" max="14828" width="39" style="19" customWidth="1"/>
    <col min="14829" max="14829" width="19.6640625" style="19" customWidth="1"/>
    <col min="14830" max="14833" width="15.6640625" style="19" customWidth="1"/>
    <col min="14834" max="15080" width="9.109375" style="19" customWidth="1"/>
    <col min="15081" max="15081" width="3.88671875" style="19" customWidth="1"/>
    <col min="15082" max="15083" width="23.33203125" style="19" customWidth="1"/>
    <col min="15084" max="15084" width="39" style="19" customWidth="1"/>
    <col min="15085" max="15085" width="19.6640625" style="19" customWidth="1"/>
    <col min="15086" max="15089" width="15.6640625" style="19" customWidth="1"/>
    <col min="15090" max="15336" width="9.109375" style="19" customWidth="1"/>
    <col min="15337" max="15337" width="3.88671875" style="19" customWidth="1"/>
    <col min="15338" max="15339" width="23.33203125" style="19" customWidth="1"/>
    <col min="15340" max="15340" width="39" style="19" customWidth="1"/>
    <col min="15341" max="15341" width="19.6640625" style="19" customWidth="1"/>
    <col min="15342" max="15345" width="15.6640625" style="19" customWidth="1"/>
    <col min="15346" max="15592" width="9.109375" style="19" customWidth="1"/>
    <col min="15593" max="15593" width="3.88671875" style="19" customWidth="1"/>
    <col min="15594" max="15595" width="23.33203125" style="19" customWidth="1"/>
    <col min="15596" max="15596" width="39" style="19" customWidth="1"/>
    <col min="15597" max="15597" width="19.6640625" style="19" customWidth="1"/>
    <col min="15598" max="15601" width="15.6640625" style="19" customWidth="1"/>
    <col min="15602" max="15848" width="9.109375" style="19" customWidth="1"/>
    <col min="15849" max="15849" width="3.88671875" style="19" customWidth="1"/>
    <col min="15850" max="15851" width="23.33203125" style="19" customWidth="1"/>
    <col min="15852" max="15852" width="39" style="19" customWidth="1"/>
    <col min="15853" max="15853" width="19.6640625" style="19" customWidth="1"/>
    <col min="15854" max="15857" width="15.6640625" style="19" customWidth="1"/>
    <col min="15858" max="16104" width="9.109375" style="19" customWidth="1"/>
    <col min="16105" max="16105" width="3.88671875" style="19" customWidth="1"/>
    <col min="16106" max="16107" width="23.33203125" style="19" customWidth="1"/>
    <col min="16108" max="16108" width="39" style="19" customWidth="1"/>
    <col min="16109" max="16109" width="19.6640625" style="19" customWidth="1"/>
    <col min="16110" max="16113" width="15.6640625" style="19" customWidth="1"/>
    <col min="16114" max="16384" width="9.109375" style="19" customWidth="1"/>
  </cols>
  <sheetData>
    <row r="1" spans="1:25" ht="14.25" x14ac:dyDescent="0.2">
      <c r="A1" s="27"/>
      <c r="M1" s="167"/>
      <c r="N1" s="59"/>
      <c r="O1" s="147" t="s">
        <v>157</v>
      </c>
      <c r="P1" s="148"/>
      <c r="Q1" s="148"/>
      <c r="R1" s="148"/>
      <c r="S1" s="149"/>
      <c r="T1" s="149"/>
      <c r="U1" s="148"/>
      <c r="V1" s="148"/>
      <c r="W1" s="148"/>
    </row>
    <row r="2" spans="1:25" ht="18" customHeight="1" x14ac:dyDescent="0.25">
      <c r="A2" s="27"/>
      <c r="B2" s="61" t="s">
        <v>5</v>
      </c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  <c r="H2" s="61" t="s">
        <v>78</v>
      </c>
      <c r="I2" s="62" t="s">
        <v>58</v>
      </c>
      <c r="J2" s="62" t="s">
        <v>232</v>
      </c>
      <c r="K2" s="62" t="s">
        <v>158</v>
      </c>
      <c r="L2" s="131"/>
      <c r="M2" s="167"/>
      <c r="N2" s="125"/>
      <c r="O2" s="229" t="s">
        <v>5</v>
      </c>
      <c r="P2" s="229" t="s">
        <v>260</v>
      </c>
      <c r="Q2" s="229" t="s">
        <v>261</v>
      </c>
      <c r="R2" s="229" t="s">
        <v>262</v>
      </c>
      <c r="S2" s="229" t="s">
        <v>263</v>
      </c>
      <c r="T2" s="229" t="s">
        <v>155</v>
      </c>
      <c r="U2" s="229" t="s">
        <v>97</v>
      </c>
      <c r="V2" s="229" t="s">
        <v>264</v>
      </c>
      <c r="W2" s="229" t="s">
        <v>265</v>
      </c>
    </row>
    <row r="3" spans="1:25" ht="18" customHeight="1" x14ac:dyDescent="0.35">
      <c r="A3" s="27"/>
      <c r="B3" s="181">
        <v>43010</v>
      </c>
      <c r="C3" s="182" t="s">
        <v>190</v>
      </c>
      <c r="D3" s="182" t="s">
        <v>191</v>
      </c>
      <c r="E3" s="182">
        <v>0</v>
      </c>
      <c r="F3" s="182">
        <v>4720</v>
      </c>
      <c r="G3" s="182">
        <v>0</v>
      </c>
      <c r="H3" s="182">
        <v>1125528</v>
      </c>
      <c r="I3" s="216" t="s">
        <v>254</v>
      </c>
      <c r="J3" s="166" t="str">
        <f>IFERROR(VLOOKUP(-F3,$T$3:$W$41,4,FALSE),"")</f>
        <v/>
      </c>
      <c r="K3" s="166" t="str">
        <f>IFERROR(VLOOKUP(-F3,$T$3:$W$41,3,FALSE),"")</f>
        <v/>
      </c>
      <c r="L3" s="195"/>
      <c r="M3" s="125"/>
      <c r="N3" s="125"/>
      <c r="O3" s="260" t="s">
        <v>1253</v>
      </c>
      <c r="P3" s="261" t="s">
        <v>1313</v>
      </c>
      <c r="Q3" s="261" t="s">
        <v>405</v>
      </c>
      <c r="R3" s="261" t="s">
        <v>209</v>
      </c>
      <c r="S3" s="262" t="s">
        <v>406</v>
      </c>
      <c r="T3" s="265">
        <v>-72536</v>
      </c>
      <c r="U3" s="261" t="s">
        <v>208</v>
      </c>
      <c r="V3" s="261" t="s">
        <v>407</v>
      </c>
      <c r="W3" s="263" t="s">
        <v>1314</v>
      </c>
    </row>
    <row r="4" spans="1:25" ht="18" customHeight="1" x14ac:dyDescent="0.35">
      <c r="A4" s="27"/>
      <c r="B4" s="181">
        <v>43010</v>
      </c>
      <c r="C4" s="182" t="s">
        <v>182</v>
      </c>
      <c r="D4" s="182" t="s">
        <v>186</v>
      </c>
      <c r="E4" s="182">
        <v>0</v>
      </c>
      <c r="F4" s="182">
        <v>2500000</v>
      </c>
      <c r="G4" s="182">
        <v>0</v>
      </c>
      <c r="H4" s="182">
        <v>1130248</v>
      </c>
      <c r="I4" s="216" t="s">
        <v>253</v>
      </c>
      <c r="J4" s="166" t="str">
        <f t="shared" ref="J4:J63" si="0">IFERROR(VLOOKUP(-F4,$T$3:$W$41,4,FALSE),"")</f>
        <v xml:space="preserve"> </v>
      </c>
      <c r="K4" s="166" t="str">
        <f t="shared" ref="K4:K63" si="1">IFERROR(VLOOKUP(-F4,$T$3:$W$41,3,FALSE),"")</f>
        <v>SOCIEDAD HOTELERA ZAMORA RAMIREZ HERMANOS LIM</v>
      </c>
      <c r="L4" s="195"/>
      <c r="M4" s="125"/>
      <c r="N4" s="125"/>
      <c r="O4" s="264" t="s">
        <v>1252</v>
      </c>
      <c r="P4" s="261" t="s">
        <v>1315</v>
      </c>
      <c r="Q4" s="261" t="s">
        <v>349</v>
      </c>
      <c r="R4" s="261" t="s">
        <v>211</v>
      </c>
      <c r="S4" s="262" t="s">
        <v>389</v>
      </c>
      <c r="T4" s="265">
        <v>-1878270</v>
      </c>
      <c r="U4" s="261" t="s">
        <v>208</v>
      </c>
      <c r="V4" s="261" t="s">
        <v>350</v>
      </c>
      <c r="W4" s="263" t="s">
        <v>1316</v>
      </c>
      <c r="Y4" s="233"/>
    </row>
    <row r="5" spans="1:25" ht="18" customHeight="1" x14ac:dyDescent="0.35">
      <c r="A5" s="27"/>
      <c r="B5" s="181">
        <v>43010</v>
      </c>
      <c r="C5" s="182" t="s">
        <v>182</v>
      </c>
      <c r="D5" s="182" t="s">
        <v>183</v>
      </c>
      <c r="E5" s="182">
        <v>0</v>
      </c>
      <c r="F5" s="182">
        <v>15000</v>
      </c>
      <c r="G5" s="182">
        <v>0</v>
      </c>
      <c r="H5" s="182">
        <v>3630248</v>
      </c>
      <c r="I5" s="216" t="s">
        <v>50</v>
      </c>
      <c r="J5" s="166" t="str">
        <f t="shared" si="0"/>
        <v>Sueldo sep 17</v>
      </c>
      <c r="K5" s="166" t="str">
        <f t="shared" si="1"/>
        <v xml:space="preserve">Abraham Espiritu                             </v>
      </c>
      <c r="L5" s="195"/>
      <c r="M5" s="125"/>
      <c r="N5" s="125"/>
      <c r="O5" s="264" t="s">
        <v>1252</v>
      </c>
      <c r="P5" s="261" t="s">
        <v>1317</v>
      </c>
      <c r="Q5" s="261" t="s">
        <v>1318</v>
      </c>
      <c r="R5" s="261" t="s">
        <v>207</v>
      </c>
      <c r="S5" s="262" t="s">
        <v>1319</v>
      </c>
      <c r="T5" s="265">
        <v>-602160</v>
      </c>
      <c r="U5" s="261" t="s">
        <v>208</v>
      </c>
      <c r="V5" s="261" t="s">
        <v>1320</v>
      </c>
      <c r="W5" s="263" t="s">
        <v>1321</v>
      </c>
      <c r="Y5" s="233"/>
    </row>
    <row r="6" spans="1:25" ht="18" customHeight="1" x14ac:dyDescent="0.35">
      <c r="A6" s="27"/>
      <c r="B6" s="181">
        <v>43011</v>
      </c>
      <c r="C6" s="182" t="s">
        <v>182</v>
      </c>
      <c r="D6" s="182" t="s">
        <v>187</v>
      </c>
      <c r="E6" s="182">
        <v>0</v>
      </c>
      <c r="F6" s="182">
        <v>0</v>
      </c>
      <c r="G6" s="182">
        <v>5000000</v>
      </c>
      <c r="H6" s="182">
        <v>6026328</v>
      </c>
      <c r="I6" s="216" t="s">
        <v>197</v>
      </c>
      <c r="J6" s="166" t="str">
        <f t="shared" si="0"/>
        <v/>
      </c>
      <c r="K6" s="166" t="str">
        <f t="shared" si="1"/>
        <v/>
      </c>
      <c r="L6" s="195"/>
      <c r="M6" s="125"/>
      <c r="N6" s="125"/>
      <c r="O6" s="264" t="s">
        <v>1252</v>
      </c>
      <c r="P6" s="261" t="s">
        <v>1322</v>
      </c>
      <c r="Q6" s="261" t="s">
        <v>390</v>
      </c>
      <c r="R6" s="261" t="s">
        <v>210</v>
      </c>
      <c r="S6" s="262" t="s">
        <v>391</v>
      </c>
      <c r="T6" s="265">
        <v>-1230138</v>
      </c>
      <c r="U6" s="261" t="s">
        <v>208</v>
      </c>
      <c r="V6" s="261" t="s">
        <v>392</v>
      </c>
      <c r="W6" s="263" t="s">
        <v>1323</v>
      </c>
      <c r="Y6" s="233"/>
    </row>
    <row r="7" spans="1:25" s="109" customFormat="1" ht="18" customHeight="1" x14ac:dyDescent="0.35">
      <c r="A7" s="27"/>
      <c r="B7" s="181">
        <v>43011</v>
      </c>
      <c r="C7" s="182" t="s">
        <v>182</v>
      </c>
      <c r="D7" s="182" t="s">
        <v>186</v>
      </c>
      <c r="E7" s="182">
        <v>0</v>
      </c>
      <c r="F7" s="182">
        <v>99200</v>
      </c>
      <c r="G7" s="182">
        <v>0</v>
      </c>
      <c r="H7" s="182">
        <v>1026328</v>
      </c>
      <c r="I7" s="216" t="s">
        <v>9</v>
      </c>
      <c r="J7" s="166" t="str">
        <f t="shared" si="0"/>
        <v>Pasajero Pascual Andino</v>
      </c>
      <c r="K7" s="166" t="str">
        <f t="shared" si="1"/>
        <v xml:space="preserve">Kimal SA                                     </v>
      </c>
      <c r="L7" s="195"/>
      <c r="M7" s="125"/>
      <c r="N7" s="125"/>
      <c r="O7" s="264" t="s">
        <v>1324</v>
      </c>
      <c r="P7" s="261" t="s">
        <v>1325</v>
      </c>
      <c r="Q7" s="261" t="s">
        <v>385</v>
      </c>
      <c r="R7" s="261" t="s">
        <v>386</v>
      </c>
      <c r="S7" s="262" t="s">
        <v>387</v>
      </c>
      <c r="T7" s="328">
        <v>-200000</v>
      </c>
      <c r="U7" s="329" t="s">
        <v>208</v>
      </c>
      <c r="V7" s="329" t="s">
        <v>388</v>
      </c>
      <c r="W7" s="330" t="s">
        <v>1326</v>
      </c>
      <c r="Y7" s="233"/>
    </row>
    <row r="8" spans="1:25" ht="18" customHeight="1" x14ac:dyDescent="0.35">
      <c r="A8" s="27"/>
      <c r="B8" s="181">
        <v>43012</v>
      </c>
      <c r="C8" s="182" t="s">
        <v>184</v>
      </c>
      <c r="D8" s="182" t="s">
        <v>1281</v>
      </c>
      <c r="E8" s="182">
        <v>0</v>
      </c>
      <c r="F8" s="182">
        <v>47582</v>
      </c>
      <c r="G8" s="182">
        <v>0</v>
      </c>
      <c r="H8" s="182">
        <v>5978746</v>
      </c>
      <c r="I8" s="216" t="s">
        <v>252</v>
      </c>
      <c r="J8" s="166" t="str">
        <f t="shared" si="0"/>
        <v/>
      </c>
      <c r="K8" s="166" t="str">
        <f t="shared" si="1"/>
        <v/>
      </c>
      <c r="L8" s="195"/>
      <c r="M8" s="125"/>
      <c r="N8" s="125"/>
      <c r="O8" s="260" t="s">
        <v>1324</v>
      </c>
      <c r="P8" s="261" t="s">
        <v>1327</v>
      </c>
      <c r="Q8" s="261" t="s">
        <v>243</v>
      </c>
      <c r="R8" s="261" t="s">
        <v>211</v>
      </c>
      <c r="S8" s="262" t="s">
        <v>382</v>
      </c>
      <c r="T8" s="265">
        <v>-400000</v>
      </c>
      <c r="U8" s="261" t="s">
        <v>208</v>
      </c>
      <c r="V8" s="261" t="s">
        <v>244</v>
      </c>
      <c r="W8" s="263" t="s">
        <v>259</v>
      </c>
      <c r="Y8" s="233"/>
    </row>
    <row r="9" spans="1:25" ht="18" customHeight="1" x14ac:dyDescent="0.35">
      <c r="A9" s="27"/>
      <c r="B9" s="181">
        <v>43013</v>
      </c>
      <c r="C9" s="182" t="s">
        <v>184</v>
      </c>
      <c r="D9" s="182" t="s">
        <v>185</v>
      </c>
      <c r="E9" s="182">
        <v>0</v>
      </c>
      <c r="F9" s="182">
        <v>11212</v>
      </c>
      <c r="G9" s="182">
        <v>0</v>
      </c>
      <c r="H9" s="182">
        <v>5949648</v>
      </c>
      <c r="I9" s="216" t="s">
        <v>252</v>
      </c>
      <c r="J9" s="166" t="str">
        <f t="shared" si="0"/>
        <v/>
      </c>
      <c r="K9" s="166" t="str">
        <f t="shared" si="1"/>
        <v/>
      </c>
      <c r="L9" s="195"/>
      <c r="M9" s="125"/>
      <c r="N9" s="125"/>
      <c r="O9" s="260" t="s">
        <v>1324</v>
      </c>
      <c r="P9" s="261" t="s">
        <v>1328</v>
      </c>
      <c r="Q9" s="261" t="s">
        <v>398</v>
      </c>
      <c r="R9" s="261" t="s">
        <v>210</v>
      </c>
      <c r="S9" s="262" t="s">
        <v>399</v>
      </c>
      <c r="T9" s="265">
        <v>-60000</v>
      </c>
      <c r="U9" s="261" t="s">
        <v>208</v>
      </c>
      <c r="V9" s="261" t="s">
        <v>400</v>
      </c>
      <c r="W9" s="263" t="s">
        <v>259</v>
      </c>
      <c r="Y9" s="233"/>
    </row>
    <row r="10" spans="1:25" ht="18" customHeight="1" x14ac:dyDescent="0.35">
      <c r="A10" s="27"/>
      <c r="B10" s="181">
        <v>43013</v>
      </c>
      <c r="C10" s="182" t="s">
        <v>182</v>
      </c>
      <c r="D10" s="182" t="s">
        <v>183</v>
      </c>
      <c r="E10" s="182">
        <v>0</v>
      </c>
      <c r="F10" s="182">
        <v>126886</v>
      </c>
      <c r="G10" s="182">
        <v>0</v>
      </c>
      <c r="H10" s="182">
        <v>5960860</v>
      </c>
      <c r="I10" s="216" t="s">
        <v>254</v>
      </c>
      <c r="J10" s="166" t="str">
        <f t="shared" si="0"/>
        <v>Fact 360930</v>
      </c>
      <c r="K10" s="166" t="str">
        <f t="shared" si="1"/>
        <v xml:space="preserve">Acepta.com                                   </v>
      </c>
      <c r="L10" s="195"/>
      <c r="M10" s="125"/>
      <c r="N10" s="125"/>
      <c r="O10" s="260" t="s">
        <v>1324</v>
      </c>
      <c r="P10" s="261" t="s">
        <v>1329</v>
      </c>
      <c r="Q10" s="261" t="s">
        <v>1330</v>
      </c>
      <c r="R10" s="261" t="s">
        <v>210</v>
      </c>
      <c r="S10" s="262" t="s">
        <v>1331</v>
      </c>
      <c r="T10" s="265">
        <v>-180000</v>
      </c>
      <c r="U10" s="261" t="s">
        <v>208</v>
      </c>
      <c r="V10" s="261" t="s">
        <v>1332</v>
      </c>
      <c r="W10" s="263" t="s">
        <v>259</v>
      </c>
      <c r="Y10" s="233"/>
    </row>
    <row r="11" spans="1:25" ht="18" customHeight="1" x14ac:dyDescent="0.35">
      <c r="A11" s="27"/>
      <c r="B11" s="181">
        <v>43013</v>
      </c>
      <c r="C11" s="182" t="s">
        <v>344</v>
      </c>
      <c r="D11" s="182" t="s">
        <v>409</v>
      </c>
      <c r="E11" s="182">
        <v>0</v>
      </c>
      <c r="F11" s="182">
        <v>0</v>
      </c>
      <c r="G11" s="182">
        <v>90000</v>
      </c>
      <c r="H11" s="182">
        <v>6087746</v>
      </c>
      <c r="I11" s="216" t="s">
        <v>257</v>
      </c>
      <c r="J11" s="166" t="str">
        <f t="shared" si="0"/>
        <v/>
      </c>
      <c r="K11" s="166" t="str">
        <f t="shared" si="1"/>
        <v/>
      </c>
      <c r="L11" s="195"/>
      <c r="M11" s="125"/>
      <c r="N11" s="125"/>
      <c r="O11" s="260" t="s">
        <v>1324</v>
      </c>
      <c r="P11" s="261" t="s">
        <v>1333</v>
      </c>
      <c r="Q11" s="261" t="s">
        <v>1334</v>
      </c>
      <c r="R11" s="261" t="s">
        <v>210</v>
      </c>
      <c r="S11" s="262" t="s">
        <v>1335</v>
      </c>
      <c r="T11" s="265">
        <v>-90000</v>
      </c>
      <c r="U11" s="261" t="s">
        <v>208</v>
      </c>
      <c r="V11" s="261" t="s">
        <v>1336</v>
      </c>
      <c r="W11" s="263" t="s">
        <v>1337</v>
      </c>
      <c r="Y11" s="233"/>
    </row>
    <row r="12" spans="1:25" ht="18" customHeight="1" x14ac:dyDescent="0.35">
      <c r="A12" s="27"/>
      <c r="B12" s="181">
        <v>43013</v>
      </c>
      <c r="C12" s="182" t="s">
        <v>344</v>
      </c>
      <c r="D12" s="182" t="s">
        <v>409</v>
      </c>
      <c r="E12" s="182">
        <v>0</v>
      </c>
      <c r="F12" s="182">
        <v>0</v>
      </c>
      <c r="G12" s="182">
        <v>19000</v>
      </c>
      <c r="H12" s="182">
        <v>5997746</v>
      </c>
      <c r="I12" s="216" t="s">
        <v>257</v>
      </c>
      <c r="J12" s="166" t="str">
        <f t="shared" si="0"/>
        <v/>
      </c>
      <c r="K12" s="166" t="str">
        <f t="shared" si="1"/>
        <v/>
      </c>
      <c r="L12" s="195"/>
      <c r="M12" s="125"/>
      <c r="N12" s="125"/>
      <c r="O12" s="260" t="s">
        <v>1324</v>
      </c>
      <c r="P12" s="261" t="s">
        <v>1338</v>
      </c>
      <c r="Q12" s="261" t="s">
        <v>215</v>
      </c>
      <c r="R12" s="261" t="s">
        <v>209</v>
      </c>
      <c r="S12" s="262" t="s">
        <v>427</v>
      </c>
      <c r="T12" s="265">
        <v>-1100662</v>
      </c>
      <c r="U12" s="261" t="s">
        <v>208</v>
      </c>
      <c r="V12" s="261" t="s">
        <v>428</v>
      </c>
      <c r="W12" s="263" t="s">
        <v>1337</v>
      </c>
      <c r="Y12" s="233"/>
    </row>
    <row r="13" spans="1:25" ht="18" customHeight="1" x14ac:dyDescent="0.35">
      <c r="A13" s="27"/>
      <c r="B13" s="181">
        <v>43014</v>
      </c>
      <c r="C13" s="182" t="s">
        <v>182</v>
      </c>
      <c r="D13" s="182" t="s">
        <v>186</v>
      </c>
      <c r="E13" s="182">
        <v>0</v>
      </c>
      <c r="F13" s="182">
        <v>279833</v>
      </c>
      <c r="G13" s="182">
        <v>0</v>
      </c>
      <c r="H13" s="182">
        <v>1520756</v>
      </c>
      <c r="I13" s="216" t="s">
        <v>254</v>
      </c>
      <c r="J13" s="166" t="str">
        <f t="shared" si="0"/>
        <v>Camioneta Soc Hotelera Zamora</v>
      </c>
      <c r="K13" s="166" t="str">
        <f t="shared" si="1"/>
        <v xml:space="preserve">Soc Repuestos Rodar Imda                     </v>
      </c>
      <c r="L13" s="195" t="s">
        <v>1394</v>
      </c>
      <c r="M13" s="125"/>
      <c r="N13" s="125"/>
      <c r="O13" s="260" t="s">
        <v>1324</v>
      </c>
      <c r="P13" s="261" t="s">
        <v>1339</v>
      </c>
      <c r="Q13" s="261" t="s">
        <v>343</v>
      </c>
      <c r="R13" s="261" t="s">
        <v>429</v>
      </c>
      <c r="S13" s="262" t="s">
        <v>430</v>
      </c>
      <c r="T13" s="265">
        <v>-536311</v>
      </c>
      <c r="U13" s="261" t="s">
        <v>208</v>
      </c>
      <c r="V13" s="261" t="s">
        <v>431</v>
      </c>
      <c r="W13" s="263" t="s">
        <v>1337</v>
      </c>
      <c r="Y13" s="233"/>
    </row>
    <row r="14" spans="1:25" ht="18" customHeight="1" x14ac:dyDescent="0.35">
      <c r="A14" s="27"/>
      <c r="B14" s="181">
        <v>43014</v>
      </c>
      <c r="C14" s="182" t="s">
        <v>188</v>
      </c>
      <c r="D14" s="182" t="s">
        <v>189</v>
      </c>
      <c r="E14" s="182">
        <v>0</v>
      </c>
      <c r="F14" s="182">
        <v>4149059</v>
      </c>
      <c r="G14" s="182">
        <v>0</v>
      </c>
      <c r="H14" s="182">
        <v>1800589</v>
      </c>
      <c r="I14" s="216" t="s">
        <v>22</v>
      </c>
      <c r="J14" s="166" t="str">
        <f t="shared" si="0"/>
        <v/>
      </c>
      <c r="K14" s="166" t="str">
        <f t="shared" si="1"/>
        <v/>
      </c>
      <c r="L14" s="195"/>
      <c r="M14" s="125"/>
      <c r="N14" s="125"/>
      <c r="O14" s="260" t="s">
        <v>1324</v>
      </c>
      <c r="P14" s="261" t="s">
        <v>1340</v>
      </c>
      <c r="Q14" s="261" t="s">
        <v>214</v>
      </c>
      <c r="R14" s="261" t="s">
        <v>210</v>
      </c>
      <c r="S14" s="262" t="s">
        <v>397</v>
      </c>
      <c r="T14" s="265">
        <v>-499365</v>
      </c>
      <c r="U14" s="261" t="s">
        <v>208</v>
      </c>
      <c r="V14" s="261" t="s">
        <v>221</v>
      </c>
      <c r="W14" s="263" t="s">
        <v>1337</v>
      </c>
      <c r="Y14" s="233"/>
    </row>
    <row r="15" spans="1:25" ht="18" customHeight="1" x14ac:dyDescent="0.35">
      <c r="A15" s="27"/>
      <c r="B15" s="181">
        <v>43019</v>
      </c>
      <c r="C15" s="182" t="s">
        <v>182</v>
      </c>
      <c r="D15" s="182" t="s">
        <v>183</v>
      </c>
      <c r="E15" s="182">
        <v>0</v>
      </c>
      <c r="F15" s="182">
        <v>120000</v>
      </c>
      <c r="G15" s="182">
        <v>0</v>
      </c>
      <c r="H15" s="182">
        <v>1400756</v>
      </c>
      <c r="I15" s="216" t="s">
        <v>50</v>
      </c>
      <c r="J15" s="166" t="str">
        <f t="shared" si="0"/>
        <v>Sueldo Jesus</v>
      </c>
      <c r="K15" s="166" t="str">
        <f t="shared" si="1"/>
        <v xml:space="preserve">Jesus Roncal                                 </v>
      </c>
      <c r="L15" s="195"/>
      <c r="M15" s="125"/>
      <c r="N15" s="125"/>
      <c r="O15" s="260" t="s">
        <v>1324</v>
      </c>
      <c r="P15" s="261" t="s">
        <v>1341</v>
      </c>
      <c r="Q15" s="261" t="s">
        <v>223</v>
      </c>
      <c r="R15" s="261" t="s">
        <v>210</v>
      </c>
      <c r="S15" s="262" t="s">
        <v>401</v>
      </c>
      <c r="T15" s="265">
        <v>-480667</v>
      </c>
      <c r="U15" s="261" t="s">
        <v>208</v>
      </c>
      <c r="V15" s="261" t="s">
        <v>224</v>
      </c>
      <c r="W15" s="263" t="s">
        <v>1337</v>
      </c>
      <c r="Y15" s="233"/>
    </row>
    <row r="16" spans="1:25" ht="18" customHeight="1" x14ac:dyDescent="0.35">
      <c r="A16" s="27"/>
      <c r="B16" s="181">
        <v>43020</v>
      </c>
      <c r="C16" s="182" t="s">
        <v>182</v>
      </c>
      <c r="D16" s="182" t="s">
        <v>187</v>
      </c>
      <c r="E16" s="182">
        <v>0</v>
      </c>
      <c r="F16" s="182">
        <v>0</v>
      </c>
      <c r="G16" s="182">
        <v>2804211</v>
      </c>
      <c r="H16" s="182">
        <v>4220967</v>
      </c>
      <c r="I16" s="216" t="s">
        <v>197</v>
      </c>
      <c r="J16" s="166" t="str">
        <f t="shared" si="0"/>
        <v/>
      </c>
      <c r="K16" s="166" t="str">
        <f t="shared" si="1"/>
        <v/>
      </c>
      <c r="L16" s="195"/>
      <c r="M16" s="125"/>
      <c r="N16" s="125"/>
      <c r="O16" s="260" t="s">
        <v>1324</v>
      </c>
      <c r="P16" s="261" t="s">
        <v>1342</v>
      </c>
      <c r="Q16" s="261" t="s">
        <v>212</v>
      </c>
      <c r="R16" s="261" t="s">
        <v>210</v>
      </c>
      <c r="S16" s="262" t="s">
        <v>396</v>
      </c>
      <c r="T16" s="265">
        <v>-562657</v>
      </c>
      <c r="U16" s="261" t="s">
        <v>208</v>
      </c>
      <c r="V16" s="261" t="s">
        <v>222</v>
      </c>
      <c r="W16" s="263" t="s">
        <v>259</v>
      </c>
      <c r="Y16" s="233"/>
    </row>
    <row r="17" spans="1:25" ht="18" customHeight="1" x14ac:dyDescent="0.35">
      <c r="A17" s="27"/>
      <c r="B17" s="181">
        <v>43020</v>
      </c>
      <c r="C17" s="182" t="s">
        <v>344</v>
      </c>
      <c r="D17" s="182" t="s">
        <v>409</v>
      </c>
      <c r="E17" s="182">
        <v>0</v>
      </c>
      <c r="F17" s="182">
        <v>0</v>
      </c>
      <c r="G17" s="182">
        <v>16000</v>
      </c>
      <c r="H17" s="182">
        <v>1416756</v>
      </c>
      <c r="I17" s="216" t="s">
        <v>257</v>
      </c>
      <c r="J17" s="166" t="str">
        <f t="shared" si="0"/>
        <v/>
      </c>
      <c r="K17" s="166" t="str">
        <f t="shared" si="1"/>
        <v/>
      </c>
      <c r="L17" s="195"/>
      <c r="M17" s="125"/>
      <c r="N17" s="125"/>
      <c r="O17" s="260" t="s">
        <v>1324</v>
      </c>
      <c r="P17" s="261" t="s">
        <v>1343</v>
      </c>
      <c r="Q17" s="261" t="s">
        <v>351</v>
      </c>
      <c r="R17" s="261" t="s">
        <v>207</v>
      </c>
      <c r="S17" s="262" t="s">
        <v>395</v>
      </c>
      <c r="T17" s="265">
        <v>-499171</v>
      </c>
      <c r="U17" s="261" t="s">
        <v>208</v>
      </c>
      <c r="V17" s="261" t="s">
        <v>352</v>
      </c>
      <c r="W17" s="263" t="s">
        <v>1337</v>
      </c>
      <c r="Y17" s="233"/>
    </row>
    <row r="18" spans="1:25" ht="18" customHeight="1" x14ac:dyDescent="0.35">
      <c r="A18" s="27"/>
      <c r="B18" s="181">
        <v>43021</v>
      </c>
      <c r="C18" s="182" t="s">
        <v>182</v>
      </c>
      <c r="D18" s="182" t="s">
        <v>183</v>
      </c>
      <c r="E18" s="182">
        <v>0</v>
      </c>
      <c r="F18" s="182">
        <v>142630</v>
      </c>
      <c r="G18" s="182">
        <v>0</v>
      </c>
      <c r="H18" s="182">
        <v>4224296</v>
      </c>
      <c r="I18" s="216" t="s">
        <v>254</v>
      </c>
      <c r="J18" s="166" t="str">
        <f t="shared" si="0"/>
        <v>Fact 143151</v>
      </c>
      <c r="K18" s="166" t="str">
        <f t="shared" si="1"/>
        <v xml:space="preserve">Truly Nolen Chile SA                         </v>
      </c>
      <c r="L18" s="195"/>
      <c r="M18" s="125"/>
      <c r="N18" s="125"/>
      <c r="O18" s="260" t="s">
        <v>1324</v>
      </c>
      <c r="P18" s="261" t="s">
        <v>1344</v>
      </c>
      <c r="Q18" s="261" t="s">
        <v>402</v>
      </c>
      <c r="R18" s="261" t="s">
        <v>210</v>
      </c>
      <c r="S18" s="262" t="s">
        <v>403</v>
      </c>
      <c r="T18" s="265">
        <v>-496333</v>
      </c>
      <c r="U18" s="261" t="s">
        <v>208</v>
      </c>
      <c r="V18" s="261" t="s">
        <v>404</v>
      </c>
      <c r="W18" s="263" t="s">
        <v>1337</v>
      </c>
      <c r="Y18" s="233"/>
    </row>
    <row r="19" spans="1:25" ht="18" customHeight="1" x14ac:dyDescent="0.35">
      <c r="A19" s="27"/>
      <c r="B19" s="181">
        <v>43021</v>
      </c>
      <c r="C19" s="182" t="s">
        <v>182</v>
      </c>
      <c r="D19" s="182" t="s">
        <v>187</v>
      </c>
      <c r="E19" s="182">
        <v>0</v>
      </c>
      <c r="F19" s="182">
        <v>0</v>
      </c>
      <c r="G19" s="182">
        <v>145959</v>
      </c>
      <c r="H19" s="182">
        <v>4366926</v>
      </c>
      <c r="I19" s="216" t="s">
        <v>257</v>
      </c>
      <c r="J19" s="166" t="str">
        <f t="shared" si="0"/>
        <v/>
      </c>
      <c r="K19" s="166" t="str">
        <f t="shared" si="1"/>
        <v/>
      </c>
      <c r="L19" s="195"/>
      <c r="M19" s="125"/>
      <c r="N19" s="125"/>
      <c r="O19" s="260" t="s">
        <v>1324</v>
      </c>
      <c r="P19" s="261" t="s">
        <v>1345</v>
      </c>
      <c r="Q19" s="261" t="s">
        <v>322</v>
      </c>
      <c r="R19" s="261" t="s">
        <v>210</v>
      </c>
      <c r="S19" s="262" t="s">
        <v>384</v>
      </c>
      <c r="T19" s="265">
        <v>-271985</v>
      </c>
      <c r="U19" s="261" t="s">
        <v>208</v>
      </c>
      <c r="V19" s="261" t="s">
        <v>1346</v>
      </c>
      <c r="W19" s="263" t="s">
        <v>259</v>
      </c>
      <c r="Y19" s="233"/>
    </row>
    <row r="20" spans="1:25" ht="18" customHeight="1" x14ac:dyDescent="0.35">
      <c r="A20" s="27"/>
      <c r="B20" s="181">
        <v>43024</v>
      </c>
      <c r="C20" s="182" t="s">
        <v>182</v>
      </c>
      <c r="D20" s="182" t="s">
        <v>187</v>
      </c>
      <c r="E20" s="182">
        <v>0</v>
      </c>
      <c r="F20" s="182">
        <v>0</v>
      </c>
      <c r="G20" s="182">
        <v>5000000</v>
      </c>
      <c r="H20" s="182">
        <v>7331803</v>
      </c>
      <c r="I20" s="216" t="s">
        <v>197</v>
      </c>
      <c r="J20" s="166" t="str">
        <f t="shared" si="0"/>
        <v/>
      </c>
      <c r="K20" s="166" t="str">
        <f t="shared" si="1"/>
        <v/>
      </c>
      <c r="L20" s="278"/>
      <c r="M20" s="279"/>
      <c r="N20" s="125"/>
      <c r="O20" s="260" t="s">
        <v>1324</v>
      </c>
      <c r="P20" s="261" t="s">
        <v>1347</v>
      </c>
      <c r="Q20" s="261" t="s">
        <v>353</v>
      </c>
      <c r="R20" s="261" t="s">
        <v>210</v>
      </c>
      <c r="S20" s="262" t="s">
        <v>394</v>
      </c>
      <c r="T20" s="265">
        <v>-480323</v>
      </c>
      <c r="U20" s="261" t="s">
        <v>208</v>
      </c>
      <c r="V20" s="261" t="s">
        <v>354</v>
      </c>
      <c r="W20" s="263" t="s">
        <v>1337</v>
      </c>
      <c r="Y20" s="233"/>
    </row>
    <row r="21" spans="1:25" ht="18" customHeight="1" x14ac:dyDescent="0.35">
      <c r="A21" s="27"/>
      <c r="B21" s="181">
        <v>43024</v>
      </c>
      <c r="C21" s="182" t="s">
        <v>182</v>
      </c>
      <c r="D21" s="182" t="s">
        <v>360</v>
      </c>
      <c r="E21" s="182">
        <v>0</v>
      </c>
      <c r="F21" s="182">
        <v>855105</v>
      </c>
      <c r="G21" s="182">
        <v>0</v>
      </c>
      <c r="H21" s="182">
        <v>2331803</v>
      </c>
      <c r="I21" s="216" t="s">
        <v>156</v>
      </c>
      <c r="J21" s="166" t="str">
        <f t="shared" si="0"/>
        <v/>
      </c>
      <c r="K21" s="166" t="str">
        <f t="shared" si="1"/>
        <v/>
      </c>
      <c r="L21" s="195"/>
      <c r="M21" s="125"/>
      <c r="N21" s="125"/>
      <c r="O21" s="260" t="s">
        <v>1254</v>
      </c>
      <c r="P21" s="261" t="s">
        <v>1348</v>
      </c>
      <c r="Q21" s="261" t="s">
        <v>371</v>
      </c>
      <c r="R21" s="261" t="s">
        <v>209</v>
      </c>
      <c r="S21" s="262" t="s">
        <v>381</v>
      </c>
      <c r="T21" s="265">
        <v>-117727</v>
      </c>
      <c r="U21" s="261" t="s">
        <v>208</v>
      </c>
      <c r="V21" s="261" t="s">
        <v>372</v>
      </c>
      <c r="W21" s="263" t="s">
        <v>1349</v>
      </c>
      <c r="Y21" s="233"/>
    </row>
    <row r="22" spans="1:25" ht="18" customHeight="1" x14ac:dyDescent="0.35">
      <c r="A22" s="27"/>
      <c r="B22" s="181">
        <v>43024</v>
      </c>
      <c r="C22" s="182" t="s">
        <v>182</v>
      </c>
      <c r="D22" s="182" t="s">
        <v>360</v>
      </c>
      <c r="E22" s="182">
        <v>0</v>
      </c>
      <c r="F22" s="182">
        <v>255200</v>
      </c>
      <c r="G22" s="182">
        <v>0</v>
      </c>
      <c r="H22" s="182">
        <v>3186908</v>
      </c>
      <c r="I22" s="216" t="s">
        <v>251</v>
      </c>
      <c r="J22" s="166" t="str">
        <f t="shared" si="0"/>
        <v/>
      </c>
      <c r="K22" s="166" t="str">
        <f t="shared" si="1"/>
        <v/>
      </c>
      <c r="L22" s="195"/>
      <c r="M22" s="125"/>
      <c r="N22" s="125"/>
      <c r="O22" s="260" t="s">
        <v>1254</v>
      </c>
      <c r="P22" s="261" t="s">
        <v>1350</v>
      </c>
      <c r="Q22" s="261" t="s">
        <v>1351</v>
      </c>
      <c r="R22" s="261" t="s">
        <v>209</v>
      </c>
      <c r="S22" s="262" t="s">
        <v>1352</v>
      </c>
      <c r="T22" s="265">
        <v>-102102</v>
      </c>
      <c r="U22" s="261" t="s">
        <v>208</v>
      </c>
      <c r="V22" s="261" t="s">
        <v>1353</v>
      </c>
      <c r="W22" s="263" t="s">
        <v>1354</v>
      </c>
      <c r="Y22" s="233"/>
    </row>
    <row r="23" spans="1:25" ht="18" customHeight="1" x14ac:dyDescent="0.35">
      <c r="A23" s="27"/>
      <c r="B23" s="181">
        <v>43024</v>
      </c>
      <c r="C23" s="182" t="s">
        <v>182</v>
      </c>
      <c r="D23" s="182" t="s">
        <v>360</v>
      </c>
      <c r="E23" s="182">
        <v>0</v>
      </c>
      <c r="F23" s="182">
        <v>782188</v>
      </c>
      <c r="G23" s="182">
        <v>0</v>
      </c>
      <c r="H23" s="182">
        <v>3442108</v>
      </c>
      <c r="I23" s="216" t="s">
        <v>156</v>
      </c>
      <c r="J23" s="166" t="str">
        <f t="shared" si="0"/>
        <v/>
      </c>
      <c r="K23" s="166" t="str">
        <f t="shared" si="1"/>
        <v/>
      </c>
      <c r="L23" s="195"/>
      <c r="M23" s="125"/>
      <c r="N23" s="125"/>
      <c r="O23" s="260" t="s">
        <v>1254</v>
      </c>
      <c r="P23" s="261" t="s">
        <v>1355</v>
      </c>
      <c r="Q23" s="261" t="s">
        <v>243</v>
      </c>
      <c r="R23" s="261" t="s">
        <v>211</v>
      </c>
      <c r="S23" s="262" t="s">
        <v>382</v>
      </c>
      <c r="T23" s="265">
        <v>-210000</v>
      </c>
      <c r="U23" s="261" t="s">
        <v>208</v>
      </c>
      <c r="V23" s="261" t="s">
        <v>244</v>
      </c>
      <c r="W23" s="263" t="s">
        <v>259</v>
      </c>
      <c r="Y23" s="233"/>
    </row>
    <row r="24" spans="1:25" s="144" customFormat="1" ht="18" customHeight="1" x14ac:dyDescent="0.35">
      <c r="A24" s="27"/>
      <c r="B24" s="181">
        <v>43025</v>
      </c>
      <c r="C24" s="182" t="s">
        <v>182</v>
      </c>
      <c r="D24" s="182" t="s">
        <v>183</v>
      </c>
      <c r="E24" s="182">
        <v>0</v>
      </c>
      <c r="F24" s="182">
        <v>200000</v>
      </c>
      <c r="G24" s="182">
        <v>0</v>
      </c>
      <c r="H24" s="182">
        <v>3106676</v>
      </c>
      <c r="I24" s="216" t="s">
        <v>50</v>
      </c>
      <c r="J24" s="166" t="s">
        <v>1395</v>
      </c>
      <c r="K24" s="166"/>
      <c r="L24" s="195"/>
      <c r="M24" s="125"/>
      <c r="N24" s="125"/>
      <c r="O24" s="260" t="s">
        <v>1356</v>
      </c>
      <c r="P24" s="261" t="s">
        <v>1357</v>
      </c>
      <c r="Q24" s="261" t="s">
        <v>371</v>
      </c>
      <c r="R24" s="261" t="s">
        <v>209</v>
      </c>
      <c r="S24" s="262" t="s">
        <v>381</v>
      </c>
      <c r="T24" s="265">
        <v>-313188</v>
      </c>
      <c r="U24" s="261" t="s">
        <v>208</v>
      </c>
      <c r="V24" s="261" t="s">
        <v>372</v>
      </c>
      <c r="W24" s="263" t="s">
        <v>1358</v>
      </c>
      <c r="Y24" s="233"/>
    </row>
    <row r="25" spans="1:25" s="144" customFormat="1" ht="18" customHeight="1" x14ac:dyDescent="0.35">
      <c r="A25" s="27"/>
      <c r="B25" s="181">
        <v>43025</v>
      </c>
      <c r="C25" s="182" t="s">
        <v>344</v>
      </c>
      <c r="D25" s="182" t="s">
        <v>409</v>
      </c>
      <c r="E25" s="182">
        <v>0</v>
      </c>
      <c r="F25" s="182">
        <v>0</v>
      </c>
      <c r="G25" s="182">
        <v>16000</v>
      </c>
      <c r="H25" s="182">
        <v>3306676</v>
      </c>
      <c r="I25" s="216" t="s">
        <v>257</v>
      </c>
      <c r="J25" s="166" t="str">
        <f t="shared" si="0"/>
        <v/>
      </c>
      <c r="K25" s="166" t="str">
        <f t="shared" si="1"/>
        <v/>
      </c>
      <c r="L25" s="195"/>
      <c r="M25" s="125"/>
      <c r="N25" s="125"/>
      <c r="O25" s="260" t="s">
        <v>1356</v>
      </c>
      <c r="P25" s="261" t="s">
        <v>1359</v>
      </c>
      <c r="Q25" s="261" t="s">
        <v>405</v>
      </c>
      <c r="R25" s="261" t="s">
        <v>209</v>
      </c>
      <c r="S25" s="262" t="s">
        <v>406</v>
      </c>
      <c r="T25" s="265">
        <v>-73450</v>
      </c>
      <c r="U25" s="261" t="s">
        <v>208</v>
      </c>
      <c r="V25" s="261" t="s">
        <v>407</v>
      </c>
      <c r="W25" s="263" t="s">
        <v>1360</v>
      </c>
      <c r="Y25" s="233"/>
    </row>
    <row r="26" spans="1:25" s="144" customFormat="1" ht="18" customHeight="1" x14ac:dyDescent="0.35">
      <c r="A26" s="27"/>
      <c r="B26" s="181">
        <v>43025</v>
      </c>
      <c r="C26" s="182" t="s">
        <v>190</v>
      </c>
      <c r="D26" s="182" t="s">
        <v>219</v>
      </c>
      <c r="E26" s="182">
        <v>0</v>
      </c>
      <c r="F26" s="182">
        <v>100000</v>
      </c>
      <c r="G26" s="182">
        <v>0</v>
      </c>
      <c r="H26" s="182">
        <v>3290676</v>
      </c>
      <c r="I26" s="216" t="s">
        <v>254</v>
      </c>
      <c r="J26" s="166" t="str">
        <f t="shared" si="0"/>
        <v/>
      </c>
      <c r="K26" s="166" t="str">
        <f t="shared" si="1"/>
        <v/>
      </c>
      <c r="L26" s="195"/>
      <c r="M26" s="125"/>
      <c r="N26" s="125"/>
      <c r="O26" s="260" t="s">
        <v>1250</v>
      </c>
      <c r="P26" s="261" t="s">
        <v>1361</v>
      </c>
      <c r="Q26" s="261" t="s">
        <v>213</v>
      </c>
      <c r="R26" s="261" t="s">
        <v>211</v>
      </c>
      <c r="S26" s="262" t="s">
        <v>393</v>
      </c>
      <c r="T26" s="265">
        <v>-1276345</v>
      </c>
      <c r="U26" s="261" t="s">
        <v>208</v>
      </c>
      <c r="V26" s="261" t="s">
        <v>220</v>
      </c>
      <c r="W26" s="263" t="s">
        <v>1362</v>
      </c>
      <c r="Y26" s="233"/>
    </row>
    <row r="27" spans="1:25" s="144" customFormat="1" ht="18" customHeight="1" x14ac:dyDescent="0.35">
      <c r="A27" s="27"/>
      <c r="B27" s="181">
        <v>43025</v>
      </c>
      <c r="C27" s="182" t="s">
        <v>190</v>
      </c>
      <c r="D27" s="182" t="s">
        <v>191</v>
      </c>
      <c r="E27" s="182">
        <v>0</v>
      </c>
      <c r="F27" s="182">
        <v>13348</v>
      </c>
      <c r="G27" s="182">
        <v>0</v>
      </c>
      <c r="H27" s="182">
        <v>3390676</v>
      </c>
      <c r="I27" s="216" t="s">
        <v>254</v>
      </c>
      <c r="J27" s="166" t="str">
        <f t="shared" si="0"/>
        <v/>
      </c>
      <c r="K27" s="166" t="str">
        <f t="shared" si="1"/>
        <v/>
      </c>
      <c r="L27" s="195"/>
      <c r="M27" s="125"/>
      <c r="N27" s="125"/>
      <c r="O27" s="260" t="s">
        <v>1250</v>
      </c>
      <c r="P27" s="261" t="s">
        <v>1363</v>
      </c>
      <c r="Q27" s="261" t="s">
        <v>1364</v>
      </c>
      <c r="R27" s="261" t="s">
        <v>207</v>
      </c>
      <c r="S27" s="262" t="s">
        <v>1365</v>
      </c>
      <c r="T27" s="265">
        <v>-170146</v>
      </c>
      <c r="U27" s="261" t="s">
        <v>208</v>
      </c>
      <c r="V27" s="261" t="s">
        <v>1366</v>
      </c>
      <c r="W27" s="263" t="s">
        <v>1367</v>
      </c>
      <c r="Y27" s="233"/>
    </row>
    <row r="28" spans="1:25" s="144" customFormat="1" ht="18" customHeight="1" x14ac:dyDescent="0.35">
      <c r="A28" s="27"/>
      <c r="B28" s="181">
        <v>43025</v>
      </c>
      <c r="C28" s="182" t="s">
        <v>184</v>
      </c>
      <c r="D28" s="182" t="s">
        <v>192</v>
      </c>
      <c r="E28" s="182">
        <v>5420443</v>
      </c>
      <c r="F28" s="182">
        <v>3736040</v>
      </c>
      <c r="G28" s="182">
        <v>0</v>
      </c>
      <c r="H28" s="182">
        <v>3404024</v>
      </c>
      <c r="I28" s="216" t="s">
        <v>51</v>
      </c>
      <c r="J28" s="166" t="str">
        <f t="shared" si="0"/>
        <v/>
      </c>
      <c r="K28" s="166" t="str">
        <f t="shared" si="1"/>
        <v/>
      </c>
      <c r="L28" s="195"/>
      <c r="M28" s="125"/>
      <c r="N28" s="125"/>
      <c r="O28" s="260" t="s">
        <v>1249</v>
      </c>
      <c r="P28" s="261" t="s">
        <v>1368</v>
      </c>
      <c r="Q28" s="261" t="s">
        <v>322</v>
      </c>
      <c r="R28" s="261" t="s">
        <v>210</v>
      </c>
      <c r="S28" s="262" t="s">
        <v>384</v>
      </c>
      <c r="T28" s="265">
        <v>-200000</v>
      </c>
      <c r="U28" s="261" t="s">
        <v>208</v>
      </c>
      <c r="V28" s="261" t="s">
        <v>323</v>
      </c>
      <c r="W28" s="263" t="s">
        <v>1369</v>
      </c>
      <c r="Y28" s="233"/>
    </row>
    <row r="29" spans="1:25" s="144" customFormat="1" ht="18" customHeight="1" x14ac:dyDescent="0.35">
      <c r="A29" s="27"/>
      <c r="B29" s="181">
        <v>43025</v>
      </c>
      <c r="C29" s="182" t="s">
        <v>184</v>
      </c>
      <c r="D29" s="182" t="s">
        <v>192</v>
      </c>
      <c r="E29" s="182">
        <v>5420444</v>
      </c>
      <c r="F29" s="182">
        <v>191739</v>
      </c>
      <c r="G29" s="182">
        <v>0</v>
      </c>
      <c r="H29" s="182">
        <v>7140064</v>
      </c>
      <c r="I29" s="216" t="s">
        <v>251</v>
      </c>
      <c r="J29" s="166" t="str">
        <f t="shared" si="0"/>
        <v/>
      </c>
      <c r="K29" s="166" t="str">
        <f t="shared" si="1"/>
        <v/>
      </c>
      <c r="L29" s="195"/>
      <c r="M29" s="125"/>
      <c r="N29" s="125"/>
      <c r="O29" s="260" t="s">
        <v>1370</v>
      </c>
      <c r="P29" s="261" t="s">
        <v>1371</v>
      </c>
      <c r="Q29" s="261" t="s">
        <v>362</v>
      </c>
      <c r="R29" s="261" t="s">
        <v>207</v>
      </c>
      <c r="S29" s="262" t="s">
        <v>408</v>
      </c>
      <c r="T29" s="265">
        <v>-142630</v>
      </c>
      <c r="U29" s="261" t="s">
        <v>208</v>
      </c>
      <c r="V29" s="261" t="s">
        <v>363</v>
      </c>
      <c r="W29" s="263" t="s">
        <v>1372</v>
      </c>
      <c r="Y29" s="233"/>
    </row>
    <row r="30" spans="1:25" s="144" customFormat="1" ht="18" customHeight="1" x14ac:dyDescent="0.35">
      <c r="A30" s="27"/>
      <c r="B30" s="181">
        <v>43026</v>
      </c>
      <c r="C30" s="182" t="s">
        <v>184</v>
      </c>
      <c r="D30" s="182" t="s">
        <v>325</v>
      </c>
      <c r="E30" s="182">
        <v>5420445</v>
      </c>
      <c r="F30" s="182">
        <v>59085</v>
      </c>
      <c r="G30" s="182">
        <v>0</v>
      </c>
      <c r="H30" s="182">
        <v>2557156</v>
      </c>
      <c r="I30" s="216" t="s">
        <v>256</v>
      </c>
      <c r="J30" s="166" t="str">
        <f t="shared" si="0"/>
        <v/>
      </c>
      <c r="K30" s="166" t="s">
        <v>374</v>
      </c>
      <c r="L30" s="195"/>
      <c r="M30" s="125"/>
      <c r="N30" s="125"/>
      <c r="O30" s="260" t="s">
        <v>1256</v>
      </c>
      <c r="P30" s="261" t="s">
        <v>1373</v>
      </c>
      <c r="Q30" s="261" t="s">
        <v>1374</v>
      </c>
      <c r="R30" s="261" t="s">
        <v>210</v>
      </c>
      <c r="S30" s="262" t="s">
        <v>1375</v>
      </c>
      <c r="T30" s="265">
        <v>-120000</v>
      </c>
      <c r="U30" s="261" t="s">
        <v>208</v>
      </c>
      <c r="V30" s="261" t="s">
        <v>1376</v>
      </c>
      <c r="W30" s="263" t="s">
        <v>1377</v>
      </c>
      <c r="Y30" s="233"/>
    </row>
    <row r="31" spans="1:25" s="144" customFormat="1" ht="18" customHeight="1" x14ac:dyDescent="0.35">
      <c r="A31" s="27"/>
      <c r="B31" s="181">
        <v>43026</v>
      </c>
      <c r="C31" s="182" t="s">
        <v>184</v>
      </c>
      <c r="D31" s="182" t="s">
        <v>325</v>
      </c>
      <c r="E31" s="182">
        <v>5420446</v>
      </c>
      <c r="F31" s="182">
        <v>187749</v>
      </c>
      <c r="G31" s="182">
        <v>0</v>
      </c>
      <c r="H31" s="182">
        <v>2616241</v>
      </c>
      <c r="I31" s="216" t="s">
        <v>256</v>
      </c>
      <c r="J31" s="166" t="str">
        <f t="shared" si="0"/>
        <v/>
      </c>
      <c r="K31" s="166" t="s">
        <v>374</v>
      </c>
      <c r="L31" s="195"/>
      <c r="M31" s="125"/>
      <c r="N31" s="125"/>
      <c r="O31" s="260" t="s">
        <v>1244</v>
      </c>
      <c r="P31" s="261" t="s">
        <v>1378</v>
      </c>
      <c r="Q31" s="261" t="s">
        <v>1379</v>
      </c>
      <c r="R31" s="261" t="s">
        <v>211</v>
      </c>
      <c r="S31" s="262" t="s">
        <v>1380</v>
      </c>
      <c r="T31" s="265">
        <v>-279833</v>
      </c>
      <c r="U31" s="261" t="s">
        <v>208</v>
      </c>
      <c r="V31" s="261" t="s">
        <v>1381</v>
      </c>
      <c r="W31" s="263" t="s">
        <v>1382</v>
      </c>
      <c r="Y31" s="233"/>
    </row>
    <row r="32" spans="1:25" s="144" customFormat="1" ht="18" customHeight="1" x14ac:dyDescent="0.35">
      <c r="A32" s="27"/>
      <c r="B32" s="318">
        <v>43026</v>
      </c>
      <c r="C32" s="319" t="s">
        <v>182</v>
      </c>
      <c r="D32" s="319" t="s">
        <v>193</v>
      </c>
      <c r="E32" s="319">
        <v>0</v>
      </c>
      <c r="F32" s="319">
        <v>302686</v>
      </c>
      <c r="G32" s="319">
        <v>0</v>
      </c>
      <c r="H32" s="319">
        <v>2803990</v>
      </c>
      <c r="I32" s="216"/>
      <c r="J32" s="166" t="str">
        <f t="shared" si="0"/>
        <v/>
      </c>
      <c r="K32" s="166" t="str">
        <f t="shared" si="1"/>
        <v/>
      </c>
      <c r="L32" s="195"/>
      <c r="M32" s="125"/>
      <c r="N32" s="125"/>
      <c r="O32" s="260" t="s">
        <v>1255</v>
      </c>
      <c r="P32" s="261" t="s">
        <v>1383</v>
      </c>
      <c r="Q32" s="261" t="s">
        <v>239</v>
      </c>
      <c r="R32" s="261" t="s">
        <v>209</v>
      </c>
      <c r="S32" s="262" t="s">
        <v>383</v>
      </c>
      <c r="T32" s="265">
        <v>-126886</v>
      </c>
      <c r="U32" s="261" t="s">
        <v>208</v>
      </c>
      <c r="V32" s="261" t="s">
        <v>240</v>
      </c>
      <c r="W32" s="263" t="s">
        <v>1384</v>
      </c>
      <c r="Y32" s="233"/>
    </row>
    <row r="33" spans="1:25" s="144" customFormat="1" ht="18" customHeight="1" x14ac:dyDescent="0.35">
      <c r="A33" s="27"/>
      <c r="B33" s="181">
        <v>43028</v>
      </c>
      <c r="C33" s="182" t="s">
        <v>182</v>
      </c>
      <c r="D33" s="182" t="s">
        <v>187</v>
      </c>
      <c r="E33" s="182">
        <v>0</v>
      </c>
      <c r="F33" s="182">
        <v>0</v>
      </c>
      <c r="G33" s="182">
        <v>1460267</v>
      </c>
      <c r="H33" s="182">
        <v>4017423</v>
      </c>
      <c r="I33" s="216" t="s">
        <v>197</v>
      </c>
      <c r="J33" s="166" t="str">
        <f t="shared" si="0"/>
        <v/>
      </c>
      <c r="K33" s="166" t="str">
        <f t="shared" si="1"/>
        <v/>
      </c>
      <c r="L33" s="195"/>
      <c r="M33" s="125"/>
      <c r="N33" s="125"/>
      <c r="O33" s="260" t="s">
        <v>1241</v>
      </c>
      <c r="P33" s="261" t="s">
        <v>1385</v>
      </c>
      <c r="Q33" s="261" t="s">
        <v>1386</v>
      </c>
      <c r="R33" s="261" t="s">
        <v>211</v>
      </c>
      <c r="S33" s="262" t="s">
        <v>1387</v>
      </c>
      <c r="T33" s="265">
        <v>-99200</v>
      </c>
      <c r="U33" s="261" t="s">
        <v>208</v>
      </c>
      <c r="V33" s="261" t="s">
        <v>1388</v>
      </c>
      <c r="W33" s="263" t="s">
        <v>1389</v>
      </c>
      <c r="Y33" s="233"/>
    </row>
    <row r="34" spans="1:25" s="144" customFormat="1" ht="18" customHeight="1" x14ac:dyDescent="0.35">
      <c r="A34" s="27"/>
      <c r="B34" s="181">
        <v>43031</v>
      </c>
      <c r="C34" s="182" t="s">
        <v>182</v>
      </c>
      <c r="D34" s="182" t="s">
        <v>183</v>
      </c>
      <c r="E34" s="182">
        <v>0</v>
      </c>
      <c r="F34" s="182">
        <v>170146</v>
      </c>
      <c r="G34" s="182">
        <v>0</v>
      </c>
      <c r="H34" s="182">
        <v>3847277</v>
      </c>
      <c r="I34" s="216" t="s">
        <v>256</v>
      </c>
      <c r="J34" s="166" t="str">
        <f t="shared" si="0"/>
        <v>Fact 8409894</v>
      </c>
      <c r="K34" s="166" t="str">
        <f t="shared" si="1"/>
        <v xml:space="preserve">GASCO GLP S.A                                </v>
      </c>
      <c r="L34" s="195"/>
      <c r="M34" s="125"/>
      <c r="N34" s="125"/>
      <c r="O34" s="260" t="s">
        <v>1390</v>
      </c>
      <c r="P34" s="261" t="s">
        <v>1391</v>
      </c>
      <c r="Q34" s="261" t="s">
        <v>243</v>
      </c>
      <c r="R34" s="261" t="s">
        <v>211</v>
      </c>
      <c r="S34" s="262" t="s">
        <v>382</v>
      </c>
      <c r="T34" s="265">
        <v>-2500000</v>
      </c>
      <c r="U34" s="261" t="s">
        <v>208</v>
      </c>
      <c r="V34" s="261" t="s">
        <v>244</v>
      </c>
      <c r="W34" s="263" t="s">
        <v>259</v>
      </c>
      <c r="Y34" s="233"/>
    </row>
    <row r="35" spans="1:25" s="144" customFormat="1" ht="18" customHeight="1" x14ac:dyDescent="0.35">
      <c r="A35" s="27"/>
      <c r="B35" s="181">
        <v>43032</v>
      </c>
      <c r="C35" s="182" t="s">
        <v>182</v>
      </c>
      <c r="D35" s="182" t="s">
        <v>186</v>
      </c>
      <c r="E35" s="182">
        <v>0</v>
      </c>
      <c r="F35" s="182">
        <v>1276345</v>
      </c>
      <c r="G35" s="182">
        <v>0</v>
      </c>
      <c r="H35" s="182">
        <v>2570932</v>
      </c>
      <c r="I35" s="216" t="s">
        <v>256</v>
      </c>
      <c r="J35" s="166" t="str">
        <f t="shared" si="0"/>
        <v>Fact 3702</v>
      </c>
      <c r="K35" s="166" t="str">
        <f t="shared" si="1"/>
        <v xml:space="preserve">CESPA Ltda                                   </v>
      </c>
      <c r="L35" s="195"/>
      <c r="M35" s="125"/>
      <c r="N35" s="125"/>
      <c r="O35" s="260" t="s">
        <v>1390</v>
      </c>
      <c r="P35" s="261" t="s">
        <v>1392</v>
      </c>
      <c r="Q35" s="261" t="s">
        <v>578</v>
      </c>
      <c r="R35" s="261" t="s">
        <v>210</v>
      </c>
      <c r="S35" s="262" t="s">
        <v>579</v>
      </c>
      <c r="T35" s="265">
        <v>-15000</v>
      </c>
      <c r="U35" s="261" t="s">
        <v>208</v>
      </c>
      <c r="V35" s="261" t="s">
        <v>580</v>
      </c>
      <c r="W35" s="263" t="s">
        <v>1393</v>
      </c>
      <c r="Y35" s="233"/>
    </row>
    <row r="36" spans="1:25" s="144" customFormat="1" ht="18" customHeight="1" x14ac:dyDescent="0.35">
      <c r="A36" s="27"/>
      <c r="B36" s="181">
        <v>43033</v>
      </c>
      <c r="C36" s="182" t="s">
        <v>190</v>
      </c>
      <c r="D36" s="182" t="s">
        <v>219</v>
      </c>
      <c r="E36" s="182">
        <v>0</v>
      </c>
      <c r="F36" s="182">
        <v>130000</v>
      </c>
      <c r="G36" s="182">
        <v>0</v>
      </c>
      <c r="H36" s="182">
        <v>2456932</v>
      </c>
      <c r="I36" s="216" t="s">
        <v>254</v>
      </c>
      <c r="J36" s="166" t="str">
        <f t="shared" si="0"/>
        <v/>
      </c>
      <c r="K36" s="166" t="str">
        <f t="shared" si="1"/>
        <v/>
      </c>
      <c r="L36" s="195"/>
      <c r="M36" s="125"/>
      <c r="N36" s="125"/>
      <c r="O36" s="260"/>
      <c r="P36" s="261"/>
      <c r="Q36" s="261"/>
      <c r="R36" s="261"/>
      <c r="S36" s="262"/>
      <c r="T36" s="265"/>
      <c r="U36" s="261"/>
      <c r="V36" s="261"/>
      <c r="W36" s="263"/>
      <c r="Y36" s="233"/>
    </row>
    <row r="37" spans="1:25" s="144" customFormat="1" ht="18" customHeight="1" x14ac:dyDescent="0.35">
      <c r="A37" s="27"/>
      <c r="B37" s="181">
        <v>43033</v>
      </c>
      <c r="C37" s="182" t="s">
        <v>344</v>
      </c>
      <c r="D37" s="182" t="s">
        <v>409</v>
      </c>
      <c r="E37" s="182">
        <v>0</v>
      </c>
      <c r="F37" s="182">
        <v>0</v>
      </c>
      <c r="G37" s="182">
        <v>16000</v>
      </c>
      <c r="H37" s="182">
        <v>2586932</v>
      </c>
      <c r="I37" s="216" t="s">
        <v>257</v>
      </c>
      <c r="J37" s="166" t="str">
        <f t="shared" si="0"/>
        <v/>
      </c>
      <c r="K37" s="166" t="str">
        <f t="shared" si="1"/>
        <v/>
      </c>
      <c r="L37" s="195"/>
      <c r="M37" s="125"/>
      <c r="N37" s="125"/>
      <c r="O37" s="260"/>
      <c r="P37" s="261"/>
      <c r="Q37" s="261"/>
      <c r="R37" s="261"/>
      <c r="S37" s="262"/>
      <c r="T37" s="265"/>
      <c r="U37" s="261"/>
      <c r="V37" s="261"/>
      <c r="W37" s="263"/>
      <c r="Y37" s="233"/>
    </row>
    <row r="38" spans="1:25" s="144" customFormat="1" ht="18" customHeight="1" x14ac:dyDescent="0.35">
      <c r="A38" s="27"/>
      <c r="B38" s="181">
        <v>43034</v>
      </c>
      <c r="C38" s="182" t="s">
        <v>182</v>
      </c>
      <c r="D38" s="182" t="s">
        <v>186</v>
      </c>
      <c r="E38" s="182">
        <v>0</v>
      </c>
      <c r="F38" s="182">
        <v>210000</v>
      </c>
      <c r="G38" s="182">
        <v>0</v>
      </c>
      <c r="H38" s="182">
        <v>1860294</v>
      </c>
      <c r="I38" s="216" t="s">
        <v>50</v>
      </c>
      <c r="J38" s="166" t="str">
        <f t="shared" si="0"/>
        <v xml:space="preserve"> </v>
      </c>
      <c r="K38" s="166" t="str">
        <f t="shared" si="1"/>
        <v>SOCIEDAD HOTELERA ZAMORA RAMIREZ HERMANOS LIM</v>
      </c>
      <c r="L38" s="195"/>
      <c r="M38" s="125"/>
      <c r="N38" s="125"/>
      <c r="O38" s="264"/>
      <c r="P38" s="261"/>
      <c r="Q38" s="261"/>
      <c r="R38" s="261"/>
      <c r="S38" s="262"/>
      <c r="T38" s="265"/>
      <c r="U38" s="261"/>
      <c r="V38" s="261"/>
      <c r="W38" s="263"/>
      <c r="Y38" s="233"/>
    </row>
    <row r="39" spans="1:25" s="144" customFormat="1" ht="18" customHeight="1" x14ac:dyDescent="0.35">
      <c r="A39" s="27"/>
      <c r="B39" s="181">
        <v>43034</v>
      </c>
      <c r="C39" s="182" t="s">
        <v>182</v>
      </c>
      <c r="D39" s="182" t="s">
        <v>183</v>
      </c>
      <c r="E39" s="182">
        <v>0</v>
      </c>
      <c r="F39" s="182">
        <v>313188</v>
      </c>
      <c r="G39" s="182">
        <v>0</v>
      </c>
      <c r="H39" s="182">
        <v>2070294</v>
      </c>
      <c r="I39" s="216" t="s">
        <v>9</v>
      </c>
      <c r="J39" s="166" t="str">
        <f t="shared" si="0"/>
        <v>Fact 5904, 6100</v>
      </c>
      <c r="K39" s="166" t="str">
        <f t="shared" si="1"/>
        <v xml:space="preserve">Nieva Soft EIRL                              </v>
      </c>
      <c r="L39" s="195"/>
      <c r="M39" s="125"/>
      <c r="N39" s="125"/>
      <c r="O39" s="264"/>
      <c r="P39" s="261"/>
      <c r="Q39" s="261"/>
      <c r="R39" s="261"/>
      <c r="S39" s="262"/>
      <c r="T39" s="265"/>
      <c r="U39" s="261"/>
      <c r="V39" s="261"/>
      <c r="W39" s="263"/>
      <c r="Y39" s="233"/>
    </row>
    <row r="40" spans="1:25" s="144" customFormat="1" ht="18" customHeight="1" x14ac:dyDescent="0.35">
      <c r="A40" s="27"/>
      <c r="B40" s="181">
        <v>43034</v>
      </c>
      <c r="C40" s="182" t="s">
        <v>182</v>
      </c>
      <c r="D40" s="182" t="s">
        <v>183</v>
      </c>
      <c r="E40" s="182">
        <v>0</v>
      </c>
      <c r="F40" s="182">
        <v>73450</v>
      </c>
      <c r="G40" s="182">
        <v>0</v>
      </c>
      <c r="H40" s="182">
        <v>2383482</v>
      </c>
      <c r="I40" s="216" t="s">
        <v>9</v>
      </c>
      <c r="J40" s="166" t="str">
        <f t="shared" si="0"/>
        <v>Fact 391361, 391925, 391312</v>
      </c>
      <c r="K40" s="166" t="str">
        <f t="shared" si="1"/>
        <v xml:space="preserve">Leonprodal SA                                </v>
      </c>
      <c r="L40" s="195"/>
      <c r="M40" s="125"/>
      <c r="N40" s="125"/>
      <c r="O40" s="264"/>
      <c r="P40" s="261"/>
      <c r="Q40" s="261"/>
      <c r="R40" s="261"/>
      <c r="S40" s="262"/>
      <c r="T40" s="265"/>
      <c r="U40" s="261"/>
      <c r="V40" s="261"/>
      <c r="W40" s="263"/>
      <c r="Y40" s="233"/>
    </row>
    <row r="41" spans="1:25" s="144" customFormat="1" ht="18" customHeight="1" x14ac:dyDescent="0.35">
      <c r="A41" s="27"/>
      <c r="B41" s="181">
        <v>43038</v>
      </c>
      <c r="C41" s="182" t="s">
        <v>182</v>
      </c>
      <c r="D41" s="182" t="s">
        <v>186</v>
      </c>
      <c r="E41" s="182">
        <v>0</v>
      </c>
      <c r="F41" s="182">
        <v>1878270</v>
      </c>
      <c r="G41" s="182">
        <v>0</v>
      </c>
      <c r="H41" s="182">
        <v>776880</v>
      </c>
      <c r="I41" s="216" t="s">
        <v>256</v>
      </c>
      <c r="J41" s="166" t="str">
        <f t="shared" si="0"/>
        <v>Fact 11854</v>
      </c>
      <c r="K41" s="166" t="str">
        <f t="shared" si="1"/>
        <v xml:space="preserve">Comite de Agua San Pedro de Atacama          </v>
      </c>
      <c r="L41" s="195"/>
      <c r="M41" s="125"/>
      <c r="N41" s="125"/>
      <c r="O41" s="264"/>
      <c r="P41" s="261"/>
      <c r="Q41" s="261"/>
      <c r="R41" s="261"/>
      <c r="S41" s="262"/>
      <c r="T41" s="265"/>
      <c r="U41" s="261"/>
      <c r="V41" s="261"/>
      <c r="W41" s="263"/>
      <c r="Y41" s="233"/>
    </row>
    <row r="42" spans="1:25" s="144" customFormat="1" ht="18" customHeight="1" x14ac:dyDescent="0.35">
      <c r="A42" s="27"/>
      <c r="B42" s="181">
        <v>43038</v>
      </c>
      <c r="C42" s="182" t="s">
        <v>182</v>
      </c>
      <c r="D42" s="182" t="s">
        <v>183</v>
      </c>
      <c r="E42" s="182">
        <v>0</v>
      </c>
      <c r="F42" s="182">
        <v>1230138</v>
      </c>
      <c r="G42" s="182">
        <v>0</v>
      </c>
      <c r="H42" s="182">
        <v>2655150</v>
      </c>
      <c r="I42" s="216" t="s">
        <v>50</v>
      </c>
      <c r="J42" s="166" t="str">
        <f t="shared" si="0"/>
        <v>Sueldo Oct17</v>
      </c>
      <c r="K42" s="166" t="str">
        <f t="shared" si="1"/>
        <v xml:space="preserve">Angelica Ramirez Muñoz                       </v>
      </c>
      <c r="L42" s="195"/>
      <c r="M42" s="125"/>
      <c r="N42" s="125"/>
      <c r="O42" s="264"/>
      <c r="P42" s="261"/>
      <c r="Q42" s="261"/>
      <c r="R42" s="261"/>
      <c r="S42" s="262"/>
      <c r="T42" s="265"/>
      <c r="U42" s="261"/>
      <c r="V42" s="261"/>
      <c r="W42" s="263"/>
      <c r="Y42" s="233"/>
    </row>
    <row r="43" spans="1:25" s="144" customFormat="1" ht="18" customHeight="1" x14ac:dyDescent="0.35">
      <c r="A43" s="27"/>
      <c r="B43" s="181">
        <v>43038</v>
      </c>
      <c r="C43" s="182" t="s">
        <v>182</v>
      </c>
      <c r="D43" s="182" t="s">
        <v>187</v>
      </c>
      <c r="E43" s="182">
        <v>0</v>
      </c>
      <c r="F43" s="182">
        <v>0</v>
      </c>
      <c r="G43" s="182">
        <v>3102297</v>
      </c>
      <c r="H43" s="182">
        <v>3885288</v>
      </c>
      <c r="I43" s="216" t="s">
        <v>197</v>
      </c>
      <c r="J43" s="166" t="str">
        <f t="shared" si="0"/>
        <v/>
      </c>
      <c r="K43" s="166" t="str">
        <f t="shared" si="1"/>
        <v/>
      </c>
      <c r="L43" s="195"/>
      <c r="M43" s="125"/>
      <c r="N43" s="125"/>
      <c r="O43" s="264"/>
      <c r="P43" s="261"/>
      <c r="Q43" s="261"/>
      <c r="R43" s="261"/>
      <c r="S43" s="262"/>
      <c r="T43" s="265"/>
      <c r="U43" s="261"/>
      <c r="V43" s="261"/>
      <c r="W43" s="263"/>
      <c r="Y43" s="233"/>
    </row>
    <row r="44" spans="1:25" s="144" customFormat="1" ht="18" customHeight="1" x14ac:dyDescent="0.35">
      <c r="A44" s="27"/>
      <c r="B44" s="181">
        <v>43038</v>
      </c>
      <c r="C44" s="182" t="s">
        <v>182</v>
      </c>
      <c r="D44" s="182" t="s">
        <v>183</v>
      </c>
      <c r="E44" s="182">
        <v>0</v>
      </c>
      <c r="F44" s="182">
        <v>200000</v>
      </c>
      <c r="G44" s="182">
        <v>0</v>
      </c>
      <c r="H44" s="182">
        <v>782991</v>
      </c>
      <c r="I44" s="216" t="s">
        <v>255</v>
      </c>
      <c r="J44" s="166" t="str">
        <f t="shared" si="0"/>
        <v>Servicios contables Sep 2017</v>
      </c>
      <c r="K44" s="166" t="str">
        <f t="shared" si="1"/>
        <v xml:space="preserve">SERVICIOS CONTABLES JABR EIRL                </v>
      </c>
      <c r="L44" s="195"/>
      <c r="M44" s="125"/>
      <c r="N44" s="125"/>
      <c r="O44" s="264"/>
      <c r="P44" s="261"/>
      <c r="Q44" s="261"/>
      <c r="R44" s="261"/>
      <c r="S44" s="262"/>
      <c r="T44" s="265"/>
      <c r="U44" s="261"/>
      <c r="V44" s="261"/>
      <c r="W44" s="263"/>
      <c r="Y44" s="233"/>
    </row>
    <row r="45" spans="1:25" s="144" customFormat="1" ht="18" customHeight="1" x14ac:dyDescent="0.35">
      <c r="A45" s="27"/>
      <c r="B45" s="181">
        <v>43038</v>
      </c>
      <c r="C45" s="182" t="s">
        <v>182</v>
      </c>
      <c r="D45" s="182" t="s">
        <v>186</v>
      </c>
      <c r="E45" s="182">
        <v>0</v>
      </c>
      <c r="F45" s="182">
        <v>400000</v>
      </c>
      <c r="G45" s="182">
        <v>0</v>
      </c>
      <c r="H45" s="182">
        <v>982991</v>
      </c>
      <c r="I45" s="216" t="s">
        <v>253</v>
      </c>
      <c r="J45" s="166" t="str">
        <f t="shared" si="0"/>
        <v xml:space="preserve"> </v>
      </c>
      <c r="K45" s="166" t="str">
        <f t="shared" si="1"/>
        <v>SOCIEDAD HOTELERA ZAMORA RAMIREZ HERMANOS LIM</v>
      </c>
      <c r="L45" s="195"/>
      <c r="M45" s="125"/>
      <c r="N45" s="125"/>
      <c r="O45" s="264"/>
      <c r="P45" s="261"/>
      <c r="Q45" s="261"/>
      <c r="R45" s="261"/>
      <c r="S45" s="262"/>
      <c r="T45" s="265"/>
      <c r="U45" s="261"/>
      <c r="V45" s="261"/>
      <c r="W45" s="263"/>
      <c r="Y45" s="233"/>
    </row>
    <row r="46" spans="1:25" s="144" customFormat="1" ht="18" customHeight="1" x14ac:dyDescent="0.35">
      <c r="A46" s="27"/>
      <c r="B46" s="181">
        <v>43038</v>
      </c>
      <c r="C46" s="182" t="s">
        <v>182</v>
      </c>
      <c r="D46" s="182" t="s">
        <v>183</v>
      </c>
      <c r="E46" s="182">
        <v>0</v>
      </c>
      <c r="F46" s="182">
        <v>90000</v>
      </c>
      <c r="G46" s="182">
        <v>0</v>
      </c>
      <c r="H46" s="182">
        <v>1382991</v>
      </c>
      <c r="I46" s="216" t="s">
        <v>50</v>
      </c>
      <c r="J46" s="166" t="str">
        <f t="shared" si="0"/>
        <v>Sueldos Oct17</v>
      </c>
      <c r="K46" s="166" t="str">
        <f t="shared" si="1"/>
        <v xml:space="preserve">Ramiro Villca Limachi                        </v>
      </c>
      <c r="L46" s="195"/>
      <c r="M46" s="125"/>
      <c r="N46" s="125"/>
      <c r="O46" s="264"/>
      <c r="P46" s="261"/>
      <c r="Q46" s="261"/>
      <c r="R46" s="261"/>
      <c r="S46" s="262"/>
      <c r="T46" s="265"/>
      <c r="U46" s="261"/>
      <c r="V46" s="261"/>
      <c r="W46" s="263"/>
    </row>
    <row r="47" spans="1:25" s="144" customFormat="1" ht="18" customHeight="1" x14ac:dyDescent="0.35">
      <c r="A47" s="27"/>
      <c r="B47" s="181">
        <v>43038</v>
      </c>
      <c r="C47" s="182" t="s">
        <v>182</v>
      </c>
      <c r="D47" s="182" t="s">
        <v>183</v>
      </c>
      <c r="E47" s="182">
        <v>0</v>
      </c>
      <c r="F47" s="182">
        <v>180000</v>
      </c>
      <c r="G47" s="182">
        <v>0</v>
      </c>
      <c r="H47" s="182">
        <v>1472991</v>
      </c>
      <c r="I47" s="216" t="s">
        <v>50</v>
      </c>
      <c r="J47" s="166" t="str">
        <f t="shared" si="0"/>
        <v xml:space="preserve"> </v>
      </c>
      <c r="K47" s="166" t="str">
        <f t="shared" si="1"/>
        <v xml:space="preserve">Macarena Olivares                            </v>
      </c>
      <c r="L47" s="195"/>
      <c r="M47" s="125"/>
      <c r="N47" s="125"/>
      <c r="O47" s="264"/>
      <c r="P47" s="261"/>
      <c r="Q47" s="261"/>
      <c r="R47" s="261"/>
      <c r="S47" s="262"/>
      <c r="T47" s="265"/>
      <c r="U47" s="261"/>
      <c r="V47" s="261"/>
      <c r="W47" s="263"/>
    </row>
    <row r="48" spans="1:25" s="144" customFormat="1" ht="18" customHeight="1" x14ac:dyDescent="0.35">
      <c r="A48" s="27"/>
      <c r="B48" s="181">
        <v>43038</v>
      </c>
      <c r="C48" s="182" t="s">
        <v>182</v>
      </c>
      <c r="D48" s="182" t="s">
        <v>183</v>
      </c>
      <c r="E48" s="182">
        <v>0</v>
      </c>
      <c r="F48" s="182">
        <v>60000</v>
      </c>
      <c r="G48" s="182">
        <v>0</v>
      </c>
      <c r="H48" s="182">
        <v>1652991</v>
      </c>
      <c r="I48" s="216" t="s">
        <v>50</v>
      </c>
      <c r="J48" s="166" t="str">
        <f t="shared" si="0"/>
        <v xml:space="preserve"> </v>
      </c>
      <c r="K48" s="166" t="str">
        <f t="shared" si="1"/>
        <v xml:space="preserve">Lucia Choque                                 </v>
      </c>
      <c r="L48" s="195"/>
      <c r="M48" s="125"/>
      <c r="N48" s="125"/>
      <c r="O48" s="264"/>
      <c r="P48" s="261"/>
      <c r="Q48" s="261"/>
      <c r="R48" s="261"/>
      <c r="S48" s="262"/>
      <c r="T48" s="265"/>
      <c r="U48" s="261"/>
      <c r="V48" s="261"/>
      <c r="W48" s="263"/>
    </row>
    <row r="49" spans="1:23" s="167" customFormat="1" ht="18" customHeight="1" x14ac:dyDescent="0.35">
      <c r="A49" s="27"/>
      <c r="B49" s="181">
        <v>43038</v>
      </c>
      <c r="C49" s="182" t="s">
        <v>182</v>
      </c>
      <c r="D49" s="182" t="s">
        <v>183</v>
      </c>
      <c r="E49" s="182">
        <v>0</v>
      </c>
      <c r="F49" s="182">
        <v>271985</v>
      </c>
      <c r="G49" s="182">
        <v>0</v>
      </c>
      <c r="H49" s="182">
        <v>1712991</v>
      </c>
      <c r="I49" s="216" t="s">
        <v>50</v>
      </c>
      <c r="J49" s="166" t="str">
        <f t="shared" si="0"/>
        <v xml:space="preserve"> </v>
      </c>
      <c r="K49" s="166" t="str">
        <f t="shared" si="1"/>
        <v xml:space="preserve">Luis Arias                                   </v>
      </c>
      <c r="L49" s="195"/>
      <c r="M49" s="125"/>
      <c r="N49" s="125"/>
      <c r="O49" s="264"/>
      <c r="P49" s="261"/>
      <c r="Q49" s="261"/>
      <c r="R49" s="261"/>
      <c r="S49" s="262"/>
      <c r="T49" s="265"/>
      <c r="U49" s="261"/>
      <c r="V49" s="261"/>
      <c r="W49" s="263"/>
    </row>
    <row r="50" spans="1:23" s="167" customFormat="1" ht="18" customHeight="1" x14ac:dyDescent="0.35">
      <c r="A50" s="27"/>
      <c r="B50" s="181">
        <v>43038</v>
      </c>
      <c r="C50" s="182" t="s">
        <v>182</v>
      </c>
      <c r="D50" s="182" t="s">
        <v>183</v>
      </c>
      <c r="E50" s="182">
        <v>0</v>
      </c>
      <c r="F50" s="182">
        <v>496333</v>
      </c>
      <c r="G50" s="182">
        <v>0</v>
      </c>
      <c r="H50" s="182">
        <v>1984976</v>
      </c>
      <c r="I50" s="216" t="s">
        <v>50</v>
      </c>
      <c r="J50" s="166" t="str">
        <f t="shared" si="0"/>
        <v>Sueldos Oct17</v>
      </c>
      <c r="K50" s="166" t="str">
        <f t="shared" si="1"/>
        <v xml:space="preserve">Sebastian Villalobos                         </v>
      </c>
      <c r="L50" s="195"/>
      <c r="M50" s="125"/>
      <c r="N50" s="125"/>
      <c r="O50" s="264"/>
      <c r="P50" s="261"/>
      <c r="Q50" s="261"/>
      <c r="R50" s="261"/>
      <c r="S50" s="262"/>
      <c r="T50" s="265"/>
      <c r="U50" s="261"/>
      <c r="V50" s="261"/>
      <c r="W50" s="263"/>
    </row>
    <row r="51" spans="1:23" s="167" customFormat="1" ht="18" customHeight="1" x14ac:dyDescent="0.35">
      <c r="A51" s="27"/>
      <c r="B51" s="181">
        <v>43038</v>
      </c>
      <c r="C51" s="182" t="s">
        <v>182</v>
      </c>
      <c r="D51" s="182" t="s">
        <v>183</v>
      </c>
      <c r="E51" s="182">
        <v>0</v>
      </c>
      <c r="F51" s="182">
        <v>562657</v>
      </c>
      <c r="G51" s="182">
        <v>0</v>
      </c>
      <c r="H51" s="182">
        <v>2481309</v>
      </c>
      <c r="I51" s="216" t="s">
        <v>50</v>
      </c>
      <c r="J51" s="166" t="str">
        <f t="shared" si="0"/>
        <v xml:space="preserve"> </v>
      </c>
      <c r="K51" s="166" t="str">
        <f t="shared" si="1"/>
        <v xml:space="preserve">Cristina Casanovas                           </v>
      </c>
      <c r="L51" s="195"/>
      <c r="M51" s="125"/>
      <c r="N51" s="125"/>
      <c r="O51" s="264"/>
      <c r="P51" s="261"/>
      <c r="Q51" s="261"/>
      <c r="R51" s="261"/>
      <c r="S51" s="262"/>
      <c r="T51" s="265"/>
      <c r="U51" s="261"/>
      <c r="V51" s="261"/>
      <c r="W51" s="263"/>
    </row>
    <row r="52" spans="1:23" s="167" customFormat="1" ht="18" customHeight="1" x14ac:dyDescent="0.35">
      <c r="A52" s="27"/>
      <c r="B52" s="181">
        <v>43038</v>
      </c>
      <c r="C52" s="182" t="s">
        <v>182</v>
      </c>
      <c r="D52" s="182" t="s">
        <v>183</v>
      </c>
      <c r="E52" s="182">
        <v>0</v>
      </c>
      <c r="F52" s="182">
        <v>480667</v>
      </c>
      <c r="G52" s="182">
        <v>0</v>
      </c>
      <c r="H52" s="182">
        <v>3043966</v>
      </c>
      <c r="I52" s="216" t="s">
        <v>50</v>
      </c>
      <c r="J52" s="166" t="str">
        <f t="shared" si="0"/>
        <v>Sueldos Oct17</v>
      </c>
      <c r="K52" s="166" t="str">
        <f t="shared" si="1"/>
        <v xml:space="preserve">Silvia Perez Ibarra                          </v>
      </c>
      <c r="L52" s="195"/>
      <c r="M52" s="125"/>
      <c r="N52" s="125"/>
      <c r="O52" s="264"/>
      <c r="P52" s="261"/>
      <c r="Q52" s="261"/>
      <c r="R52" s="261"/>
      <c r="S52" s="262"/>
      <c r="T52" s="265"/>
      <c r="U52" s="261"/>
      <c r="V52" s="261"/>
      <c r="W52" s="263"/>
    </row>
    <row r="53" spans="1:23" s="167" customFormat="1" ht="18" customHeight="1" x14ac:dyDescent="0.35">
      <c r="A53" s="27"/>
      <c r="B53" s="181">
        <v>43038</v>
      </c>
      <c r="C53" s="182" t="s">
        <v>182</v>
      </c>
      <c r="D53" s="182" t="s">
        <v>183</v>
      </c>
      <c r="E53" s="182">
        <v>0</v>
      </c>
      <c r="F53" s="182">
        <v>499365</v>
      </c>
      <c r="G53" s="182">
        <v>0</v>
      </c>
      <c r="H53" s="182">
        <v>3524633</v>
      </c>
      <c r="I53" s="216" t="s">
        <v>50</v>
      </c>
      <c r="J53" s="166" t="str">
        <f t="shared" si="0"/>
        <v>Sueldos Oct17</v>
      </c>
      <c r="K53" s="166" t="str">
        <f t="shared" si="1"/>
        <v xml:space="preserve">Nilda Ccama Ayma                             </v>
      </c>
      <c r="L53" s="195"/>
      <c r="M53" s="279"/>
      <c r="N53" s="125"/>
      <c r="O53" s="233"/>
      <c r="P53" s="233"/>
      <c r="Q53" s="233"/>
      <c r="R53" s="233"/>
      <c r="S53" s="233"/>
      <c r="T53" s="233"/>
      <c r="U53" s="233"/>
      <c r="V53" s="233"/>
      <c r="W53" s="233"/>
    </row>
    <row r="54" spans="1:23" s="167" customFormat="1" ht="18" customHeight="1" x14ac:dyDescent="0.35">
      <c r="A54" s="27"/>
      <c r="B54" s="181">
        <v>43038</v>
      </c>
      <c r="C54" s="182" t="s">
        <v>182</v>
      </c>
      <c r="D54" s="182" t="s">
        <v>183</v>
      </c>
      <c r="E54" s="182">
        <v>0</v>
      </c>
      <c r="F54" s="182">
        <v>536311</v>
      </c>
      <c r="G54" s="182">
        <v>0</v>
      </c>
      <c r="H54" s="182">
        <v>4023998</v>
      </c>
      <c r="I54" s="216" t="s">
        <v>50</v>
      </c>
      <c r="J54" s="166" t="str">
        <f t="shared" si="0"/>
        <v>Sueldos Oct17</v>
      </c>
      <c r="K54" s="166" t="str">
        <f t="shared" si="1"/>
        <v xml:space="preserve">Carlos Moscoso bertinelli                    </v>
      </c>
      <c r="L54" s="195"/>
      <c r="M54" s="125"/>
      <c r="N54" s="125"/>
      <c r="O54" s="233"/>
      <c r="P54" s="233"/>
      <c r="Q54" s="233"/>
      <c r="R54" s="233"/>
      <c r="S54" s="233"/>
      <c r="T54" s="233"/>
      <c r="U54" s="233"/>
      <c r="V54" s="233"/>
      <c r="W54" s="233"/>
    </row>
    <row r="55" spans="1:23" s="167" customFormat="1" ht="18" customHeight="1" x14ac:dyDescent="0.35">
      <c r="A55" s="27"/>
      <c r="B55" s="181">
        <v>43038</v>
      </c>
      <c r="C55" s="182" t="s">
        <v>182</v>
      </c>
      <c r="D55" s="182" t="s">
        <v>183</v>
      </c>
      <c r="E55" s="182">
        <v>0</v>
      </c>
      <c r="F55" s="182">
        <v>499171</v>
      </c>
      <c r="G55" s="182">
        <v>0</v>
      </c>
      <c r="H55" s="182">
        <v>4560309</v>
      </c>
      <c r="I55" s="216" t="s">
        <v>50</v>
      </c>
      <c r="J55" s="166" t="str">
        <f t="shared" si="0"/>
        <v>Sueldos Oct17</v>
      </c>
      <c r="K55" s="166" t="str">
        <f t="shared" si="1"/>
        <v xml:space="preserve">Abrahan Delgado Vega                         </v>
      </c>
      <c r="L55" s="195"/>
      <c r="M55" s="125"/>
      <c r="N55" s="125"/>
      <c r="O55" s="233"/>
      <c r="P55" s="233"/>
      <c r="Q55" s="233"/>
      <c r="R55" s="233"/>
      <c r="S55" s="233"/>
      <c r="T55" s="233"/>
      <c r="U55" s="233"/>
      <c r="V55" s="233"/>
      <c r="W55" s="233"/>
    </row>
    <row r="56" spans="1:23" s="167" customFormat="1" ht="18" customHeight="1" x14ac:dyDescent="0.35">
      <c r="A56" s="27"/>
      <c r="B56" s="285">
        <v>43038</v>
      </c>
      <c r="C56" s="281" t="s">
        <v>182</v>
      </c>
      <c r="D56" s="281" t="s">
        <v>183</v>
      </c>
      <c r="E56" s="281">
        <v>0</v>
      </c>
      <c r="F56" s="281">
        <v>480323</v>
      </c>
      <c r="G56" s="281">
        <v>0</v>
      </c>
      <c r="H56" s="281">
        <v>5059480</v>
      </c>
      <c r="I56" s="216" t="s">
        <v>50</v>
      </c>
      <c r="J56" s="166" t="str">
        <f t="shared" si="0"/>
        <v>Sueldos Oct17</v>
      </c>
      <c r="K56" s="166" t="str">
        <f t="shared" si="1"/>
        <v xml:space="preserve">Juany Estelo Cruz                            </v>
      </c>
      <c r="L56" s="278"/>
      <c r="M56" s="279"/>
      <c r="N56" s="125"/>
      <c r="O56" s="233"/>
      <c r="P56" s="233"/>
      <c r="Q56" s="233"/>
      <c r="R56" s="233"/>
      <c r="S56" s="233"/>
      <c r="T56" s="233"/>
      <c r="U56" s="233"/>
      <c r="V56" s="233"/>
      <c r="W56" s="233"/>
    </row>
    <row r="57" spans="1:23" s="233" customFormat="1" ht="18" customHeight="1" x14ac:dyDescent="0.35">
      <c r="A57" s="27"/>
      <c r="B57" s="181">
        <v>43038</v>
      </c>
      <c r="C57" s="182" t="s">
        <v>182</v>
      </c>
      <c r="D57" s="182" t="s">
        <v>183</v>
      </c>
      <c r="E57" s="182">
        <v>0</v>
      </c>
      <c r="F57" s="182">
        <v>1100662</v>
      </c>
      <c r="G57" s="182">
        <v>0</v>
      </c>
      <c r="H57" s="182">
        <v>5539803</v>
      </c>
      <c r="I57" s="216" t="s">
        <v>50</v>
      </c>
      <c r="J57" s="166" t="str">
        <f t="shared" si="0"/>
        <v>Sueldos Oct17</v>
      </c>
      <c r="K57" s="166" t="str">
        <f t="shared" si="1"/>
        <v xml:space="preserve">Mara Jose Paez Zumaran                       </v>
      </c>
      <c r="L57" s="278"/>
      <c r="M57" s="279"/>
      <c r="N57" s="125"/>
    </row>
    <row r="58" spans="1:23" s="233" customFormat="1" ht="18" customHeight="1" x14ac:dyDescent="0.35">
      <c r="A58" s="27"/>
      <c r="B58" s="181">
        <v>43038</v>
      </c>
      <c r="C58" s="182" t="s">
        <v>182</v>
      </c>
      <c r="D58" s="182" t="s">
        <v>187</v>
      </c>
      <c r="E58" s="182">
        <v>0</v>
      </c>
      <c r="F58" s="182">
        <v>0</v>
      </c>
      <c r="G58" s="182">
        <v>5000000</v>
      </c>
      <c r="H58" s="182">
        <v>6640465</v>
      </c>
      <c r="I58" s="216" t="s">
        <v>197</v>
      </c>
      <c r="J58" s="166" t="str">
        <f t="shared" si="0"/>
        <v/>
      </c>
      <c r="K58" s="166" t="str">
        <f t="shared" si="1"/>
        <v/>
      </c>
      <c r="L58" s="195"/>
      <c r="M58" s="125"/>
      <c r="N58" s="125"/>
    </row>
    <row r="59" spans="1:23" s="233" customFormat="1" ht="18" customHeight="1" x14ac:dyDescent="0.35">
      <c r="A59" s="27"/>
      <c r="B59" s="181">
        <v>43038</v>
      </c>
      <c r="C59" s="182" t="s">
        <v>182</v>
      </c>
      <c r="D59" s="182" t="s">
        <v>183</v>
      </c>
      <c r="E59" s="182">
        <v>0</v>
      </c>
      <c r="F59" s="182">
        <v>117727</v>
      </c>
      <c r="G59" s="182">
        <v>0</v>
      </c>
      <c r="H59" s="182">
        <v>1640465</v>
      </c>
      <c r="I59" s="216" t="s">
        <v>9</v>
      </c>
      <c r="J59" s="166" t="str">
        <f t="shared" si="0"/>
        <v>Fact 6188</v>
      </c>
      <c r="K59" s="166" t="str">
        <f t="shared" si="1"/>
        <v xml:space="preserve">Nieva Soft EIRL                              </v>
      </c>
      <c r="L59" s="195"/>
      <c r="M59" s="125"/>
      <c r="N59" s="125"/>
    </row>
    <row r="60" spans="1:23" s="233" customFormat="1" ht="18" customHeight="1" x14ac:dyDescent="0.35">
      <c r="A60" s="27"/>
      <c r="B60" s="285">
        <v>43038</v>
      </c>
      <c r="C60" s="281" t="s">
        <v>182</v>
      </c>
      <c r="D60" s="281" t="s">
        <v>183</v>
      </c>
      <c r="E60" s="281">
        <v>0</v>
      </c>
      <c r="F60" s="281">
        <v>102102</v>
      </c>
      <c r="G60" s="281">
        <v>0</v>
      </c>
      <c r="H60" s="281">
        <v>1758192</v>
      </c>
      <c r="I60" s="216" t="s">
        <v>9</v>
      </c>
      <c r="J60" s="166" t="str">
        <f t="shared" si="0"/>
        <v>Fact 1260534</v>
      </c>
      <c r="K60" s="166" t="str">
        <f t="shared" si="1"/>
        <v xml:space="preserve">ECOLAB                                       </v>
      </c>
      <c r="L60" s="195"/>
      <c r="M60" s="125"/>
      <c r="N60" s="125"/>
    </row>
    <row r="61" spans="1:23" s="233" customFormat="1" ht="18" customHeight="1" x14ac:dyDescent="0.35">
      <c r="A61" s="27"/>
      <c r="B61" s="181">
        <v>43039</v>
      </c>
      <c r="C61" s="182" t="s">
        <v>344</v>
      </c>
      <c r="D61" s="182" t="s">
        <v>409</v>
      </c>
      <c r="E61" s="182">
        <v>0</v>
      </c>
      <c r="F61" s="182">
        <v>0</v>
      </c>
      <c r="G61" s="182">
        <v>11000</v>
      </c>
      <c r="H61" s="182">
        <v>5185720</v>
      </c>
      <c r="I61" s="216" t="s">
        <v>257</v>
      </c>
      <c r="J61" s="166" t="str">
        <f t="shared" si="0"/>
        <v/>
      </c>
      <c r="K61" s="166" t="str">
        <f t="shared" si="1"/>
        <v/>
      </c>
      <c r="L61" s="195"/>
      <c r="M61" s="279"/>
      <c r="N61" s="125"/>
    </row>
    <row r="62" spans="1:23" s="233" customFormat="1" ht="18" customHeight="1" x14ac:dyDescent="0.35">
      <c r="A62" s="27"/>
      <c r="B62" s="181">
        <v>43039</v>
      </c>
      <c r="C62" s="182" t="s">
        <v>182</v>
      </c>
      <c r="D62" s="182" t="s">
        <v>183</v>
      </c>
      <c r="E62" s="182">
        <v>0</v>
      </c>
      <c r="F62" s="182">
        <v>602160</v>
      </c>
      <c r="G62" s="182">
        <v>0</v>
      </c>
      <c r="H62" s="182">
        <v>5174720</v>
      </c>
      <c r="I62" s="216" t="s">
        <v>254</v>
      </c>
      <c r="J62" s="166" t="str">
        <f t="shared" si="0"/>
        <v>30 galones de Danzke Nat Satin</v>
      </c>
      <c r="K62" s="166" t="str">
        <f t="shared" si="1"/>
        <v xml:space="preserve">PINTURAS Y QUMICA DE CHILE S.A               </v>
      </c>
      <c r="L62" s="195"/>
      <c r="M62" s="125"/>
      <c r="N62" s="125"/>
    </row>
    <row r="63" spans="1:23" s="233" customFormat="1" ht="18" customHeight="1" x14ac:dyDescent="0.35">
      <c r="A63" s="27"/>
      <c r="B63" s="181">
        <v>43039</v>
      </c>
      <c r="C63" s="182" t="s">
        <v>182</v>
      </c>
      <c r="D63" s="182" t="s">
        <v>187</v>
      </c>
      <c r="E63" s="182">
        <v>0</v>
      </c>
      <c r="F63" s="182">
        <v>0</v>
      </c>
      <c r="G63" s="182">
        <v>5000000</v>
      </c>
      <c r="H63" s="182">
        <v>5776880</v>
      </c>
      <c r="I63" s="216" t="s">
        <v>197</v>
      </c>
      <c r="J63" s="166" t="str">
        <f t="shared" si="0"/>
        <v/>
      </c>
      <c r="K63" s="166" t="str">
        <f t="shared" si="1"/>
        <v/>
      </c>
      <c r="L63" s="195"/>
      <c r="M63" s="125"/>
      <c r="N63" s="125"/>
    </row>
    <row r="64" spans="1:23" s="233" customFormat="1" ht="18" customHeight="1" x14ac:dyDescent="0.35">
      <c r="A64" s="27"/>
      <c r="B64" s="181"/>
      <c r="C64" s="182"/>
      <c r="D64" s="182"/>
      <c r="E64" s="182"/>
      <c r="F64" s="182"/>
      <c r="G64" s="182"/>
      <c r="H64" s="182"/>
      <c r="I64" s="216"/>
      <c r="J64" s="166"/>
      <c r="K64" s="166"/>
      <c r="L64" s="195"/>
      <c r="M64" s="125"/>
      <c r="N64" s="125"/>
    </row>
    <row r="65" spans="1:23" s="233" customFormat="1" ht="18" customHeight="1" x14ac:dyDescent="0.35">
      <c r="A65" s="27"/>
      <c r="B65" s="181"/>
      <c r="C65" s="182"/>
      <c r="D65" s="182"/>
      <c r="E65" s="182"/>
      <c r="F65" s="182"/>
      <c r="G65" s="182"/>
      <c r="H65" s="182"/>
      <c r="I65" s="216"/>
      <c r="J65" s="166"/>
      <c r="K65" s="166"/>
      <c r="L65" s="195"/>
      <c r="M65" s="125"/>
      <c r="N65" s="125"/>
    </row>
    <row r="66" spans="1:23" s="233" customFormat="1" ht="18" customHeight="1" x14ac:dyDescent="0.35">
      <c r="A66" s="27"/>
      <c r="B66" s="181"/>
      <c r="C66" s="182"/>
      <c r="D66" s="182"/>
      <c r="E66" s="182"/>
      <c r="F66" s="182"/>
      <c r="G66" s="182"/>
      <c r="H66" s="182"/>
      <c r="I66" s="216"/>
      <c r="J66" s="166"/>
      <c r="K66" s="166"/>
      <c r="L66" s="195"/>
      <c r="M66" s="125"/>
      <c r="N66" s="125"/>
    </row>
    <row r="67" spans="1:23" s="233" customFormat="1" ht="18" customHeight="1" x14ac:dyDescent="0.35">
      <c r="A67" s="27"/>
      <c r="B67" s="181"/>
      <c r="C67" s="182"/>
      <c r="D67" s="182"/>
      <c r="E67" s="182"/>
      <c r="F67" s="182"/>
      <c r="G67" s="182"/>
      <c r="H67" s="182"/>
      <c r="I67" s="216"/>
      <c r="J67" s="166"/>
      <c r="K67" s="166"/>
      <c r="L67" s="195"/>
      <c r="M67" s="125"/>
      <c r="N67" s="125"/>
    </row>
    <row r="68" spans="1:23" s="233" customFormat="1" ht="18" customHeight="1" x14ac:dyDescent="0.35">
      <c r="A68" s="27"/>
      <c r="B68" s="181"/>
      <c r="C68" s="182"/>
      <c r="D68" s="182"/>
      <c r="E68" s="182"/>
      <c r="F68" s="182"/>
      <c r="G68" s="182"/>
      <c r="H68" s="182"/>
      <c r="I68" s="216"/>
      <c r="J68" s="166"/>
      <c r="K68" s="166"/>
      <c r="L68" s="195"/>
      <c r="M68" s="125"/>
      <c r="N68" s="125"/>
    </row>
    <row r="69" spans="1:23" s="233" customFormat="1" ht="18" customHeight="1" x14ac:dyDescent="0.35">
      <c r="A69" s="27"/>
      <c r="B69" s="181"/>
      <c r="C69" s="182"/>
      <c r="D69" s="182"/>
      <c r="E69" s="182"/>
      <c r="F69" s="182"/>
      <c r="G69" s="182"/>
      <c r="H69" s="182"/>
      <c r="I69" s="216"/>
      <c r="J69" s="166"/>
      <c r="K69" s="166"/>
      <c r="L69" s="195"/>
      <c r="M69" s="125"/>
      <c r="N69" s="125"/>
    </row>
    <row r="70" spans="1:23" s="233" customFormat="1" ht="18" customHeight="1" x14ac:dyDescent="0.35">
      <c r="A70" s="27"/>
      <c r="B70" s="181"/>
      <c r="C70" s="182"/>
      <c r="D70" s="182"/>
      <c r="E70" s="182"/>
      <c r="F70" s="182"/>
      <c r="G70" s="182"/>
      <c r="H70" s="182"/>
      <c r="I70" s="216"/>
      <c r="J70" s="166"/>
      <c r="K70" s="166"/>
      <c r="L70" s="195"/>
      <c r="M70" s="125"/>
      <c r="N70" s="125"/>
    </row>
    <row r="71" spans="1:23" s="233" customFormat="1" ht="18" customHeight="1" x14ac:dyDescent="0.35">
      <c r="A71" s="27"/>
      <c r="B71" s="181"/>
      <c r="C71" s="182"/>
      <c r="D71" s="182"/>
      <c r="E71" s="182"/>
      <c r="F71" s="182"/>
      <c r="G71" s="182"/>
      <c r="H71" s="182"/>
      <c r="I71" s="216"/>
      <c r="J71" s="166"/>
      <c r="K71" s="166"/>
      <c r="L71" s="195"/>
      <c r="M71" s="125"/>
      <c r="N71" s="125"/>
    </row>
    <row r="72" spans="1:23" s="233" customFormat="1" ht="18" customHeight="1" x14ac:dyDescent="0.35">
      <c r="A72" s="27"/>
      <c r="B72" s="181"/>
      <c r="C72" s="182"/>
      <c r="D72" s="182"/>
      <c r="E72" s="182"/>
      <c r="F72" s="182"/>
      <c r="G72" s="182"/>
      <c r="H72" s="182"/>
      <c r="I72" s="216"/>
      <c r="J72" s="166"/>
      <c r="K72" s="166"/>
      <c r="L72" s="195"/>
      <c r="M72" s="125"/>
      <c r="N72" s="125"/>
    </row>
    <row r="73" spans="1:23" s="233" customFormat="1" ht="18" customHeight="1" x14ac:dyDescent="0.35">
      <c r="A73" s="27"/>
      <c r="B73" s="181"/>
      <c r="C73" s="182"/>
      <c r="D73" s="182"/>
      <c r="E73" s="182"/>
      <c r="F73" s="182"/>
      <c r="G73" s="182"/>
      <c r="H73" s="182"/>
      <c r="I73" s="216"/>
      <c r="J73" s="166"/>
      <c r="K73" s="166"/>
      <c r="L73" s="195"/>
      <c r="M73" s="125"/>
      <c r="N73" s="125"/>
    </row>
    <row r="74" spans="1:23" s="233" customFormat="1" ht="18" customHeight="1" x14ac:dyDescent="0.35">
      <c r="A74" s="27"/>
      <c r="B74" s="181"/>
      <c r="C74" s="182"/>
      <c r="D74" s="182"/>
      <c r="E74" s="182"/>
      <c r="F74" s="182"/>
      <c r="G74" s="182"/>
      <c r="H74" s="182"/>
      <c r="I74" s="216"/>
      <c r="J74" s="166"/>
      <c r="K74" s="166"/>
      <c r="L74" s="195"/>
      <c r="M74" s="125"/>
      <c r="N74" s="125"/>
    </row>
    <row r="75" spans="1:23" s="167" customFormat="1" ht="18" customHeight="1" x14ac:dyDescent="0.35">
      <c r="A75" s="27"/>
      <c r="B75" s="181"/>
      <c r="C75" s="182"/>
      <c r="D75" s="182"/>
      <c r="E75" s="182"/>
      <c r="F75" s="182"/>
      <c r="G75" s="182"/>
      <c r="H75" s="182"/>
      <c r="I75" s="216"/>
      <c r="J75" s="166"/>
      <c r="K75" s="166"/>
      <c r="L75" s="195"/>
      <c r="M75" s="125"/>
      <c r="N75" s="125"/>
      <c r="O75" s="233"/>
      <c r="P75" s="233"/>
      <c r="Q75" s="233"/>
      <c r="R75" s="233"/>
      <c r="S75" s="233"/>
      <c r="T75" s="233"/>
      <c r="U75" s="233"/>
      <c r="V75" s="233"/>
      <c r="W75" s="233"/>
    </row>
    <row r="76" spans="1:23" s="167" customFormat="1" ht="18" customHeight="1" x14ac:dyDescent="0.35">
      <c r="A76" s="27"/>
      <c r="B76" s="181"/>
      <c r="C76" s="182"/>
      <c r="D76" s="182"/>
      <c r="E76" s="182"/>
      <c r="F76" s="182"/>
      <c r="G76" s="182"/>
      <c r="H76" s="182"/>
      <c r="I76" s="216"/>
      <c r="J76" s="166"/>
      <c r="K76" s="166"/>
      <c r="L76" s="195"/>
      <c r="M76" s="125"/>
      <c r="N76" s="125"/>
      <c r="O76" s="233"/>
      <c r="P76" s="233"/>
      <c r="Q76" s="233"/>
      <c r="R76" s="233"/>
      <c r="S76" s="233"/>
      <c r="T76" s="233"/>
      <c r="U76" s="233"/>
      <c r="V76" s="233"/>
      <c r="W76" s="233"/>
    </row>
    <row r="77" spans="1:23" s="167" customFormat="1" ht="18" customHeight="1" x14ac:dyDescent="0.35">
      <c r="A77" s="27"/>
      <c r="B77" s="181"/>
      <c r="C77" s="182"/>
      <c r="D77" s="182"/>
      <c r="E77" s="182"/>
      <c r="F77" s="182"/>
      <c r="G77" s="182"/>
      <c r="H77" s="182"/>
      <c r="I77" s="216"/>
      <c r="J77" s="166"/>
      <c r="K77" s="166"/>
      <c r="L77" s="195"/>
      <c r="M77" s="125"/>
      <c r="N77" s="125"/>
      <c r="O77" s="233"/>
      <c r="P77" s="233"/>
      <c r="Q77" s="233"/>
      <c r="R77" s="233"/>
      <c r="S77" s="233"/>
      <c r="T77" s="233"/>
      <c r="U77" s="233"/>
      <c r="V77" s="233"/>
      <c r="W77" s="233"/>
    </row>
    <row r="78" spans="1:23" s="167" customFormat="1" ht="18" customHeight="1" x14ac:dyDescent="0.35">
      <c r="A78" s="27"/>
      <c r="B78" s="181"/>
      <c r="C78" s="182"/>
      <c r="D78" s="182"/>
      <c r="E78" s="182"/>
      <c r="F78" s="182"/>
      <c r="G78" s="182"/>
      <c r="H78" s="182"/>
      <c r="I78" s="216"/>
      <c r="J78" s="166"/>
      <c r="K78" s="166"/>
      <c r="L78" s="195"/>
      <c r="M78" s="125"/>
      <c r="N78" s="125"/>
      <c r="O78" s="233"/>
      <c r="P78" s="233"/>
      <c r="Q78" s="233"/>
      <c r="R78" s="233"/>
      <c r="S78" s="233"/>
      <c r="T78" s="233"/>
      <c r="U78" s="233"/>
      <c r="V78" s="233"/>
      <c r="W78" s="233"/>
    </row>
    <row r="79" spans="1:23" s="167" customFormat="1" ht="18" customHeight="1" x14ac:dyDescent="0.35">
      <c r="A79" s="27"/>
      <c r="B79" s="181"/>
      <c r="C79" s="182"/>
      <c r="D79" s="182"/>
      <c r="E79" s="182"/>
      <c r="F79" s="182"/>
      <c r="G79" s="182"/>
      <c r="H79" s="182"/>
      <c r="I79" s="216"/>
      <c r="J79" s="166"/>
      <c r="K79" s="166"/>
      <c r="L79" s="195"/>
      <c r="M79" s="125"/>
      <c r="N79" s="125"/>
      <c r="O79" s="233"/>
      <c r="P79" s="233"/>
      <c r="Q79" s="233"/>
      <c r="R79" s="233"/>
      <c r="S79" s="233"/>
      <c r="T79" s="233"/>
      <c r="U79" s="233"/>
      <c r="V79" s="233"/>
      <c r="W79" s="233"/>
    </row>
    <row r="80" spans="1:23" s="167" customFormat="1" ht="18" customHeight="1" x14ac:dyDescent="0.35">
      <c r="A80" s="27"/>
      <c r="B80" s="181"/>
      <c r="C80" s="182"/>
      <c r="D80" s="182"/>
      <c r="E80" s="182"/>
      <c r="F80" s="182"/>
      <c r="G80" s="182"/>
      <c r="H80" s="182"/>
      <c r="I80" s="216"/>
      <c r="J80" s="166" t="str">
        <f t="shared" ref="J80" si="2">IFERROR(VLOOKUP(-F80,$T$3:$W$50,4,FALSE),"")</f>
        <v/>
      </c>
      <c r="K80" s="166" t="str">
        <f t="shared" ref="K80" si="3">IFERROR(VLOOKUP(-F80,$T$3:$W$50,3,FALSE),"")</f>
        <v/>
      </c>
      <c r="L80" s="195"/>
      <c r="M80" s="125"/>
      <c r="N80" s="125"/>
      <c r="O80" s="233"/>
      <c r="P80" s="233"/>
      <c r="Q80" s="233"/>
      <c r="R80" s="233"/>
      <c r="S80" s="233"/>
      <c r="T80" s="233"/>
      <c r="U80" s="233"/>
      <c r="V80" s="233"/>
      <c r="W80" s="233"/>
    </row>
    <row r="81" spans="1:23" s="167" customFormat="1" ht="18" customHeight="1" x14ac:dyDescent="0.35">
      <c r="A81" s="27"/>
      <c r="B81" s="181"/>
      <c r="C81" s="182"/>
      <c r="D81" s="182"/>
      <c r="E81" s="182"/>
      <c r="F81" s="182"/>
      <c r="G81" s="182"/>
      <c r="H81" s="182"/>
      <c r="I81" s="216"/>
      <c r="J81" s="220"/>
      <c r="K81" s="166"/>
      <c r="L81" s="195"/>
      <c r="M81" s="125"/>
      <c r="N81" s="125"/>
      <c r="O81" s="233"/>
      <c r="P81" s="233"/>
      <c r="Q81" s="233"/>
      <c r="R81" s="233"/>
      <c r="S81" s="233"/>
      <c r="T81" s="233"/>
      <c r="U81" s="233"/>
      <c r="V81" s="233"/>
      <c r="W81" s="233"/>
    </row>
    <row r="82" spans="1:23" s="167" customFormat="1" ht="18" customHeight="1" x14ac:dyDescent="0.35">
      <c r="A82" s="27"/>
      <c r="B82" s="181"/>
      <c r="C82" s="182"/>
      <c r="D82" s="182"/>
      <c r="E82" s="182"/>
      <c r="F82" s="182"/>
      <c r="G82" s="182"/>
      <c r="H82" s="182"/>
      <c r="I82" s="216"/>
      <c r="J82" s="220"/>
      <c r="K82" s="166"/>
      <c r="L82" s="195"/>
      <c r="N82" s="125"/>
      <c r="O82" s="233"/>
      <c r="P82" s="233"/>
      <c r="Q82" s="233"/>
      <c r="R82" s="233"/>
      <c r="S82" s="233"/>
      <c r="T82" s="233"/>
      <c r="U82" s="233"/>
      <c r="V82" s="233"/>
      <c r="W82" s="233"/>
    </row>
    <row r="83" spans="1:23" s="167" customFormat="1" ht="18" customHeight="1" x14ac:dyDescent="0.35">
      <c r="A83" s="27"/>
      <c r="B83" s="181"/>
      <c r="C83" s="182"/>
      <c r="D83" s="182"/>
      <c r="E83" s="182"/>
      <c r="F83" s="182"/>
      <c r="G83" s="182"/>
      <c r="H83" s="182"/>
      <c r="I83" s="216"/>
      <c r="J83" s="220"/>
      <c r="K83" s="166"/>
      <c r="L83" s="195"/>
      <c r="N83" s="125"/>
      <c r="O83" s="233"/>
      <c r="P83" s="233"/>
      <c r="Q83" s="233"/>
      <c r="R83" s="233"/>
      <c r="S83" s="233"/>
      <c r="T83" s="233"/>
      <c r="U83" s="233"/>
      <c r="V83" s="233"/>
      <c r="W83" s="233"/>
    </row>
    <row r="84" spans="1:23" s="167" customFormat="1" ht="18" customHeight="1" x14ac:dyDescent="0.35">
      <c r="A84" s="27"/>
      <c r="B84" s="181"/>
      <c r="C84" s="182"/>
      <c r="D84" s="182"/>
      <c r="E84" s="182"/>
      <c r="F84" s="182"/>
      <c r="G84" s="182"/>
      <c r="H84" s="182"/>
      <c r="I84" s="216"/>
      <c r="J84" s="220"/>
      <c r="K84" s="166"/>
      <c r="L84" s="195"/>
      <c r="N84" s="125"/>
      <c r="O84" s="233"/>
      <c r="P84" s="233"/>
      <c r="Q84" s="233"/>
      <c r="R84" s="233"/>
      <c r="S84" s="233"/>
      <c r="T84" s="233"/>
      <c r="U84" s="233"/>
      <c r="V84" s="233"/>
      <c r="W84" s="233"/>
    </row>
    <row r="85" spans="1:23" s="167" customFormat="1" ht="18" customHeight="1" x14ac:dyDescent="0.35">
      <c r="A85" s="27"/>
      <c r="B85" s="181"/>
      <c r="C85" s="182"/>
      <c r="D85" s="182"/>
      <c r="E85" s="182"/>
      <c r="F85" s="182"/>
      <c r="G85" s="182"/>
      <c r="H85" s="182"/>
      <c r="I85" s="216"/>
      <c r="J85" s="220"/>
      <c r="K85" s="166"/>
      <c r="L85" s="195"/>
      <c r="N85" s="125"/>
      <c r="O85" s="233"/>
      <c r="P85" s="233"/>
      <c r="Q85" s="233"/>
      <c r="R85" s="233"/>
      <c r="S85" s="233"/>
      <c r="T85" s="233"/>
      <c r="U85" s="233"/>
      <c r="V85" s="233"/>
      <c r="W85" s="233"/>
    </row>
    <row r="86" spans="1:23" s="167" customFormat="1" ht="18" customHeight="1" x14ac:dyDescent="0.35">
      <c r="A86" s="27"/>
      <c r="B86" s="181"/>
      <c r="C86" s="182"/>
      <c r="D86" s="182"/>
      <c r="E86" s="182"/>
      <c r="F86" s="182"/>
      <c r="G86" s="182"/>
      <c r="H86" s="182"/>
      <c r="I86" s="216"/>
      <c r="J86" s="220"/>
      <c r="K86" s="166"/>
      <c r="L86" s="195"/>
      <c r="N86" s="125"/>
      <c r="O86" s="233"/>
      <c r="P86" s="233"/>
      <c r="Q86" s="233"/>
      <c r="R86" s="233"/>
      <c r="S86" s="233"/>
      <c r="T86" s="233"/>
      <c r="U86" s="233"/>
      <c r="V86" s="233"/>
      <c r="W86" s="233"/>
    </row>
    <row r="87" spans="1:23" s="167" customFormat="1" ht="18" customHeight="1" x14ac:dyDescent="0.35">
      <c r="A87" s="27"/>
      <c r="B87" s="181"/>
      <c r="C87" s="182"/>
      <c r="D87" s="182"/>
      <c r="E87" s="182"/>
      <c r="F87" s="182"/>
      <c r="G87" s="182"/>
      <c r="H87" s="182"/>
      <c r="I87" s="216"/>
      <c r="J87" s="220"/>
      <c r="K87" s="166"/>
      <c r="L87" s="195"/>
      <c r="N87" s="125"/>
      <c r="O87" s="233"/>
      <c r="P87" s="233"/>
      <c r="Q87" s="233"/>
      <c r="R87" s="233"/>
      <c r="S87" s="233"/>
      <c r="T87" s="233"/>
      <c r="U87" s="233"/>
      <c r="V87" s="233"/>
      <c r="W87" s="233"/>
    </row>
    <row r="88" spans="1:23" s="167" customFormat="1" ht="18" customHeight="1" x14ac:dyDescent="0.35">
      <c r="A88" s="27"/>
      <c r="B88" s="181"/>
      <c r="C88" s="182"/>
      <c r="D88" s="182"/>
      <c r="E88" s="182"/>
      <c r="F88" s="182"/>
      <c r="G88" s="182"/>
      <c r="H88" s="182"/>
      <c r="I88" s="216"/>
      <c r="J88" s="220"/>
      <c r="K88" s="166"/>
      <c r="L88" s="195"/>
      <c r="N88" s="125"/>
      <c r="O88" s="233"/>
      <c r="P88" s="233"/>
      <c r="Q88" s="233"/>
      <c r="R88" s="233"/>
      <c r="S88" s="233"/>
      <c r="T88" s="233"/>
      <c r="U88" s="233"/>
      <c r="V88" s="233"/>
      <c r="W88" s="233"/>
    </row>
    <row r="89" spans="1:23" s="167" customFormat="1" ht="18" customHeight="1" x14ac:dyDescent="0.35">
      <c r="B89" s="181"/>
      <c r="C89" s="182"/>
      <c r="D89" s="182"/>
      <c r="E89" s="182"/>
      <c r="F89" s="182"/>
      <c r="G89" s="182"/>
      <c r="H89" s="182"/>
      <c r="I89" s="216"/>
      <c r="J89" s="220"/>
      <c r="K89" s="166"/>
      <c r="L89" s="195"/>
      <c r="N89" s="125"/>
      <c r="O89" s="233"/>
      <c r="P89" s="233"/>
      <c r="Q89" s="233"/>
      <c r="R89" s="233"/>
      <c r="S89" s="233"/>
      <c r="T89" s="233"/>
      <c r="U89" s="233"/>
      <c r="V89" s="233"/>
      <c r="W89" s="233"/>
    </row>
    <row r="90" spans="1:23" s="167" customFormat="1" ht="18" customHeight="1" x14ac:dyDescent="0.35">
      <c r="B90" s="181"/>
      <c r="C90" s="182"/>
      <c r="D90" s="182"/>
      <c r="E90" s="182"/>
      <c r="F90" s="182"/>
      <c r="G90" s="182"/>
      <c r="H90" s="182"/>
      <c r="I90" s="216"/>
      <c r="J90" s="220"/>
      <c r="K90" s="166"/>
      <c r="L90" s="195"/>
      <c r="N90" s="125"/>
      <c r="O90" s="233"/>
      <c r="P90" s="233"/>
      <c r="Q90" s="233"/>
      <c r="R90" s="233"/>
      <c r="S90" s="233"/>
      <c r="T90" s="233"/>
      <c r="U90" s="233"/>
      <c r="V90" s="233"/>
      <c r="W90" s="233"/>
    </row>
    <row r="91" spans="1:23" s="167" customFormat="1" ht="18" customHeight="1" x14ac:dyDescent="0.35">
      <c r="B91" s="181"/>
      <c r="C91" s="182"/>
      <c r="D91" s="182"/>
      <c r="E91" s="182"/>
      <c r="F91" s="182"/>
      <c r="G91" s="182"/>
      <c r="H91" s="182"/>
      <c r="I91" s="216"/>
      <c r="J91" s="219"/>
      <c r="K91" s="166"/>
      <c r="L91" s="195"/>
      <c r="N91" s="125"/>
      <c r="O91" s="233"/>
      <c r="P91" s="233"/>
      <c r="Q91" s="233"/>
      <c r="R91" s="233"/>
      <c r="S91" s="233"/>
      <c r="T91" s="233"/>
      <c r="U91" s="233"/>
      <c r="V91" s="233"/>
      <c r="W91" s="233"/>
    </row>
    <row r="92" spans="1:23" s="167" customFormat="1" ht="18" customHeight="1" x14ac:dyDescent="0.35">
      <c r="B92" s="181"/>
      <c r="C92" s="182"/>
      <c r="D92" s="182"/>
      <c r="E92" s="182"/>
      <c r="F92" s="182"/>
      <c r="G92" s="182"/>
      <c r="H92" s="182"/>
      <c r="I92" s="216"/>
      <c r="J92" s="219"/>
      <c r="K92" s="166"/>
      <c r="L92" s="195"/>
      <c r="N92" s="125"/>
      <c r="O92" s="233"/>
      <c r="P92" s="233"/>
      <c r="Q92" s="233"/>
      <c r="R92" s="233"/>
      <c r="S92" s="233"/>
      <c r="T92" s="233"/>
      <c r="U92" s="233"/>
      <c r="V92" s="233"/>
      <c r="W92" s="233"/>
    </row>
    <row r="93" spans="1:23" s="167" customFormat="1" ht="18" customHeight="1" x14ac:dyDescent="0.35">
      <c r="B93" s="181"/>
      <c r="C93" s="182"/>
      <c r="D93" s="182"/>
      <c r="E93" s="182"/>
      <c r="F93" s="182"/>
      <c r="G93" s="182"/>
      <c r="H93" s="182"/>
      <c r="I93" s="216"/>
      <c r="J93" s="219"/>
      <c r="K93" s="166"/>
      <c r="L93" s="195"/>
      <c r="N93" s="125"/>
      <c r="O93" s="233"/>
      <c r="P93" s="233"/>
      <c r="Q93" s="233"/>
      <c r="R93" s="233"/>
      <c r="S93" s="233"/>
      <c r="T93" s="233"/>
      <c r="U93" s="233"/>
      <c r="V93" s="233"/>
      <c r="W93" s="233"/>
    </row>
    <row r="94" spans="1:23" s="167" customFormat="1" ht="18" customHeight="1" x14ac:dyDescent="0.35">
      <c r="B94" s="181"/>
      <c r="C94" s="182"/>
      <c r="D94" s="182"/>
      <c r="E94" s="182"/>
      <c r="F94" s="182"/>
      <c r="G94" s="182"/>
      <c r="H94" s="182"/>
      <c r="I94" s="216"/>
      <c r="J94" s="219"/>
      <c r="K94" s="166"/>
      <c r="L94" s="195"/>
      <c r="N94" s="125"/>
      <c r="O94" s="233"/>
      <c r="P94" s="233"/>
      <c r="Q94" s="233"/>
      <c r="R94" s="233"/>
      <c r="S94" s="233"/>
      <c r="T94" s="233"/>
      <c r="U94" s="233"/>
      <c r="V94" s="233"/>
      <c r="W94" s="233"/>
    </row>
    <row r="95" spans="1:23" s="167" customFormat="1" ht="18" customHeight="1" x14ac:dyDescent="0.35">
      <c r="B95" s="181"/>
      <c r="C95" s="182"/>
      <c r="D95" s="182"/>
      <c r="E95" s="182"/>
      <c r="F95" s="182"/>
      <c r="G95" s="182"/>
      <c r="H95" s="182"/>
      <c r="I95" s="216"/>
      <c r="J95" s="219"/>
      <c r="K95" s="166"/>
      <c r="L95" s="195"/>
      <c r="N95" s="125"/>
      <c r="O95" s="233"/>
      <c r="P95" s="233"/>
      <c r="Q95" s="233"/>
      <c r="R95" s="233"/>
      <c r="S95" s="233"/>
      <c r="T95" s="233"/>
      <c r="U95" s="233"/>
      <c r="V95" s="233"/>
      <c r="W95" s="233"/>
    </row>
    <row r="96" spans="1:23" s="167" customFormat="1" ht="18" customHeight="1" x14ac:dyDescent="0.35">
      <c r="B96" s="181"/>
      <c r="C96" s="182"/>
      <c r="D96" s="182"/>
      <c r="E96" s="182"/>
      <c r="F96" s="182"/>
      <c r="G96" s="182"/>
      <c r="H96" s="182"/>
      <c r="I96" s="216"/>
      <c r="J96" s="219"/>
      <c r="K96" s="166"/>
      <c r="L96" s="195"/>
      <c r="N96" s="125"/>
      <c r="O96" s="233"/>
      <c r="P96" s="233"/>
      <c r="Q96" s="233"/>
      <c r="R96" s="233"/>
      <c r="S96" s="233"/>
      <c r="T96" s="233"/>
      <c r="U96" s="233"/>
      <c r="V96" s="233"/>
      <c r="W96" s="233"/>
    </row>
    <row r="97" spans="1:23" s="167" customFormat="1" ht="18" customHeight="1" x14ac:dyDescent="0.35">
      <c r="B97" s="181"/>
      <c r="C97" s="182"/>
      <c r="D97" s="182"/>
      <c r="E97" s="182"/>
      <c r="F97" s="182"/>
      <c r="G97" s="182"/>
      <c r="H97" s="182"/>
      <c r="I97" s="216"/>
      <c r="J97" s="219"/>
      <c r="K97" s="166"/>
      <c r="L97" s="195"/>
      <c r="N97" s="125"/>
      <c r="O97" s="233"/>
      <c r="P97" s="233"/>
      <c r="Q97" s="233"/>
      <c r="R97" s="233"/>
      <c r="S97" s="233"/>
      <c r="T97" s="233"/>
      <c r="U97" s="233"/>
      <c r="V97" s="233"/>
      <c r="W97" s="233"/>
    </row>
    <row r="98" spans="1:23" s="167" customFormat="1" ht="18" customHeight="1" x14ac:dyDescent="0.35">
      <c r="B98" s="181"/>
      <c r="C98" s="182"/>
      <c r="D98" s="182"/>
      <c r="E98" s="182"/>
      <c r="F98" s="182"/>
      <c r="G98" s="182"/>
      <c r="H98" s="182"/>
      <c r="I98" s="216"/>
      <c r="J98" s="219"/>
      <c r="K98" s="166"/>
      <c r="L98" s="131"/>
      <c r="N98" s="125"/>
      <c r="O98" s="233"/>
      <c r="P98" s="233"/>
      <c r="Q98" s="233"/>
      <c r="R98" s="233"/>
      <c r="S98" s="233"/>
      <c r="T98" s="233"/>
      <c r="U98" s="233"/>
      <c r="V98" s="233"/>
      <c r="W98" s="233"/>
    </row>
    <row r="99" spans="1:23" s="167" customFormat="1" ht="18" customHeight="1" x14ac:dyDescent="0.35">
      <c r="B99" s="181"/>
      <c r="C99" s="182"/>
      <c r="D99" s="182"/>
      <c r="E99" s="182"/>
      <c r="F99" s="182"/>
      <c r="G99" s="182"/>
      <c r="H99" s="182"/>
      <c r="I99" s="216"/>
      <c r="J99" s="219"/>
      <c r="K99" s="166"/>
      <c r="L99" s="131"/>
      <c r="N99" s="125"/>
      <c r="O99" s="233"/>
      <c r="P99" s="233"/>
      <c r="Q99" s="233"/>
      <c r="R99" s="233"/>
      <c r="S99" s="233"/>
      <c r="T99" s="233"/>
      <c r="U99" s="233"/>
      <c r="V99" s="233"/>
      <c r="W99" s="233"/>
    </row>
    <row r="100" spans="1:23" s="167" customFormat="1" ht="18" customHeight="1" x14ac:dyDescent="0.35">
      <c r="B100" s="181"/>
      <c r="C100" s="182"/>
      <c r="D100" s="182"/>
      <c r="E100" s="182"/>
      <c r="F100" s="182"/>
      <c r="G100" s="182"/>
      <c r="H100" s="182"/>
      <c r="I100" s="216"/>
      <c r="J100" s="219"/>
      <c r="K100" s="166"/>
      <c r="L100" s="131"/>
      <c r="N100" s="125"/>
      <c r="O100" s="233"/>
      <c r="P100" s="233"/>
      <c r="Q100" s="233"/>
      <c r="R100" s="233"/>
      <c r="S100" s="233"/>
      <c r="T100" s="233"/>
      <c r="U100" s="233"/>
      <c r="V100" s="233"/>
      <c r="W100" s="233"/>
    </row>
    <row r="101" spans="1:23" s="167" customFormat="1" ht="18" customHeight="1" x14ac:dyDescent="0.35">
      <c r="B101" s="181"/>
      <c r="C101" s="182"/>
      <c r="D101" s="182"/>
      <c r="E101" s="182"/>
      <c r="F101" s="182"/>
      <c r="G101" s="182"/>
      <c r="H101" s="182"/>
      <c r="I101" s="216"/>
      <c r="J101" s="219"/>
      <c r="K101" s="166"/>
      <c r="L101" s="131"/>
      <c r="N101" s="125"/>
      <c r="O101" s="233"/>
      <c r="P101" s="233"/>
      <c r="Q101" s="233"/>
      <c r="R101" s="233"/>
      <c r="S101" s="233"/>
      <c r="T101" s="233"/>
      <c r="U101" s="233"/>
      <c r="V101" s="233"/>
      <c r="W101" s="233"/>
    </row>
    <row r="102" spans="1:23" s="167" customFormat="1" ht="18" customHeight="1" x14ac:dyDescent="0.35">
      <c r="B102" s="181"/>
      <c r="C102" s="182"/>
      <c r="D102" s="182"/>
      <c r="E102" s="182"/>
      <c r="F102" s="182"/>
      <c r="G102" s="182"/>
      <c r="H102" s="182"/>
      <c r="I102" s="216"/>
      <c r="J102" s="219"/>
      <c r="K102" s="166"/>
      <c r="L102" s="131"/>
      <c r="N102" s="125"/>
      <c r="O102" s="233"/>
      <c r="P102" s="233"/>
      <c r="Q102" s="233"/>
      <c r="R102" s="233"/>
      <c r="S102" s="233"/>
      <c r="T102" s="233"/>
      <c r="U102" s="233"/>
      <c r="V102" s="233"/>
      <c r="W102" s="233"/>
    </row>
    <row r="103" spans="1:23" s="167" customFormat="1" ht="18" customHeight="1" x14ac:dyDescent="0.35">
      <c r="B103" s="181"/>
      <c r="C103" s="182"/>
      <c r="D103" s="182"/>
      <c r="E103" s="182"/>
      <c r="F103" s="182"/>
      <c r="G103" s="182"/>
      <c r="H103" s="182"/>
      <c r="I103" s="216"/>
      <c r="J103" s="219"/>
      <c r="K103" s="166"/>
      <c r="L103" s="131"/>
      <c r="N103" s="125"/>
      <c r="O103" s="233"/>
      <c r="P103" s="233"/>
      <c r="Q103" s="233"/>
      <c r="R103" s="233"/>
      <c r="S103" s="233"/>
      <c r="T103" s="233"/>
      <c r="U103" s="233"/>
      <c r="V103" s="233"/>
      <c r="W103" s="233"/>
    </row>
    <row r="104" spans="1:23" s="167" customFormat="1" ht="18" customHeight="1" x14ac:dyDescent="0.35">
      <c r="B104" s="181"/>
      <c r="C104" s="182"/>
      <c r="D104" s="182"/>
      <c r="E104" s="182"/>
      <c r="F104" s="182"/>
      <c r="G104" s="182"/>
      <c r="H104" s="182"/>
      <c r="I104" s="216"/>
      <c r="J104" s="219"/>
      <c r="K104" s="166"/>
      <c r="L104" s="131"/>
      <c r="N104" s="125"/>
      <c r="O104" s="233"/>
      <c r="P104" s="233"/>
      <c r="Q104" s="233"/>
      <c r="R104" s="233"/>
      <c r="S104" s="233"/>
      <c r="T104" s="233"/>
      <c r="U104" s="233"/>
      <c r="V104" s="233"/>
      <c r="W104" s="233"/>
    </row>
    <row r="105" spans="1:23" s="144" customFormat="1" ht="18" customHeight="1" x14ac:dyDescent="0.35">
      <c r="A105" s="167"/>
      <c r="B105" s="181"/>
      <c r="C105" s="182"/>
      <c r="D105" s="182"/>
      <c r="E105" s="182"/>
      <c r="F105" s="182"/>
      <c r="G105" s="182"/>
      <c r="H105" s="182"/>
      <c r="I105" s="216"/>
      <c r="J105" s="219"/>
      <c r="K105" s="166"/>
      <c r="L105" s="131"/>
      <c r="N105" s="125"/>
      <c r="O105" s="233"/>
      <c r="P105" s="233"/>
      <c r="Q105" s="233"/>
      <c r="R105" s="233"/>
      <c r="S105" s="233"/>
      <c r="T105" s="233"/>
      <c r="U105" s="233"/>
      <c r="V105" s="233"/>
      <c r="W105" s="233"/>
    </row>
    <row r="106" spans="1:23" s="59" customFormat="1" ht="18" customHeight="1" x14ac:dyDescent="0.3">
      <c r="B106" s="61" t="s">
        <v>5</v>
      </c>
      <c r="C106" s="61" t="s">
        <v>45</v>
      </c>
      <c r="D106" s="176" t="s">
        <v>199</v>
      </c>
      <c r="E106" s="61" t="s">
        <v>47</v>
      </c>
      <c r="F106" s="61" t="s">
        <v>48</v>
      </c>
      <c r="G106" s="61" t="s">
        <v>49</v>
      </c>
      <c r="H106" s="61" t="s">
        <v>78</v>
      </c>
      <c r="I106" s="62"/>
      <c r="J106" s="221"/>
      <c r="K106" s="62"/>
      <c r="L106" s="132"/>
      <c r="M106" s="45"/>
      <c r="N106" s="45"/>
      <c r="O106" s="233"/>
      <c r="P106" s="233"/>
      <c r="Q106" s="233"/>
      <c r="R106" s="233"/>
      <c r="S106" s="233"/>
      <c r="T106" s="233"/>
      <c r="U106" s="233"/>
      <c r="V106" s="233"/>
      <c r="W106" s="233"/>
    </row>
    <row r="107" spans="1:23" s="59" customFormat="1" ht="18" customHeight="1" x14ac:dyDescent="0.35">
      <c r="B107" s="128" t="s">
        <v>1221</v>
      </c>
      <c r="C107" s="129" t="s">
        <v>345</v>
      </c>
      <c r="D107" s="129" t="s">
        <v>380</v>
      </c>
      <c r="E107" s="129" t="s">
        <v>1222</v>
      </c>
      <c r="F107" s="276">
        <v>4951</v>
      </c>
      <c r="G107" s="276"/>
      <c r="H107" s="276"/>
      <c r="I107" s="216" t="s">
        <v>196</v>
      </c>
      <c r="J107" s="222"/>
      <c r="K107" s="51"/>
      <c r="L107" s="132">
        <f>+F107*620</f>
        <v>3069620</v>
      </c>
      <c r="M107" s="45"/>
      <c r="N107" s="144"/>
      <c r="O107" s="233"/>
      <c r="P107" s="233"/>
      <c r="Q107" s="233"/>
      <c r="R107" s="233"/>
      <c r="S107" s="233"/>
      <c r="T107" s="233"/>
      <c r="U107" s="233"/>
      <c r="V107" s="233"/>
      <c r="W107" s="233"/>
    </row>
    <row r="108" spans="1:23" s="167" customFormat="1" ht="18" customHeight="1" x14ac:dyDescent="0.35">
      <c r="B108" s="181" t="s">
        <v>1223</v>
      </c>
      <c r="C108" s="182" t="s">
        <v>131</v>
      </c>
      <c r="D108" s="182" t="s">
        <v>379</v>
      </c>
      <c r="E108" s="182" t="s">
        <v>1224</v>
      </c>
      <c r="F108" s="276"/>
      <c r="G108" s="276">
        <v>100</v>
      </c>
      <c r="H108" s="276"/>
      <c r="I108" s="216" t="s">
        <v>258</v>
      </c>
      <c r="J108" s="222"/>
      <c r="K108" s="166"/>
      <c r="L108" s="132">
        <f t="shared" ref="L108:L113" si="4">+F108*620</f>
        <v>0</v>
      </c>
      <c r="M108" s="45"/>
      <c r="O108" s="233"/>
      <c r="P108" s="233"/>
      <c r="Q108" s="233"/>
      <c r="R108" s="233"/>
      <c r="S108" s="233"/>
      <c r="T108" s="233"/>
      <c r="U108" s="233"/>
      <c r="V108" s="233"/>
      <c r="W108" s="233"/>
    </row>
    <row r="109" spans="1:23" s="167" customFormat="1" ht="18" customHeight="1" x14ac:dyDescent="0.35">
      <c r="B109" s="181" t="s">
        <v>1225</v>
      </c>
      <c r="C109" s="182" t="s">
        <v>131</v>
      </c>
      <c r="D109" s="182" t="s">
        <v>379</v>
      </c>
      <c r="E109" s="182" t="s">
        <v>1226</v>
      </c>
      <c r="F109" s="276"/>
      <c r="G109" s="276">
        <v>4845</v>
      </c>
      <c r="H109" s="276"/>
      <c r="I109" s="216" t="s">
        <v>258</v>
      </c>
      <c r="J109" s="222"/>
      <c r="K109" s="166"/>
      <c r="L109" s="132">
        <f t="shared" si="4"/>
        <v>0</v>
      </c>
      <c r="M109" s="45"/>
      <c r="O109" s="233"/>
      <c r="P109" s="233"/>
      <c r="Q109" s="233"/>
      <c r="R109" s="233"/>
      <c r="S109" s="233"/>
      <c r="T109" s="233"/>
      <c r="U109" s="233"/>
      <c r="V109" s="233"/>
      <c r="W109" s="233"/>
    </row>
    <row r="110" spans="1:23" s="167" customFormat="1" ht="18" customHeight="1" x14ac:dyDescent="0.35">
      <c r="B110" s="181" t="s">
        <v>1227</v>
      </c>
      <c r="C110" s="182" t="s">
        <v>345</v>
      </c>
      <c r="D110" s="182" t="s">
        <v>380</v>
      </c>
      <c r="E110" s="182" t="s">
        <v>1228</v>
      </c>
      <c r="F110" s="276">
        <v>2350</v>
      </c>
      <c r="G110" s="276"/>
      <c r="H110" s="276"/>
      <c r="I110" s="216" t="s">
        <v>196</v>
      </c>
      <c r="J110" s="222"/>
      <c r="K110" s="166"/>
      <c r="L110" s="132">
        <f t="shared" si="4"/>
        <v>1457000</v>
      </c>
      <c r="M110" s="45"/>
      <c r="O110" s="233"/>
      <c r="P110" s="233"/>
      <c r="Q110" s="233"/>
      <c r="R110" s="233"/>
      <c r="S110" s="233"/>
      <c r="T110" s="233"/>
      <c r="U110" s="233"/>
      <c r="V110" s="233"/>
      <c r="W110" s="233"/>
    </row>
    <row r="111" spans="1:23" s="144" customFormat="1" ht="18" customHeight="1" x14ac:dyDescent="0.35">
      <c r="A111" s="167"/>
      <c r="B111" s="181" t="s">
        <v>1229</v>
      </c>
      <c r="C111" s="182" t="s">
        <v>131</v>
      </c>
      <c r="D111" s="182" t="s">
        <v>379</v>
      </c>
      <c r="E111" s="182" t="s">
        <v>1230</v>
      </c>
      <c r="F111" s="276"/>
      <c r="G111" s="276">
        <v>2356</v>
      </c>
      <c r="H111" s="276"/>
      <c r="I111" s="216" t="s">
        <v>258</v>
      </c>
      <c r="J111" s="222"/>
      <c r="K111" s="166"/>
      <c r="L111" s="132">
        <f t="shared" si="4"/>
        <v>0</v>
      </c>
      <c r="M111" s="45"/>
      <c r="O111" s="233"/>
      <c r="P111" s="233"/>
      <c r="Q111" s="233"/>
      <c r="R111" s="233"/>
      <c r="S111" s="233"/>
      <c r="T111" s="233"/>
      <c r="U111" s="233"/>
      <c r="V111" s="233"/>
      <c r="W111" s="233"/>
    </row>
    <row r="112" spans="1:23" s="144" customFormat="1" ht="18" customHeight="1" x14ac:dyDescent="0.35">
      <c r="A112" s="167"/>
      <c r="B112" s="181" t="s">
        <v>1231</v>
      </c>
      <c r="C112" s="182" t="s">
        <v>345</v>
      </c>
      <c r="D112" s="182" t="s">
        <v>380</v>
      </c>
      <c r="E112" s="182" t="s">
        <v>1232</v>
      </c>
      <c r="F112" s="276">
        <v>4550</v>
      </c>
      <c r="G112" s="276"/>
      <c r="H112" s="276"/>
      <c r="I112" s="216" t="s">
        <v>196</v>
      </c>
      <c r="J112" s="222"/>
      <c r="K112" s="166"/>
      <c r="L112" s="132">
        <f t="shared" si="4"/>
        <v>2821000</v>
      </c>
      <c r="M112" s="45"/>
      <c r="N112" s="180"/>
      <c r="O112" s="233"/>
      <c r="P112" s="233"/>
      <c r="Q112" s="233"/>
      <c r="R112" s="233"/>
      <c r="S112" s="233"/>
      <c r="T112" s="233"/>
      <c r="U112" s="233"/>
      <c r="V112" s="233"/>
      <c r="W112" s="233"/>
    </row>
    <row r="113" spans="1:35" s="233" customFormat="1" ht="18" customHeight="1" x14ac:dyDescent="0.35">
      <c r="B113" s="181" t="s">
        <v>1231</v>
      </c>
      <c r="C113" s="182" t="s">
        <v>131</v>
      </c>
      <c r="D113" s="182" t="s">
        <v>379</v>
      </c>
      <c r="E113" s="182" t="s">
        <v>1233</v>
      </c>
      <c r="F113" s="182"/>
      <c r="G113" s="182">
        <v>195</v>
      </c>
      <c r="H113" s="182"/>
      <c r="I113" s="216" t="s">
        <v>258</v>
      </c>
      <c r="J113" s="222"/>
      <c r="K113" s="166"/>
      <c r="L113" s="132">
        <f t="shared" si="4"/>
        <v>0</v>
      </c>
      <c r="M113" s="45"/>
      <c r="N113" s="180"/>
    </row>
    <row r="114" spans="1:35" s="144" customFormat="1" ht="18" customHeight="1" x14ac:dyDescent="0.35">
      <c r="A114" s="167"/>
      <c r="B114" s="181" t="s">
        <v>1234</v>
      </c>
      <c r="C114" s="182" t="s">
        <v>131</v>
      </c>
      <c r="D114" s="182" t="s">
        <v>379</v>
      </c>
      <c r="E114" s="182" t="s">
        <v>1235</v>
      </c>
      <c r="F114" s="182"/>
      <c r="G114" s="182">
        <v>4355</v>
      </c>
      <c r="H114" s="182"/>
      <c r="I114" s="216" t="s">
        <v>258</v>
      </c>
      <c r="J114" s="222"/>
      <c r="K114" s="166"/>
      <c r="L114" s="132"/>
      <c r="M114" s="45"/>
      <c r="N114" s="180"/>
      <c r="O114" s="233"/>
      <c r="P114" s="233"/>
      <c r="Q114" s="233"/>
      <c r="R114" s="233"/>
      <c r="S114" s="233"/>
      <c r="T114" s="233"/>
      <c r="U114" s="233"/>
      <c r="V114" s="233"/>
      <c r="W114" s="233"/>
    </row>
    <row r="115" spans="1:35" s="144" customFormat="1" ht="18" customHeight="1" x14ac:dyDescent="0.35">
      <c r="A115" s="167"/>
      <c r="B115" s="181"/>
      <c r="C115" s="182"/>
      <c r="D115" s="182"/>
      <c r="E115" s="182"/>
      <c r="F115" s="182"/>
      <c r="G115" s="182"/>
      <c r="H115" s="182"/>
      <c r="I115" s="216"/>
      <c r="J115" s="222"/>
      <c r="K115" s="166"/>
      <c r="L115" s="132"/>
      <c r="M115" s="45"/>
      <c r="N115" s="180"/>
      <c r="O115" s="233" t="s">
        <v>5</v>
      </c>
      <c r="P115" s="233" t="s">
        <v>45</v>
      </c>
      <c r="Q115" s="233" t="s">
        <v>199</v>
      </c>
      <c r="R115" s="233" t="s">
        <v>47</v>
      </c>
      <c r="S115" s="233" t="s">
        <v>81</v>
      </c>
      <c r="T115" s="233"/>
      <c r="U115" s="233"/>
      <c r="V115" s="233"/>
      <c r="W115" s="233"/>
    </row>
    <row r="116" spans="1:35" s="144" customFormat="1" ht="18" customHeight="1" x14ac:dyDescent="0.3">
      <c r="B116" s="176" t="s">
        <v>177</v>
      </c>
      <c r="C116" s="176" t="s">
        <v>5</v>
      </c>
      <c r="D116" s="176" t="s">
        <v>198</v>
      </c>
      <c r="E116" s="176"/>
      <c r="F116" s="176"/>
      <c r="G116" s="176"/>
      <c r="H116" s="176"/>
      <c r="I116" s="62"/>
      <c r="J116" s="221"/>
      <c r="K116" s="62"/>
      <c r="L116" s="15"/>
      <c r="M116" s="167"/>
      <c r="N116" s="126"/>
      <c r="O116" s="233"/>
      <c r="P116" s="233"/>
      <c r="Q116" s="233"/>
      <c r="R116" s="233"/>
      <c r="S116" s="233"/>
      <c r="T116" s="233"/>
      <c r="U116" s="233"/>
      <c r="V116" s="233"/>
      <c r="W116" s="233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s="144" customFormat="1" ht="18" customHeight="1" x14ac:dyDescent="0.35">
      <c r="B117" s="181" t="s">
        <v>1292</v>
      </c>
      <c r="C117" s="232" t="s">
        <v>577</v>
      </c>
      <c r="D117" s="182" t="s">
        <v>1293</v>
      </c>
      <c r="E117" s="182"/>
      <c r="F117" s="276">
        <v>19921</v>
      </c>
      <c r="G117" s="182"/>
      <c r="H117" s="182"/>
      <c r="I117" s="216" t="s">
        <v>254</v>
      </c>
      <c r="J117" s="220"/>
      <c r="K117" s="166"/>
      <c r="L117" s="15"/>
      <c r="M117" s="167" t="s">
        <v>375</v>
      </c>
      <c r="N117" s="126"/>
      <c r="O117" s="233"/>
      <c r="P117" s="233"/>
      <c r="Q117" s="233"/>
      <c r="R117" s="233"/>
      <c r="S117" s="233"/>
      <c r="T117" s="233"/>
      <c r="U117" s="233"/>
      <c r="V117" s="233"/>
      <c r="W117" s="233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s="144" customFormat="1" ht="18" customHeight="1" x14ac:dyDescent="0.35">
      <c r="B118" s="181" t="s">
        <v>1294</v>
      </c>
      <c r="C118" s="232" t="s">
        <v>557</v>
      </c>
      <c r="D118" s="182" t="s">
        <v>1295</v>
      </c>
      <c r="E118" s="182"/>
      <c r="F118" s="276">
        <v>60190</v>
      </c>
      <c r="G118" s="182"/>
      <c r="H118" s="182"/>
      <c r="I118" s="216" t="s">
        <v>254</v>
      </c>
      <c r="J118" s="220"/>
      <c r="K118" s="166"/>
      <c r="L118" s="15"/>
      <c r="M118" s="167"/>
      <c r="N118" s="126"/>
      <c r="O118" s="126"/>
      <c r="P118" s="126"/>
      <c r="Q118" s="126"/>
      <c r="R118" s="126"/>
      <c r="S118" s="126"/>
      <c r="T118" s="194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s="167" customFormat="1" ht="18" customHeight="1" x14ac:dyDescent="0.35">
      <c r="B119" s="181" t="s">
        <v>1296</v>
      </c>
      <c r="C119" s="232" t="s">
        <v>557</v>
      </c>
      <c r="D119" s="182" t="s">
        <v>241</v>
      </c>
      <c r="E119" s="182"/>
      <c r="F119" s="276">
        <v>17296</v>
      </c>
      <c r="G119" s="182"/>
      <c r="H119" s="182"/>
      <c r="I119" s="216" t="s">
        <v>252</v>
      </c>
      <c r="J119" s="220"/>
      <c r="K119" s="166"/>
      <c r="L119" s="15"/>
      <c r="N119" s="126"/>
      <c r="O119" s="126"/>
      <c r="P119" s="126"/>
      <c r="Q119" s="126"/>
      <c r="R119" s="126"/>
      <c r="S119" s="126"/>
      <c r="T119" s="194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s="167" customFormat="1" ht="18" customHeight="1" x14ac:dyDescent="0.35">
      <c r="B120" s="181" t="s">
        <v>1296</v>
      </c>
      <c r="C120" s="232" t="s">
        <v>557</v>
      </c>
      <c r="D120" s="182" t="s">
        <v>241</v>
      </c>
      <c r="E120" s="182"/>
      <c r="F120" s="276">
        <v>1427</v>
      </c>
      <c r="G120" s="182"/>
      <c r="H120" s="182"/>
      <c r="I120" s="216" t="s">
        <v>252</v>
      </c>
      <c r="J120" s="220"/>
      <c r="K120" s="166"/>
      <c r="L120" s="15"/>
      <c r="N120" s="126"/>
      <c r="O120" s="126"/>
      <c r="P120" s="126"/>
      <c r="Q120" s="126"/>
      <c r="R120" s="126"/>
      <c r="S120" s="126"/>
      <c r="T120" s="194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s="167" customFormat="1" ht="18" customHeight="1" x14ac:dyDescent="0.35">
      <c r="B121" s="181" t="s">
        <v>1296</v>
      </c>
      <c r="C121" s="232" t="s">
        <v>557</v>
      </c>
      <c r="D121" s="182" t="s">
        <v>1297</v>
      </c>
      <c r="E121" s="182"/>
      <c r="F121" s="276">
        <v>199989</v>
      </c>
      <c r="G121" s="182"/>
      <c r="H121" s="182"/>
      <c r="I121" s="216"/>
      <c r="J121" s="220"/>
      <c r="K121" s="166"/>
      <c r="L121" s="15"/>
      <c r="N121" s="126"/>
      <c r="O121" s="126"/>
      <c r="P121" s="126"/>
      <c r="Q121" s="126"/>
      <c r="R121" s="126"/>
      <c r="S121" s="126"/>
      <c r="T121" s="194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s="167" customFormat="1" ht="18" customHeight="1" x14ac:dyDescent="0.35">
      <c r="B122" s="181" t="s">
        <v>1298</v>
      </c>
      <c r="C122" s="232" t="s">
        <v>558</v>
      </c>
      <c r="D122" s="182" t="s">
        <v>1299</v>
      </c>
      <c r="E122" s="182"/>
      <c r="F122" s="276">
        <v>-4807</v>
      </c>
      <c r="G122" s="182"/>
      <c r="H122" s="182"/>
      <c r="I122" s="216" t="s">
        <v>252</v>
      </c>
      <c r="J122" s="220"/>
      <c r="K122" s="166"/>
      <c r="L122" s="15"/>
      <c r="N122" s="126"/>
      <c r="O122" s="126"/>
      <c r="P122" s="126"/>
      <c r="Q122" s="126"/>
      <c r="R122" s="126"/>
      <c r="S122" s="126"/>
      <c r="T122" s="194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s="167" customFormat="1" ht="18" customHeight="1" x14ac:dyDescent="0.35">
      <c r="B123" s="181" t="s">
        <v>1300</v>
      </c>
      <c r="C123" s="232" t="s">
        <v>1239</v>
      </c>
      <c r="D123" s="182" t="s">
        <v>241</v>
      </c>
      <c r="E123" s="182"/>
      <c r="F123" s="276">
        <v>804</v>
      </c>
      <c r="G123" s="182"/>
      <c r="H123" s="182"/>
      <c r="I123" s="216" t="s">
        <v>252</v>
      </c>
      <c r="J123" s="220"/>
      <c r="K123" s="166"/>
      <c r="L123" s="15"/>
      <c r="N123" s="126"/>
      <c r="O123" s="126"/>
      <c r="P123" s="126"/>
      <c r="Q123" s="126"/>
      <c r="R123" s="126"/>
      <c r="S123" s="126"/>
      <c r="T123" s="194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s="167" customFormat="1" ht="18" customHeight="1" x14ac:dyDescent="0.35">
      <c r="B124" s="181" t="s">
        <v>1301</v>
      </c>
      <c r="C124" s="232" t="s">
        <v>1241</v>
      </c>
      <c r="D124" s="182" t="s">
        <v>242</v>
      </c>
      <c r="E124" s="182"/>
      <c r="F124" s="276">
        <v>1600</v>
      </c>
      <c r="G124" s="182"/>
      <c r="H124" s="182"/>
      <c r="I124" s="216" t="s">
        <v>252</v>
      </c>
      <c r="J124" s="220"/>
      <c r="K124" s="166"/>
      <c r="L124" s="15"/>
      <c r="N124" s="126"/>
      <c r="O124" s="126"/>
      <c r="P124" s="126"/>
      <c r="Q124" s="126"/>
      <c r="R124" s="126"/>
      <c r="S124" s="126"/>
      <c r="T124" s="194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s="167" customFormat="1" ht="18" customHeight="1" x14ac:dyDescent="0.35">
      <c r="B125" s="181" t="s">
        <v>1301</v>
      </c>
      <c r="C125" s="232" t="s">
        <v>1241</v>
      </c>
      <c r="D125" s="182" t="s">
        <v>1302</v>
      </c>
      <c r="E125" s="182"/>
      <c r="F125" s="276">
        <v>132</v>
      </c>
      <c r="G125" s="182"/>
      <c r="H125" s="182"/>
      <c r="I125" s="216" t="s">
        <v>252</v>
      </c>
      <c r="J125" s="220"/>
      <c r="K125" s="166"/>
      <c r="L125" s="15"/>
      <c r="M125" s="125" t="s">
        <v>376</v>
      </c>
      <c r="N125" s="126"/>
      <c r="O125" s="126"/>
      <c r="P125" s="126"/>
      <c r="Q125" s="126"/>
      <c r="R125" s="126"/>
      <c r="S125" s="126"/>
      <c r="T125" s="194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s="167" customFormat="1" ht="18" customHeight="1" x14ac:dyDescent="0.35">
      <c r="B126" s="181" t="s">
        <v>1301</v>
      </c>
      <c r="C126" s="232" t="s">
        <v>1241</v>
      </c>
      <c r="D126" s="182" t="s">
        <v>241</v>
      </c>
      <c r="E126" s="182"/>
      <c r="F126" s="276">
        <v>1755</v>
      </c>
      <c r="G126" s="182"/>
      <c r="H126" s="182"/>
      <c r="I126" s="216" t="s">
        <v>252</v>
      </c>
      <c r="J126" s="220"/>
      <c r="K126" s="166"/>
      <c r="L126" s="15"/>
      <c r="N126" s="126"/>
      <c r="O126" s="126"/>
      <c r="P126" s="126"/>
      <c r="Q126" s="126"/>
      <c r="R126" s="126"/>
      <c r="S126" s="126"/>
      <c r="T126" s="194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s="167" customFormat="1" ht="18" customHeight="1" x14ac:dyDescent="0.35">
      <c r="B127" s="181" t="s">
        <v>1301</v>
      </c>
      <c r="C127" s="232" t="s">
        <v>1241</v>
      </c>
      <c r="D127" s="182" t="s">
        <v>1303</v>
      </c>
      <c r="E127" s="182"/>
      <c r="F127" s="276">
        <v>4379</v>
      </c>
      <c r="G127" s="182"/>
      <c r="H127" s="182"/>
      <c r="I127" s="216" t="s">
        <v>252</v>
      </c>
      <c r="J127" s="220"/>
      <c r="K127" s="166"/>
      <c r="L127" s="15"/>
      <c r="N127" s="126"/>
      <c r="O127" s="126"/>
      <c r="P127" s="126"/>
      <c r="Q127" s="126"/>
      <c r="R127" s="126"/>
      <c r="S127" s="126"/>
      <c r="T127" s="194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s="167" customFormat="1" ht="18" customHeight="1" x14ac:dyDescent="0.35">
      <c r="B128" s="181"/>
      <c r="C128" s="232"/>
      <c r="D128" s="182"/>
      <c r="E128" s="182"/>
      <c r="F128" s="276"/>
      <c r="G128" s="182"/>
      <c r="H128" s="182"/>
      <c r="I128" s="216"/>
      <c r="J128" s="220"/>
      <c r="K128" s="166"/>
      <c r="L128" s="15"/>
      <c r="N128" s="126"/>
      <c r="O128" s="126"/>
      <c r="P128" s="126"/>
      <c r="Q128" s="126"/>
      <c r="R128" s="126"/>
      <c r="S128" s="126"/>
      <c r="T128" s="194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2:35" s="167" customFormat="1" ht="18" customHeight="1" x14ac:dyDescent="0.35">
      <c r="B129" s="181"/>
      <c r="C129" s="232"/>
      <c r="D129" s="182"/>
      <c r="E129" s="182"/>
      <c r="F129" s="276"/>
      <c r="G129" s="182"/>
      <c r="H129" s="182"/>
      <c r="I129" s="216"/>
      <c r="J129" s="220"/>
      <c r="K129" s="166"/>
      <c r="L129" s="15"/>
      <c r="N129" s="126"/>
      <c r="O129" s="126" t="s">
        <v>559</v>
      </c>
      <c r="P129" s="126" t="s">
        <v>345</v>
      </c>
      <c r="Q129" s="126" t="s">
        <v>380</v>
      </c>
      <c r="R129" s="126" t="s">
        <v>560</v>
      </c>
      <c r="S129" s="126" t="s">
        <v>561</v>
      </c>
      <c r="T129" s="194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2:35" s="167" customFormat="1" ht="18" customHeight="1" x14ac:dyDescent="0.35">
      <c r="B130" s="181"/>
      <c r="C130" s="232"/>
      <c r="D130" s="182"/>
      <c r="E130" s="182"/>
      <c r="F130" s="276"/>
      <c r="G130" s="182"/>
      <c r="H130" s="182"/>
      <c r="I130" s="216"/>
      <c r="J130" s="220"/>
      <c r="K130" s="166"/>
      <c r="L130" s="15"/>
      <c r="N130" s="126"/>
      <c r="O130" s="126" t="s">
        <v>562</v>
      </c>
      <c r="P130" s="126" t="s">
        <v>131</v>
      </c>
      <c r="Q130" s="126" t="s">
        <v>379</v>
      </c>
      <c r="R130" s="126" t="s">
        <v>563</v>
      </c>
      <c r="S130" s="126" t="s">
        <v>564</v>
      </c>
      <c r="T130" s="194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2:35" s="167" customFormat="1" ht="18" customHeight="1" x14ac:dyDescent="0.35">
      <c r="B131" s="181"/>
      <c r="C131" s="232"/>
      <c r="D131" s="182"/>
      <c r="E131" s="182"/>
      <c r="F131" s="276"/>
      <c r="G131" s="182"/>
      <c r="H131" s="182"/>
      <c r="I131" s="216"/>
      <c r="J131" s="220"/>
      <c r="K131" s="166"/>
      <c r="L131" s="15"/>
      <c r="N131" s="126"/>
      <c r="O131" s="126" t="s">
        <v>565</v>
      </c>
      <c r="P131" s="126" t="s">
        <v>131</v>
      </c>
      <c r="Q131" s="126" t="s">
        <v>379</v>
      </c>
      <c r="R131" s="126" t="s">
        <v>566</v>
      </c>
      <c r="S131" s="126" t="s">
        <v>567</v>
      </c>
      <c r="T131" s="194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2:35" s="167" customFormat="1" ht="18" customHeight="1" x14ac:dyDescent="0.35">
      <c r="B132" s="181"/>
      <c r="C132" s="232"/>
      <c r="D132" s="182"/>
      <c r="E132" s="182"/>
      <c r="F132" s="276"/>
      <c r="G132" s="182"/>
      <c r="H132" s="182"/>
      <c r="I132" s="216"/>
      <c r="J132" s="220"/>
      <c r="K132" s="166"/>
      <c r="L132" s="15"/>
      <c r="N132" s="126"/>
      <c r="O132" s="126" t="s">
        <v>568</v>
      </c>
      <c r="P132" s="126" t="s">
        <v>345</v>
      </c>
      <c r="Q132" s="126" t="s">
        <v>380</v>
      </c>
      <c r="R132" s="126" t="s">
        <v>569</v>
      </c>
      <c r="S132" s="126" t="s">
        <v>570</v>
      </c>
      <c r="T132" s="194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2:35" s="167" customFormat="1" ht="18" customHeight="1" x14ac:dyDescent="0.35">
      <c r="B133" s="181"/>
      <c r="C133" s="232"/>
      <c r="D133" s="182"/>
      <c r="E133" s="182"/>
      <c r="F133" s="182"/>
      <c r="G133" s="182"/>
      <c r="H133" s="182"/>
      <c r="I133" s="216"/>
      <c r="J133" s="220"/>
      <c r="K133" s="166"/>
      <c r="L133" s="15"/>
      <c r="N133" s="126"/>
      <c r="O133" s="126" t="s">
        <v>571</v>
      </c>
      <c r="P133" s="126" t="s">
        <v>131</v>
      </c>
      <c r="Q133" s="126" t="s">
        <v>379</v>
      </c>
      <c r="R133" s="126" t="s">
        <v>572</v>
      </c>
      <c r="S133" s="126" t="s">
        <v>573</v>
      </c>
      <c r="T133" s="194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2:35" s="167" customFormat="1" ht="18" customHeight="1" x14ac:dyDescent="0.35">
      <c r="B134" s="181"/>
      <c r="C134" s="232"/>
      <c r="D134" s="182"/>
      <c r="E134" s="182"/>
      <c r="F134" s="182"/>
      <c r="G134" s="182"/>
      <c r="H134" s="182"/>
      <c r="I134" s="216"/>
      <c r="J134" s="220"/>
      <c r="K134" s="166"/>
      <c r="L134" s="15"/>
      <c r="N134" s="126"/>
      <c r="O134" s="126" t="s">
        <v>574</v>
      </c>
      <c r="P134" s="126" t="s">
        <v>131</v>
      </c>
      <c r="Q134" s="126" t="s">
        <v>379</v>
      </c>
      <c r="R134" s="126" t="s">
        <v>575</v>
      </c>
      <c r="S134" s="126" t="s">
        <v>576</v>
      </c>
      <c r="T134" s="194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2:35" s="167" customFormat="1" ht="18" customHeight="1" x14ac:dyDescent="0.35">
      <c r="B135" s="181"/>
      <c r="C135" s="232"/>
      <c r="D135" s="182"/>
      <c r="E135" s="182"/>
      <c r="F135" s="182"/>
      <c r="G135" s="182"/>
      <c r="H135" s="182"/>
      <c r="I135" s="216"/>
      <c r="J135" s="220"/>
      <c r="K135" s="166"/>
      <c r="L135" s="15"/>
      <c r="N135" s="126"/>
      <c r="O135" s="126"/>
      <c r="P135" s="126"/>
      <c r="Q135" s="126"/>
      <c r="R135" s="126"/>
      <c r="S135" s="126"/>
      <c r="T135" s="194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2:35" s="167" customFormat="1" ht="18" customHeight="1" x14ac:dyDescent="0.35">
      <c r="B136" s="181"/>
      <c r="C136" s="232"/>
      <c r="D136" s="182"/>
      <c r="E136" s="182"/>
      <c r="F136" s="182"/>
      <c r="G136" s="182"/>
      <c r="H136" s="182"/>
      <c r="I136" s="216"/>
      <c r="J136" s="220"/>
      <c r="K136" s="166"/>
      <c r="L136" s="15"/>
      <c r="N136" s="126"/>
      <c r="O136" s="126"/>
      <c r="P136" s="126"/>
      <c r="Q136" s="126"/>
      <c r="R136" s="126"/>
      <c r="S136" s="126"/>
      <c r="T136" s="194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2:35" s="167" customFormat="1" ht="18" customHeight="1" x14ac:dyDescent="0.35">
      <c r="B137" s="181"/>
      <c r="C137" s="232"/>
      <c r="D137" s="182"/>
      <c r="E137" s="182"/>
      <c r="F137" s="182"/>
      <c r="G137" s="182"/>
      <c r="H137" s="182"/>
      <c r="I137" s="216"/>
      <c r="J137" s="220"/>
      <c r="K137" s="166"/>
      <c r="L137" s="15"/>
      <c r="N137" s="126"/>
      <c r="O137" s="126"/>
      <c r="P137" s="126"/>
      <c r="Q137" s="126"/>
      <c r="R137" s="126"/>
      <c r="S137" s="126"/>
      <c r="T137" s="194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2:35" s="167" customFormat="1" ht="18" customHeight="1" x14ac:dyDescent="0.35">
      <c r="B138" s="196"/>
      <c r="C138" s="232"/>
      <c r="D138" s="197"/>
      <c r="E138" s="197"/>
      <c r="F138" s="198"/>
      <c r="G138" s="198"/>
      <c r="H138" s="197"/>
      <c r="I138" s="216"/>
      <c r="J138" s="220"/>
      <c r="K138" s="166"/>
      <c r="L138" s="15"/>
      <c r="N138" s="126"/>
      <c r="O138" s="126"/>
      <c r="P138" s="126"/>
      <c r="Q138" s="126"/>
      <c r="R138" s="126"/>
      <c r="S138" s="126"/>
      <c r="T138" s="194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2:35" s="167" customFormat="1" ht="18" customHeight="1" x14ac:dyDescent="0.35">
      <c r="B139" s="196"/>
      <c r="C139" s="232"/>
      <c r="D139" s="197"/>
      <c r="E139" s="197"/>
      <c r="F139" s="198"/>
      <c r="G139" s="198"/>
      <c r="H139" s="197"/>
      <c r="I139" s="216"/>
      <c r="J139" s="220"/>
      <c r="K139" s="166"/>
      <c r="L139" s="15"/>
      <c r="N139" s="126"/>
      <c r="O139" s="126"/>
      <c r="P139" s="126"/>
      <c r="Q139" s="126"/>
      <c r="R139" s="126"/>
      <c r="S139" s="126"/>
      <c r="T139" s="194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2:35" s="167" customFormat="1" ht="18" customHeight="1" x14ac:dyDescent="0.35">
      <c r="B140" s="226"/>
      <c r="C140" s="231"/>
      <c r="D140" s="227"/>
      <c r="E140" s="227"/>
      <c r="F140" s="228"/>
      <c r="G140" s="228"/>
      <c r="H140" s="197"/>
      <c r="I140" s="216"/>
      <c r="J140" s="220"/>
      <c r="K140" s="166"/>
      <c r="L140" s="15"/>
      <c r="N140" s="126"/>
      <c r="O140" s="126"/>
      <c r="P140" s="126"/>
      <c r="Q140" s="126"/>
      <c r="R140" s="126"/>
      <c r="S140" s="126"/>
      <c r="T140" s="194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2:35" s="167" customFormat="1" ht="18" customHeight="1" x14ac:dyDescent="0.35">
      <c r="B141" s="196"/>
      <c r="C141" s="232"/>
      <c r="D141" s="197"/>
      <c r="E141" s="197"/>
      <c r="F141" s="198"/>
      <c r="G141" s="198"/>
      <c r="H141" s="197"/>
      <c r="I141" s="216"/>
      <c r="J141" s="220"/>
      <c r="K141" s="166"/>
      <c r="L141" s="15"/>
      <c r="N141" s="126"/>
      <c r="O141" s="126"/>
      <c r="P141" s="126"/>
      <c r="Q141" s="126"/>
      <c r="R141" s="126"/>
      <c r="S141" s="126"/>
      <c r="T141" s="194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2:35" s="167" customFormat="1" ht="18" customHeight="1" x14ac:dyDescent="0.35">
      <c r="B142" s="196"/>
      <c r="C142" s="196"/>
      <c r="D142" s="197"/>
      <c r="E142" s="197"/>
      <c r="F142" s="198"/>
      <c r="G142" s="198"/>
      <c r="H142" s="197"/>
      <c r="I142" s="216"/>
      <c r="J142" s="220"/>
      <c r="K142" s="166"/>
      <c r="L142" s="15"/>
      <c r="N142" s="126"/>
      <c r="O142" s="126"/>
      <c r="P142" s="126"/>
      <c r="Q142" s="126"/>
      <c r="R142" s="126"/>
      <c r="S142" s="126"/>
      <c r="T142" s="194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2:35" s="167" customFormat="1" ht="18" customHeight="1" x14ac:dyDescent="0.35">
      <c r="B143" s="196"/>
      <c r="C143" s="196"/>
      <c r="D143" s="197"/>
      <c r="E143" s="197"/>
      <c r="F143" s="197"/>
      <c r="G143" s="197"/>
      <c r="H143" s="197"/>
      <c r="I143" s="216"/>
      <c r="J143" s="220"/>
      <c r="K143" s="166"/>
      <c r="L143" s="15"/>
      <c r="N143" s="126"/>
      <c r="O143" s="126"/>
      <c r="P143" s="126"/>
      <c r="Q143" s="126"/>
      <c r="R143" s="126"/>
      <c r="S143" s="126"/>
      <c r="T143" s="194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2:35" ht="18" x14ac:dyDescent="0.35">
      <c r="B144" s="181"/>
      <c r="C144" s="182"/>
      <c r="D144" s="182"/>
      <c r="E144" s="182"/>
      <c r="F144" s="182"/>
      <c r="G144" s="182"/>
      <c r="H144" s="182"/>
      <c r="I144" s="216"/>
      <c r="J144" s="222"/>
      <c r="K144" s="166"/>
      <c r="L144" s="44"/>
      <c r="N144" s="134"/>
      <c r="O144" s="134"/>
      <c r="P144" s="19"/>
      <c r="Q144" s="19"/>
      <c r="R144" s="19"/>
      <c r="S144" s="19"/>
      <c r="T144" s="194"/>
      <c r="U144" s="19"/>
    </row>
    <row r="145" spans="2:24" s="144" customFormat="1" x14ac:dyDescent="0.25">
      <c r="B145" s="163" t="s">
        <v>177</v>
      </c>
      <c r="C145" s="163" t="s">
        <v>5</v>
      </c>
      <c r="D145" s="163" t="s">
        <v>201</v>
      </c>
      <c r="E145" s="163" t="s">
        <v>200</v>
      </c>
      <c r="F145" s="163" t="s">
        <v>155</v>
      </c>
      <c r="G145" s="163" t="s">
        <v>202</v>
      </c>
      <c r="H145" s="163"/>
      <c r="I145" s="162"/>
      <c r="J145" s="223"/>
      <c r="K145" s="162"/>
      <c r="L145" s="134"/>
      <c r="M145" s="134"/>
      <c r="N145" s="134"/>
      <c r="O145" s="134"/>
      <c r="T145" s="194"/>
      <c r="V145" s="45"/>
      <c r="W145" s="45"/>
    </row>
    <row r="146" spans="2:24" s="233" customFormat="1" ht="18" x14ac:dyDescent="0.35">
      <c r="B146" s="182" t="s">
        <v>1304</v>
      </c>
      <c r="C146" s="232">
        <v>43024</v>
      </c>
      <c r="D146" s="182" t="s">
        <v>432</v>
      </c>
      <c r="E146" s="182">
        <v>-1226</v>
      </c>
      <c r="F146" s="186">
        <f>+E146*EERR!$D$2</f>
        <v>-771767</v>
      </c>
      <c r="G146" s="186"/>
      <c r="H146" s="186"/>
      <c r="I146" s="216"/>
      <c r="J146" s="219"/>
      <c r="K146" s="166"/>
      <c r="L146" s="15"/>
      <c r="N146" s="134"/>
      <c r="O146" s="134"/>
      <c r="P146" s="126"/>
      <c r="Q146" s="126"/>
      <c r="R146" s="180"/>
      <c r="S146" s="180"/>
      <c r="T146" s="194"/>
      <c r="U146" s="45"/>
      <c r="V146" s="45"/>
      <c r="W146" s="45"/>
      <c r="X146" s="233">
        <v>139.5</v>
      </c>
    </row>
    <row r="147" spans="2:24" s="233" customFormat="1" ht="18" x14ac:dyDescent="0.35">
      <c r="B147" s="182" t="s">
        <v>1305</v>
      </c>
      <c r="C147" s="232">
        <v>43024</v>
      </c>
      <c r="D147" s="182" t="s">
        <v>432</v>
      </c>
      <c r="E147" s="182">
        <v>-400</v>
      </c>
      <c r="F147" s="186">
        <f>+E147*EERR!$D$2</f>
        <v>-251800</v>
      </c>
      <c r="G147" s="186"/>
      <c r="H147" s="186"/>
      <c r="I147" s="216"/>
      <c r="J147" s="219"/>
      <c r="K147" s="166"/>
      <c r="L147" s="15"/>
      <c r="N147" s="134"/>
      <c r="O147" s="134"/>
      <c r="P147" s="126"/>
      <c r="Q147" s="126"/>
      <c r="R147" s="180"/>
      <c r="S147" s="180"/>
      <c r="T147" s="194"/>
      <c r="U147" s="45"/>
      <c r="V147" s="45"/>
      <c r="W147" s="45"/>
    </row>
    <row r="148" spans="2:24" s="233" customFormat="1" ht="18" x14ac:dyDescent="0.35">
      <c r="B148" s="182" t="s">
        <v>1306</v>
      </c>
      <c r="C148" s="232">
        <v>43024</v>
      </c>
      <c r="D148" s="182" t="s">
        <v>432</v>
      </c>
      <c r="E148" s="182">
        <v>-1340.29</v>
      </c>
      <c r="F148" s="186">
        <f>+E148*EERR!$D$2</f>
        <v>-843712.55499999993</v>
      </c>
      <c r="G148" s="186"/>
      <c r="H148" s="186"/>
      <c r="I148" s="216"/>
      <c r="J148" s="219"/>
      <c r="K148" s="166"/>
      <c r="L148" s="15"/>
      <c r="N148" s="134"/>
      <c r="O148" s="134"/>
      <c r="P148" s="126"/>
      <c r="Q148" s="126"/>
      <c r="R148" s="180"/>
      <c r="S148" s="180"/>
      <c r="T148" s="194"/>
      <c r="U148" s="45"/>
      <c r="V148" s="45"/>
      <c r="W148" s="45"/>
    </row>
    <row r="149" spans="2:24" s="233" customFormat="1" ht="18" x14ac:dyDescent="0.35">
      <c r="B149" s="182" t="s">
        <v>1307</v>
      </c>
      <c r="C149" s="232">
        <v>43011</v>
      </c>
      <c r="D149" s="182" t="s">
        <v>1308</v>
      </c>
      <c r="E149" s="182">
        <v>400.04</v>
      </c>
      <c r="F149" s="186">
        <f>+E149*EERR!$D$2</f>
        <v>251825.18000000002</v>
      </c>
      <c r="G149" s="186"/>
      <c r="H149" s="186"/>
      <c r="I149" s="216"/>
      <c r="J149" s="219"/>
      <c r="K149" s="166"/>
      <c r="L149" s="15"/>
      <c r="N149" s="134"/>
      <c r="O149" s="134"/>
      <c r="P149" s="126"/>
      <c r="Q149" s="126"/>
      <c r="R149" s="180"/>
      <c r="S149" s="180"/>
      <c r="T149" s="194"/>
      <c r="U149" s="45"/>
      <c r="V149" s="45"/>
      <c r="W149" s="45"/>
    </row>
    <row r="150" spans="2:24" s="233" customFormat="1" ht="18" x14ac:dyDescent="0.35">
      <c r="B150" s="182" t="s">
        <v>1309</v>
      </c>
      <c r="C150" s="232">
        <v>43018</v>
      </c>
      <c r="D150" s="182" t="s">
        <v>347</v>
      </c>
      <c r="E150" s="182">
        <v>1226.3900000000001</v>
      </c>
      <c r="F150" s="186">
        <f>+E150*EERR!$D$2</f>
        <v>772012.50500000012</v>
      </c>
      <c r="G150" s="186"/>
      <c r="H150" s="186"/>
      <c r="I150" s="216"/>
      <c r="J150" s="219"/>
      <c r="K150" s="166"/>
      <c r="L150" s="15"/>
      <c r="N150" s="134"/>
      <c r="O150" s="134"/>
      <c r="P150" s="126"/>
      <c r="Q150" s="126"/>
      <c r="R150" s="180"/>
      <c r="S150" s="180"/>
      <c r="T150" s="194"/>
      <c r="U150" s="45"/>
      <c r="V150" s="45"/>
      <c r="W150" s="45"/>
    </row>
    <row r="151" spans="2:24" s="167" customFormat="1" ht="18" x14ac:dyDescent="0.35">
      <c r="B151" s="182" t="s">
        <v>1310</v>
      </c>
      <c r="C151" s="232">
        <v>43025</v>
      </c>
      <c r="D151" s="182" t="s">
        <v>348</v>
      </c>
      <c r="E151" s="182">
        <v>90</v>
      </c>
      <c r="F151" s="186">
        <f>+E151*EERR!$D$2</f>
        <v>56655</v>
      </c>
      <c r="G151" s="186"/>
      <c r="H151" s="186"/>
      <c r="I151" s="216"/>
      <c r="J151" s="219"/>
      <c r="K151" s="166"/>
      <c r="L151" s="15"/>
      <c r="M151" s="233"/>
      <c r="N151" s="134"/>
      <c r="O151" s="134"/>
      <c r="P151" s="126"/>
      <c r="Q151" s="126"/>
      <c r="R151" s="180"/>
      <c r="S151" s="180"/>
      <c r="T151" s="194"/>
      <c r="U151" s="45"/>
      <c r="V151" s="45"/>
      <c r="W151" s="45"/>
      <c r="X151" s="167">
        <v>109</v>
      </c>
    </row>
    <row r="152" spans="2:24" s="167" customFormat="1" ht="18" x14ac:dyDescent="0.35">
      <c r="B152" s="182" t="s">
        <v>1311</v>
      </c>
      <c r="C152" s="232">
        <v>43041</v>
      </c>
      <c r="D152" s="182" t="s">
        <v>370</v>
      </c>
      <c r="E152" s="182">
        <v>62</v>
      </c>
      <c r="F152" s="186">
        <f>+E152*EERR!$D$2</f>
        <v>39029</v>
      </c>
      <c r="G152" s="186"/>
      <c r="H152" s="186"/>
      <c r="I152" s="216"/>
      <c r="J152" s="219"/>
      <c r="K152" s="166"/>
      <c r="L152" s="15"/>
      <c r="M152" s="233"/>
      <c r="N152" s="134"/>
      <c r="O152" s="134"/>
      <c r="P152" s="126"/>
      <c r="Q152" s="126"/>
      <c r="R152" s="180"/>
      <c r="S152" s="180"/>
      <c r="T152" s="194"/>
      <c r="U152" s="45"/>
      <c r="V152" s="45"/>
      <c r="W152" s="45"/>
      <c r="X152" s="167">
        <v>9.1999999999999993</v>
      </c>
    </row>
    <row r="153" spans="2:24" s="167" customFormat="1" ht="18" x14ac:dyDescent="0.35">
      <c r="B153" s="182" t="s">
        <v>1312</v>
      </c>
      <c r="C153" s="232">
        <v>43042</v>
      </c>
      <c r="D153" s="182" t="s">
        <v>346</v>
      </c>
      <c r="E153" s="182">
        <v>109</v>
      </c>
      <c r="F153" s="186">
        <f>+E153*EERR!$D$2</f>
        <v>68615.5</v>
      </c>
      <c r="G153" s="186"/>
      <c r="H153" s="186"/>
      <c r="I153" s="216"/>
      <c r="J153" s="224"/>
      <c r="K153" s="166"/>
      <c r="L153" s="134"/>
      <c r="M153" s="134"/>
      <c r="N153" s="134"/>
      <c r="O153" s="134"/>
      <c r="P153" s="126"/>
      <c r="Q153" s="126"/>
      <c r="R153" s="180"/>
      <c r="S153" s="180"/>
      <c r="T153" s="194"/>
      <c r="U153" s="45"/>
      <c r="V153" s="45"/>
      <c r="W153" s="45"/>
      <c r="X153" s="167">
        <v>90</v>
      </c>
    </row>
    <row r="154" spans="2:24" s="144" customFormat="1" ht="18" x14ac:dyDescent="0.35">
      <c r="B154" s="182"/>
      <c r="C154" s="232"/>
      <c r="D154" s="182"/>
      <c r="E154" s="182"/>
      <c r="F154" s="186"/>
      <c r="G154" s="186"/>
      <c r="H154" s="186"/>
      <c r="I154" s="216"/>
      <c r="J154" s="224"/>
      <c r="K154" s="130"/>
      <c r="L154" s="134"/>
      <c r="M154" s="134"/>
      <c r="N154" s="126"/>
      <c r="O154" s="134"/>
      <c r="P154" s="126"/>
      <c r="Q154" s="126"/>
      <c r="R154" s="127"/>
      <c r="S154" s="127"/>
      <c r="T154" s="194"/>
      <c r="U154" s="45"/>
      <c r="V154" s="45"/>
      <c r="W154" s="45"/>
      <c r="X154" s="144">
        <v>50</v>
      </c>
    </row>
    <row r="155" spans="2:24" s="144" customFormat="1" ht="18" x14ac:dyDescent="0.35">
      <c r="B155" s="182"/>
      <c r="C155" s="232"/>
      <c r="D155" s="182"/>
      <c r="E155" s="182"/>
      <c r="F155" s="186"/>
      <c r="G155" s="186"/>
      <c r="H155" s="185"/>
      <c r="I155" s="216"/>
      <c r="J155" s="225"/>
      <c r="K155" s="130"/>
      <c r="L155" s="134"/>
      <c r="M155" s="134"/>
      <c r="N155" s="126"/>
      <c r="O155" s="134"/>
      <c r="P155" s="126"/>
      <c r="Q155" s="126"/>
      <c r="R155" s="127"/>
      <c r="S155" s="127"/>
      <c r="T155" s="194"/>
      <c r="U155" s="45"/>
      <c r="V155" s="45"/>
      <c r="W155" s="45"/>
      <c r="X155" s="144">
        <v>397.7</v>
      </c>
    </row>
    <row r="156" spans="2:24" s="144" customFormat="1" ht="18" x14ac:dyDescent="0.35">
      <c r="B156" s="128"/>
      <c r="C156" s="181"/>
      <c r="D156" s="129"/>
      <c r="E156" s="168"/>
      <c r="F156" s="186">
        <f>+E156*EERR!$D$2</f>
        <v>0</v>
      </c>
      <c r="G156" s="186"/>
      <c r="H156" s="185"/>
      <c r="I156" s="216"/>
      <c r="J156" s="225"/>
      <c r="K156" s="130"/>
      <c r="L156" s="134"/>
      <c r="M156" s="134"/>
      <c r="N156" s="126"/>
      <c r="O156" s="134"/>
      <c r="P156" s="126"/>
      <c r="Q156" s="126"/>
      <c r="R156" s="127"/>
      <c r="S156" s="127"/>
      <c r="T156" s="194"/>
      <c r="U156" s="45"/>
      <c r="V156" s="45"/>
      <c r="W156" s="45"/>
    </row>
    <row r="157" spans="2:24" s="144" customFormat="1" ht="18" x14ac:dyDescent="0.35">
      <c r="B157" s="181"/>
      <c r="C157" s="181"/>
      <c r="D157" s="182"/>
      <c r="E157" s="168"/>
      <c r="F157" s="185"/>
      <c r="G157" s="182"/>
      <c r="H157" s="185"/>
      <c r="I157" s="216"/>
      <c r="J157" s="220"/>
      <c r="K157" s="130"/>
      <c r="N157" s="126"/>
      <c r="O157" s="134"/>
      <c r="P157" s="126"/>
      <c r="Q157" s="126"/>
      <c r="R157" s="127"/>
      <c r="S157" s="127"/>
      <c r="T157" s="194"/>
      <c r="U157" s="45"/>
      <c r="V157" s="45"/>
      <c r="W157" s="45"/>
    </row>
    <row r="158" spans="2:24" s="144" customFormat="1" x14ac:dyDescent="0.25">
      <c r="B158" s="145"/>
      <c r="C158" s="146"/>
      <c r="D158" s="146"/>
      <c r="E158" s="146"/>
      <c r="F158" s="27"/>
      <c r="G158" s="134"/>
      <c r="H158" s="134"/>
      <c r="I158" s="134"/>
      <c r="J158" s="134"/>
      <c r="K158" s="134"/>
      <c r="N158" s="126"/>
      <c r="O158" s="134"/>
      <c r="P158" s="126"/>
      <c r="Q158" s="126"/>
      <c r="R158" s="127"/>
      <c r="S158" s="127"/>
      <c r="T158" s="194"/>
      <c r="U158" s="45"/>
      <c r="V158" s="45"/>
      <c r="W158" s="45"/>
    </row>
    <row r="159" spans="2:24" s="144" customFormat="1" x14ac:dyDescent="0.25">
      <c r="B159" s="145"/>
      <c r="C159" s="146"/>
      <c r="D159" s="146"/>
      <c r="E159" s="146"/>
      <c r="F159" s="27"/>
      <c r="G159" s="134"/>
      <c r="H159" s="134"/>
      <c r="I159" s="134"/>
      <c r="J159" s="134"/>
      <c r="K159" s="134"/>
      <c r="N159" s="126"/>
      <c r="O159" s="134"/>
      <c r="P159" s="126"/>
      <c r="Q159" s="126"/>
      <c r="R159" s="127"/>
      <c r="S159" s="127"/>
      <c r="T159" s="194"/>
      <c r="U159" s="45"/>
      <c r="V159" s="45"/>
      <c r="W159" s="45"/>
    </row>
    <row r="160" spans="2:24" s="144" customFormat="1" x14ac:dyDescent="0.25">
      <c r="B160" s="145"/>
      <c r="C160" s="146"/>
      <c r="D160" s="146"/>
      <c r="E160" s="146"/>
      <c r="F160" s="194">
        <f>SUBTOTAL(9,F3:F157)</f>
        <v>25775656.629999999</v>
      </c>
      <c r="G160" s="194">
        <f>SUBTOTAL(9,G3:G157)</f>
        <v>27692585</v>
      </c>
      <c r="H160" s="194"/>
      <c r="I160" s="134"/>
      <c r="J160" s="167"/>
      <c r="K160" s="134"/>
      <c r="L160" s="45"/>
      <c r="M160" s="45"/>
      <c r="N160" s="45"/>
      <c r="O160" s="45"/>
      <c r="P160" s="126"/>
      <c r="Q160" s="126"/>
      <c r="R160" s="127"/>
      <c r="S160" s="127"/>
      <c r="T160" s="194"/>
      <c r="U160" s="45"/>
      <c r="V160" s="45"/>
      <c r="W160" s="45"/>
    </row>
    <row r="161" spans="2:20" ht="14.4" x14ac:dyDescent="0.3">
      <c r="B161" s="29"/>
      <c r="E161" s="28"/>
      <c r="F161" s="29"/>
      <c r="G161" s="46"/>
      <c r="H161" s="63"/>
      <c r="I161" s="63" t="s">
        <v>4</v>
      </c>
      <c r="J161" s="167"/>
      <c r="L161" s="45"/>
      <c r="M161" s="45"/>
      <c r="N161" s="45"/>
      <c r="O161" s="45"/>
      <c r="P161" s="126"/>
      <c r="Q161" s="126"/>
      <c r="R161" s="127"/>
      <c r="S161" s="127"/>
      <c r="T161" s="194"/>
    </row>
    <row r="162" spans="2:20" ht="18" x14ac:dyDescent="0.35">
      <c r="B162" s="29"/>
      <c r="E162" s="28"/>
      <c r="F162" s="29"/>
      <c r="G162" s="46"/>
      <c r="H162" s="64">
        <f t="shared" ref="H162:H178" si="5">SUMIF($I$3:$I$157,I162,$F$3:$F$157)-SUMIF($I$3:$I$157,I162,$G$3:$G$157)</f>
        <v>81380</v>
      </c>
      <c r="I162" s="216" t="s">
        <v>252</v>
      </c>
      <c r="J162" s="167"/>
      <c r="L162" s="45"/>
      <c r="M162" s="45"/>
      <c r="N162" s="45"/>
      <c r="O162" s="45"/>
      <c r="P162" s="119"/>
      <c r="T162" s="194"/>
    </row>
    <row r="163" spans="2:20" ht="18" x14ac:dyDescent="0.35">
      <c r="B163" s="29"/>
      <c r="E163" s="28"/>
      <c r="F163" s="29"/>
      <c r="G163" s="46"/>
      <c r="H163" s="64">
        <f t="shared" si="5"/>
        <v>3736040</v>
      </c>
      <c r="I163" s="216" t="s">
        <v>51</v>
      </c>
      <c r="J163" s="167"/>
      <c r="L163" s="45"/>
      <c r="M163" s="45"/>
      <c r="N163" s="45"/>
      <c r="O163" s="45"/>
      <c r="P163" s="180"/>
      <c r="Q163" s="126"/>
      <c r="R163" s="127"/>
      <c r="S163" s="127"/>
      <c r="T163" s="194"/>
    </row>
    <row r="164" spans="2:20" ht="18" x14ac:dyDescent="0.35">
      <c r="B164" s="29"/>
      <c r="E164" s="28"/>
      <c r="F164" s="29"/>
      <c r="G164" s="46"/>
      <c r="H164" s="64">
        <f t="shared" si="5"/>
        <v>1637293</v>
      </c>
      <c r="I164" s="216" t="s">
        <v>156</v>
      </c>
      <c r="J164" s="167"/>
      <c r="L164" s="45"/>
      <c r="M164" s="45"/>
      <c r="N164" s="45"/>
      <c r="O164" s="45"/>
      <c r="P164" s="180"/>
      <c r="Q164" s="126"/>
      <c r="R164" s="127"/>
      <c r="S164" s="127"/>
      <c r="T164" s="194"/>
    </row>
    <row r="165" spans="2:20" ht="18" x14ac:dyDescent="0.35">
      <c r="B165" s="29"/>
      <c r="E165" s="28"/>
      <c r="F165" s="29"/>
      <c r="G165" s="46"/>
      <c r="H165" s="64">
        <f t="shared" si="5"/>
        <v>446939</v>
      </c>
      <c r="I165" s="217" t="s">
        <v>251</v>
      </c>
      <c r="J165" s="167"/>
      <c r="L165" s="45"/>
      <c r="M165" s="45"/>
      <c r="N165" s="45"/>
      <c r="O165" s="45"/>
      <c r="P165" s="180"/>
      <c r="Q165" s="126"/>
      <c r="R165" s="127"/>
      <c r="S165" s="127"/>
      <c r="T165" s="194"/>
    </row>
    <row r="166" spans="2:20" ht="18" x14ac:dyDescent="0.35">
      <c r="F166" s="29"/>
      <c r="G166" s="46"/>
      <c r="H166" s="64">
        <f t="shared" si="5"/>
        <v>705667</v>
      </c>
      <c r="I166" s="217" t="s">
        <v>9</v>
      </c>
      <c r="J166" s="167"/>
      <c r="L166" s="45"/>
      <c r="M166" s="45"/>
      <c r="N166" s="45"/>
      <c r="O166" s="45"/>
      <c r="P166" s="180"/>
      <c r="Q166" s="126"/>
      <c r="R166" s="127"/>
      <c r="S166" s="127"/>
      <c r="T166" s="194"/>
    </row>
    <row r="167" spans="2:20" ht="18" x14ac:dyDescent="0.35">
      <c r="F167" s="29"/>
      <c r="G167" s="46"/>
      <c r="H167" s="64">
        <f t="shared" si="5"/>
        <v>2900000</v>
      </c>
      <c r="I167" s="218" t="s">
        <v>253</v>
      </c>
      <c r="J167" s="167"/>
      <c r="L167" s="45"/>
      <c r="M167" s="45"/>
      <c r="N167" s="45"/>
      <c r="O167" s="45"/>
      <c r="P167" s="180"/>
      <c r="Q167" s="126"/>
      <c r="R167" s="127"/>
      <c r="S167" s="127"/>
      <c r="T167" s="194"/>
    </row>
    <row r="168" spans="2:20" ht="18" x14ac:dyDescent="0.35">
      <c r="F168" s="29"/>
      <c r="G168" s="46"/>
      <c r="H168" s="64">
        <f t="shared" si="5"/>
        <v>200000</v>
      </c>
      <c r="I168" s="216" t="s">
        <v>255</v>
      </c>
      <c r="J168" s="167"/>
      <c r="L168" s="45"/>
      <c r="M168" s="45"/>
      <c r="N168" s="45"/>
      <c r="O168" s="45"/>
      <c r="P168" s="19"/>
      <c r="Q168" s="19"/>
      <c r="R168" s="19"/>
      <c r="S168" s="19"/>
      <c r="T168" s="194"/>
    </row>
    <row r="169" spans="2:20" ht="18" x14ac:dyDescent="0.35">
      <c r="F169" s="29"/>
      <c r="G169" s="46"/>
      <c r="H169" s="64">
        <f t="shared" si="5"/>
        <v>1479688</v>
      </c>
      <c r="I169" s="216" t="s">
        <v>254</v>
      </c>
      <c r="J169" s="167"/>
      <c r="L169" s="45"/>
      <c r="M169" s="45"/>
      <c r="N169" s="45"/>
      <c r="O169" s="45"/>
      <c r="P169" s="19"/>
      <c r="Q169" s="19"/>
      <c r="R169" s="19"/>
      <c r="S169" s="19"/>
      <c r="T169" s="194"/>
    </row>
    <row r="170" spans="2:20" ht="18" x14ac:dyDescent="0.35">
      <c r="F170" s="29"/>
      <c r="G170" s="46"/>
      <c r="H170" s="64">
        <f t="shared" si="5"/>
        <v>0</v>
      </c>
      <c r="I170" s="218" t="s">
        <v>43</v>
      </c>
      <c r="J170" s="167"/>
      <c r="L170" s="45"/>
      <c r="M170" s="45"/>
      <c r="N170" s="45"/>
      <c r="O170" s="45"/>
      <c r="P170" s="19"/>
      <c r="Q170" s="19"/>
      <c r="R170" s="19"/>
      <c r="S170" s="19"/>
      <c r="T170" s="194"/>
    </row>
    <row r="171" spans="2:20" ht="18" x14ac:dyDescent="0.35">
      <c r="F171" s="29"/>
      <c r="G171" s="46"/>
      <c r="H171" s="64">
        <f t="shared" si="5"/>
        <v>0</v>
      </c>
      <c r="I171" s="216" t="s">
        <v>12</v>
      </c>
      <c r="J171" s="167"/>
      <c r="L171" s="45"/>
      <c r="M171" s="45"/>
      <c r="N171" s="45"/>
      <c r="O171" s="45"/>
      <c r="P171" s="53"/>
      <c r="Q171" s="19"/>
      <c r="R171" s="19"/>
      <c r="S171" s="19"/>
      <c r="T171" s="194"/>
    </row>
    <row r="172" spans="2:20" ht="18" x14ac:dyDescent="0.35">
      <c r="F172" s="29"/>
      <c r="G172" s="46"/>
      <c r="H172" s="64">
        <f t="shared" si="5"/>
        <v>4149059</v>
      </c>
      <c r="I172" s="216" t="s">
        <v>22</v>
      </c>
      <c r="J172" s="167"/>
      <c r="L172" s="45"/>
      <c r="M172" s="45"/>
      <c r="N172" s="45"/>
      <c r="O172" s="45"/>
      <c r="P172" s="19"/>
      <c r="Q172" s="19"/>
      <c r="R172" s="19"/>
      <c r="S172" s="19"/>
      <c r="T172" s="194"/>
    </row>
    <row r="173" spans="2:20" ht="18" x14ac:dyDescent="0.35">
      <c r="F173" s="29"/>
      <c r="G173" s="46"/>
      <c r="H173" s="64">
        <f t="shared" si="5"/>
        <v>3571595</v>
      </c>
      <c r="I173" s="217" t="s">
        <v>256</v>
      </c>
      <c r="J173" s="167"/>
      <c r="L173" s="45"/>
      <c r="M173" s="45"/>
      <c r="N173" s="45"/>
      <c r="O173" s="45"/>
      <c r="P173" s="19"/>
      <c r="Q173" s="19"/>
      <c r="R173" s="19"/>
      <c r="S173" s="19"/>
      <c r="T173" s="194"/>
    </row>
    <row r="174" spans="2:20" ht="18" x14ac:dyDescent="0.35">
      <c r="F174" s="29"/>
      <c r="G174" s="46"/>
      <c r="H174" s="64">
        <f t="shared" si="5"/>
        <v>7032612</v>
      </c>
      <c r="I174" s="216" t="s">
        <v>50</v>
      </c>
      <c r="J174" s="167"/>
      <c r="L174" s="45"/>
      <c r="M174" s="45"/>
      <c r="N174" s="45"/>
      <c r="O174" s="45"/>
      <c r="P174" s="19"/>
      <c r="Q174" s="19"/>
      <c r="R174" s="19"/>
      <c r="S174" s="19"/>
      <c r="T174" s="194"/>
    </row>
    <row r="175" spans="2:20" ht="18" x14ac:dyDescent="0.35">
      <c r="F175" s="29"/>
      <c r="G175" s="46"/>
      <c r="H175" s="64">
        <f t="shared" si="5"/>
        <v>11851</v>
      </c>
      <c r="I175" s="217" t="s">
        <v>196</v>
      </c>
      <c r="J175" s="167"/>
      <c r="L175" s="45"/>
      <c r="M175" s="45"/>
      <c r="N175" s="45"/>
      <c r="O175" s="45"/>
      <c r="P175" s="53"/>
      <c r="Q175" s="19"/>
      <c r="R175" s="19"/>
      <c r="S175" s="19"/>
      <c r="T175" s="194"/>
    </row>
    <row r="176" spans="2:20" ht="18" x14ac:dyDescent="0.35">
      <c r="F176" s="29"/>
      <c r="G176" s="46"/>
      <c r="H176" s="64">
        <f t="shared" si="5"/>
        <v>-27366775</v>
      </c>
      <c r="I176" s="216" t="s">
        <v>197</v>
      </c>
      <c r="J176" s="233"/>
      <c r="L176" s="45"/>
      <c r="M176" s="45"/>
      <c r="N176" s="45"/>
      <c r="O176" s="45"/>
    </row>
    <row r="177" spans="1:23" ht="18" x14ac:dyDescent="0.35">
      <c r="F177" s="29"/>
      <c r="G177" s="46"/>
      <c r="H177" s="64">
        <f t="shared" si="5"/>
        <v>-313959</v>
      </c>
      <c r="I177" s="216" t="s">
        <v>257</v>
      </c>
      <c r="J177" s="167"/>
      <c r="L177" s="45"/>
      <c r="M177" s="45"/>
      <c r="N177" s="45"/>
      <c r="O177" s="45"/>
    </row>
    <row r="178" spans="1:23" ht="18" x14ac:dyDescent="0.35">
      <c r="F178" s="29"/>
      <c r="G178" s="46"/>
      <c r="H178" s="64">
        <f t="shared" si="5"/>
        <v>-11851</v>
      </c>
      <c r="I178" s="216" t="s">
        <v>258</v>
      </c>
      <c r="J178" s="167"/>
      <c r="L178" s="45"/>
      <c r="M178" s="45"/>
      <c r="N178" s="45"/>
      <c r="O178" s="45"/>
      <c r="P178" s="118"/>
    </row>
    <row r="179" spans="1:23" s="59" customFormat="1" ht="14.4" x14ac:dyDescent="0.3">
      <c r="G179" s="47"/>
      <c r="H179" s="65">
        <f>SUM(H162:H177)</f>
        <v>-1728610</v>
      </c>
      <c r="I179" s="63" t="s">
        <v>26</v>
      </c>
      <c r="J179" s="167"/>
      <c r="L179" s="45"/>
      <c r="M179" s="45"/>
      <c r="N179" s="45"/>
      <c r="O179" s="45"/>
      <c r="P179" s="45"/>
      <c r="Q179" s="45"/>
      <c r="R179" s="45"/>
      <c r="S179" s="119"/>
      <c r="T179" s="119"/>
      <c r="U179" s="45"/>
      <c r="V179" s="45"/>
      <c r="W179" s="45"/>
    </row>
    <row r="180" spans="1:23" x14ac:dyDescent="0.25">
      <c r="B180" s="53"/>
      <c r="F180" s="86"/>
      <c r="G180" s="86"/>
      <c r="H180" s="86"/>
      <c r="J180" s="167"/>
      <c r="L180" s="45"/>
      <c r="M180" s="45"/>
      <c r="N180" s="45"/>
      <c r="O180" s="45"/>
    </row>
    <row r="181" spans="1:23" x14ac:dyDescent="0.25">
      <c r="B181" s="53"/>
      <c r="F181" s="86"/>
      <c r="G181" s="86"/>
      <c r="H181" s="86"/>
    </row>
    <row r="182" spans="1:23" x14ac:dyDescent="0.25">
      <c r="B182" s="53"/>
      <c r="F182" s="86"/>
      <c r="G182" s="86"/>
      <c r="H182" s="86"/>
      <c r="P182" s="118"/>
    </row>
    <row r="183" spans="1:23" x14ac:dyDescent="0.25">
      <c r="B183" s="53"/>
      <c r="F183" s="86"/>
      <c r="G183" s="86"/>
      <c r="H183" s="86"/>
    </row>
    <row r="184" spans="1:23" x14ac:dyDescent="0.25">
      <c r="B184" s="53"/>
      <c r="F184" s="86"/>
      <c r="G184" s="86"/>
      <c r="H184" s="86"/>
      <c r="O184" s="135"/>
    </row>
    <row r="185" spans="1:23" x14ac:dyDescent="0.25">
      <c r="B185" s="167"/>
      <c r="C185" s="167"/>
      <c r="D185" s="167"/>
      <c r="E185" s="167"/>
      <c r="F185" s="167"/>
      <c r="G185" s="167"/>
      <c r="H185" s="167"/>
    </row>
    <row r="186" spans="1:23" x14ac:dyDescent="0.25">
      <c r="B186" s="167"/>
      <c r="C186" s="167"/>
      <c r="D186" s="167"/>
      <c r="E186" s="167"/>
      <c r="F186" s="167"/>
      <c r="G186" s="167"/>
      <c r="H186" s="167"/>
      <c r="I186" s="118"/>
      <c r="J186" s="118"/>
      <c r="K186" s="118"/>
      <c r="L186" s="118"/>
      <c r="M186" s="118"/>
      <c r="P186" s="118"/>
    </row>
    <row r="187" spans="1:23" x14ac:dyDescent="0.25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</row>
    <row r="188" spans="1:23" x14ac:dyDescent="0.25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O188" s="135"/>
    </row>
    <row r="189" spans="1:23" x14ac:dyDescent="0.25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</row>
    <row r="190" spans="1:23" x14ac:dyDescent="0.25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P190" s="118"/>
    </row>
    <row r="191" spans="1:23" x14ac:dyDescent="0.25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</row>
    <row r="192" spans="1:23" x14ac:dyDescent="0.25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O192" s="135"/>
    </row>
    <row r="193" spans="1:16" x14ac:dyDescent="0.25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</row>
    <row r="194" spans="1:16" x14ac:dyDescent="0.25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P194" s="118"/>
    </row>
    <row r="195" spans="1:16" x14ac:dyDescent="0.2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</row>
    <row r="196" spans="1:16" x14ac:dyDescent="0.25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O196" s="135"/>
    </row>
    <row r="197" spans="1:16" x14ac:dyDescent="0.25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</row>
    <row r="198" spans="1:16" x14ac:dyDescent="0.25">
      <c r="I198" s="118"/>
      <c r="J198" s="118"/>
      <c r="K198" s="118"/>
      <c r="L198" s="118"/>
      <c r="M198" s="118"/>
      <c r="P198" s="118"/>
    </row>
    <row r="200" spans="1:16" x14ac:dyDescent="0.25">
      <c r="O200" s="135"/>
    </row>
    <row r="202" spans="1:16" x14ac:dyDescent="0.25">
      <c r="P202" s="118"/>
    </row>
    <row r="204" spans="1:16" x14ac:dyDescent="0.25">
      <c r="O204" s="135"/>
    </row>
    <row r="206" spans="1:16" x14ac:dyDescent="0.25">
      <c r="P206" s="118"/>
    </row>
    <row r="208" spans="1:16" x14ac:dyDescent="0.25">
      <c r="O208" s="135"/>
    </row>
    <row r="211" spans="15:15" x14ac:dyDescent="0.25">
      <c r="O211" s="135"/>
    </row>
  </sheetData>
  <autoFilter ref="B2:K157"/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I107:I115 I146:I157 I117:I144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J68" sqref="J68:J69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3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70" t="s">
        <v>102</v>
      </c>
      <c r="B1" s="71" t="s">
        <v>103</v>
      </c>
      <c r="C1" s="71" t="s">
        <v>104</v>
      </c>
      <c r="D1" s="72" t="s">
        <v>105</v>
      </c>
      <c r="E1" s="71" t="s">
        <v>106</v>
      </c>
      <c r="F1" s="71" t="s">
        <v>127</v>
      </c>
      <c r="G1" s="73" t="s">
        <v>59</v>
      </c>
      <c r="H1" s="74">
        <f>F2</f>
        <v>9303232</v>
      </c>
      <c r="J1" t="s">
        <v>60</v>
      </c>
    </row>
    <row r="2" spans="1:17" ht="18" x14ac:dyDescent="0.35">
      <c r="A2" s="67">
        <v>43011</v>
      </c>
      <c r="B2" s="68" t="s">
        <v>278</v>
      </c>
      <c r="C2" s="252">
        <v>0</v>
      </c>
      <c r="D2" s="69">
        <v>0</v>
      </c>
      <c r="E2" s="69">
        <v>606273</v>
      </c>
      <c r="F2" s="253">
        <v>9303232</v>
      </c>
      <c r="G2" s="216" t="s">
        <v>197</v>
      </c>
      <c r="J2" s="2" t="s">
        <v>5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</row>
    <row r="3" spans="1:17" ht="18" x14ac:dyDescent="0.35">
      <c r="A3" s="67">
        <v>43011</v>
      </c>
      <c r="B3" s="68" t="s">
        <v>281</v>
      </c>
      <c r="C3" s="252">
        <v>30341102</v>
      </c>
      <c r="D3" s="69">
        <v>5000000</v>
      </c>
      <c r="E3" s="69">
        <v>0</v>
      </c>
      <c r="F3" s="253">
        <v>4303232</v>
      </c>
      <c r="G3" s="216" t="s">
        <v>196</v>
      </c>
      <c r="J3" s="152"/>
      <c r="K3" s="150"/>
      <c r="L3" s="150"/>
      <c r="M3" s="150"/>
      <c r="N3" s="150"/>
      <c r="O3" s="150"/>
      <c r="P3" s="151"/>
    </row>
    <row r="4" spans="1:17" ht="18" x14ac:dyDescent="0.35">
      <c r="A4" s="67">
        <v>43012</v>
      </c>
      <c r="B4" s="68" t="s">
        <v>278</v>
      </c>
      <c r="C4" s="252">
        <v>0</v>
      </c>
      <c r="D4" s="69">
        <v>0</v>
      </c>
      <c r="E4" s="69">
        <v>288875</v>
      </c>
      <c r="F4" s="253">
        <v>4592107</v>
      </c>
      <c r="G4" s="216" t="s">
        <v>197</v>
      </c>
      <c r="J4" s="152"/>
      <c r="K4" s="150"/>
      <c r="L4" s="150"/>
      <c r="M4" s="150"/>
      <c r="N4" s="150"/>
      <c r="O4" s="150"/>
      <c r="P4" s="151"/>
    </row>
    <row r="5" spans="1:17" ht="18" x14ac:dyDescent="0.35">
      <c r="A5" s="67">
        <v>43014</v>
      </c>
      <c r="B5" s="68" t="s">
        <v>279</v>
      </c>
      <c r="C5" s="252">
        <v>0</v>
      </c>
      <c r="D5" s="69">
        <v>3024</v>
      </c>
      <c r="E5" s="69">
        <v>0</v>
      </c>
      <c r="F5" s="253">
        <v>4589083</v>
      </c>
      <c r="G5" s="216" t="s">
        <v>252</v>
      </c>
      <c r="J5" s="152"/>
      <c r="K5" s="150"/>
      <c r="L5" s="150"/>
      <c r="M5" s="150"/>
      <c r="N5" s="150"/>
      <c r="O5" s="150"/>
      <c r="P5" s="151"/>
    </row>
    <row r="6" spans="1:17" ht="18" x14ac:dyDescent="0.35">
      <c r="A6" s="67">
        <v>43014</v>
      </c>
      <c r="B6" s="68" t="s">
        <v>280</v>
      </c>
      <c r="C6" s="252">
        <v>0</v>
      </c>
      <c r="D6" s="69">
        <v>575</v>
      </c>
      <c r="E6" s="69">
        <v>0</v>
      </c>
      <c r="F6" s="253">
        <v>4588508</v>
      </c>
      <c r="G6" s="216" t="s">
        <v>252</v>
      </c>
      <c r="J6" s="152"/>
      <c r="K6" s="150"/>
      <c r="L6" s="150"/>
      <c r="M6" s="150"/>
      <c r="N6" s="150"/>
      <c r="O6" s="150"/>
      <c r="P6" s="151"/>
    </row>
    <row r="7" spans="1:17" ht="18" x14ac:dyDescent="0.35">
      <c r="A7" s="67">
        <v>43018</v>
      </c>
      <c r="B7" s="68" t="s">
        <v>1282</v>
      </c>
      <c r="C7" s="252">
        <v>0</v>
      </c>
      <c r="D7" s="69">
        <v>906768</v>
      </c>
      <c r="E7" s="69">
        <v>0</v>
      </c>
      <c r="F7" s="253">
        <v>3681740</v>
      </c>
      <c r="G7" s="216" t="s">
        <v>22</v>
      </c>
      <c r="J7" s="152"/>
      <c r="K7" s="150"/>
      <c r="L7" s="150"/>
      <c r="M7" s="150"/>
      <c r="N7" s="150"/>
      <c r="O7" s="150"/>
      <c r="P7" s="151"/>
      <c r="Q7" s="155"/>
    </row>
    <row r="8" spans="1:17" ht="18" x14ac:dyDescent="0.35">
      <c r="A8" s="67">
        <v>43020</v>
      </c>
      <c r="B8" s="68" t="s">
        <v>278</v>
      </c>
      <c r="C8" s="252">
        <v>0</v>
      </c>
      <c r="D8" s="69">
        <v>0</v>
      </c>
      <c r="E8" s="69">
        <v>1392544</v>
      </c>
      <c r="F8" s="253">
        <v>5074284</v>
      </c>
      <c r="G8" s="216" t="s">
        <v>197</v>
      </c>
      <c r="J8" s="152"/>
      <c r="K8" s="150"/>
      <c r="L8" s="150"/>
      <c r="M8" s="150"/>
      <c r="N8" s="150"/>
      <c r="O8" s="150"/>
      <c r="P8" s="151"/>
    </row>
    <row r="9" spans="1:17" ht="18" x14ac:dyDescent="0.35">
      <c r="A9" s="67">
        <v>43020</v>
      </c>
      <c r="B9" s="68" t="s">
        <v>225</v>
      </c>
      <c r="C9" s="252">
        <v>31205916</v>
      </c>
      <c r="D9" s="69">
        <v>1663829</v>
      </c>
      <c r="E9" s="69">
        <v>0</v>
      </c>
      <c r="F9" s="253">
        <v>3410455</v>
      </c>
      <c r="G9" s="216" t="s">
        <v>50</v>
      </c>
      <c r="J9" s="152"/>
      <c r="K9" s="150"/>
      <c r="L9" s="150"/>
      <c r="M9" s="150"/>
      <c r="N9" s="150"/>
      <c r="O9" s="150"/>
      <c r="P9" s="151"/>
      <c r="Q9" s="155"/>
    </row>
    <row r="10" spans="1:17" ht="18" x14ac:dyDescent="0.35">
      <c r="A10" s="67">
        <v>43020</v>
      </c>
      <c r="B10" s="68" t="s">
        <v>1283</v>
      </c>
      <c r="C10" s="252">
        <v>31306604</v>
      </c>
      <c r="D10" s="69">
        <v>0</v>
      </c>
      <c r="E10" s="69">
        <v>9578800</v>
      </c>
      <c r="F10" s="253">
        <v>12989255</v>
      </c>
      <c r="G10" s="216" t="s">
        <v>197</v>
      </c>
      <c r="J10" s="152"/>
      <c r="K10" s="150"/>
      <c r="L10" s="150"/>
      <c r="M10" s="150"/>
      <c r="N10" s="150"/>
      <c r="O10" s="150"/>
      <c r="P10" s="151"/>
    </row>
    <row r="11" spans="1:17" ht="18" x14ac:dyDescent="0.35">
      <c r="A11" s="67">
        <v>43021</v>
      </c>
      <c r="B11" s="68" t="s">
        <v>355</v>
      </c>
      <c r="C11" s="252">
        <v>31320600</v>
      </c>
      <c r="D11" s="69">
        <v>2318196</v>
      </c>
      <c r="E11" s="69">
        <v>0</v>
      </c>
      <c r="F11" s="253">
        <v>10671059</v>
      </c>
      <c r="G11" s="216" t="s">
        <v>43</v>
      </c>
      <c r="J11" s="152"/>
      <c r="K11" s="150"/>
      <c r="L11" s="150"/>
      <c r="M11" s="150"/>
      <c r="N11" s="150"/>
      <c r="O11" s="150"/>
      <c r="P11" s="151"/>
    </row>
    <row r="12" spans="1:17" ht="18" x14ac:dyDescent="0.35">
      <c r="A12" s="67">
        <v>43021</v>
      </c>
      <c r="B12" s="68" t="s">
        <v>355</v>
      </c>
      <c r="C12" s="252">
        <v>31320678</v>
      </c>
      <c r="D12" s="69">
        <v>243612</v>
      </c>
      <c r="E12" s="69">
        <v>0</v>
      </c>
      <c r="F12" s="253">
        <v>10427447</v>
      </c>
      <c r="G12" s="216" t="s">
        <v>43</v>
      </c>
      <c r="H12" s="234"/>
      <c r="J12" s="152"/>
      <c r="K12" s="150"/>
      <c r="L12" s="150"/>
      <c r="M12" s="150"/>
      <c r="N12" s="150"/>
      <c r="O12" s="150"/>
      <c r="P12" s="151"/>
    </row>
    <row r="13" spans="1:17" ht="18" x14ac:dyDescent="0.35">
      <c r="A13" s="67">
        <v>43021</v>
      </c>
      <c r="B13" s="68" t="s">
        <v>1284</v>
      </c>
      <c r="C13" s="252">
        <v>31321224</v>
      </c>
      <c r="D13" s="69">
        <v>66433</v>
      </c>
      <c r="E13" s="69">
        <v>0</v>
      </c>
      <c r="F13" s="253">
        <v>10361014</v>
      </c>
      <c r="G13" s="216" t="s">
        <v>254</v>
      </c>
      <c r="H13" s="234"/>
      <c r="J13" s="152"/>
      <c r="K13" s="150"/>
      <c r="L13" s="150"/>
      <c r="M13" s="150"/>
      <c r="N13" s="150"/>
      <c r="O13" s="150"/>
      <c r="P13" s="151"/>
    </row>
    <row r="14" spans="1:17" ht="18" x14ac:dyDescent="0.35">
      <c r="A14" s="67">
        <v>43024</v>
      </c>
      <c r="B14" s="68" t="s">
        <v>278</v>
      </c>
      <c r="C14" s="252">
        <v>0</v>
      </c>
      <c r="D14" s="69">
        <v>0</v>
      </c>
      <c r="E14" s="69">
        <v>411994</v>
      </c>
      <c r="F14" s="253">
        <v>10773008</v>
      </c>
      <c r="G14" s="216" t="s">
        <v>197</v>
      </c>
      <c r="H14" s="164"/>
      <c r="J14" s="152"/>
      <c r="K14" s="150"/>
      <c r="L14" s="150"/>
      <c r="M14" s="150"/>
      <c r="N14" s="150"/>
      <c r="O14" s="150"/>
      <c r="P14" s="151"/>
    </row>
    <row r="15" spans="1:17" ht="18" x14ac:dyDescent="0.35">
      <c r="A15" s="67">
        <v>43024</v>
      </c>
      <c r="B15" s="68" t="s">
        <v>281</v>
      </c>
      <c r="C15" s="252">
        <v>31549542</v>
      </c>
      <c r="D15" s="69">
        <v>5000000</v>
      </c>
      <c r="E15" s="69">
        <v>0</v>
      </c>
      <c r="F15" s="253">
        <v>5773008</v>
      </c>
      <c r="G15" s="216" t="s">
        <v>196</v>
      </c>
      <c r="H15" s="187"/>
      <c r="J15" s="152"/>
      <c r="K15" s="150"/>
      <c r="L15" s="150"/>
      <c r="M15" s="150"/>
      <c r="N15" s="150"/>
      <c r="O15" s="150"/>
      <c r="P15" s="151"/>
    </row>
    <row r="16" spans="1:17" ht="18" x14ac:dyDescent="0.35">
      <c r="A16" s="67">
        <v>43025</v>
      </c>
      <c r="B16" s="68" t="s">
        <v>278</v>
      </c>
      <c r="C16" s="252">
        <v>0</v>
      </c>
      <c r="D16" s="69">
        <v>0</v>
      </c>
      <c r="E16" s="69">
        <v>127580</v>
      </c>
      <c r="F16" s="253">
        <v>5900588</v>
      </c>
      <c r="G16" s="216" t="s">
        <v>197</v>
      </c>
      <c r="I16" s="234"/>
      <c r="J16" s="152"/>
      <c r="K16" s="150"/>
      <c r="L16" s="150"/>
      <c r="M16" s="150"/>
      <c r="N16" s="150"/>
      <c r="O16" s="150"/>
      <c r="P16" s="151"/>
    </row>
    <row r="17" spans="1:16" ht="18" x14ac:dyDescent="0.35">
      <c r="A17" s="67">
        <v>43026</v>
      </c>
      <c r="B17" s="68" t="s">
        <v>278</v>
      </c>
      <c r="C17" s="252">
        <v>0</v>
      </c>
      <c r="D17" s="69">
        <v>0</v>
      </c>
      <c r="E17" s="69">
        <v>995576</v>
      </c>
      <c r="F17" s="253">
        <v>6896164</v>
      </c>
      <c r="G17" s="216" t="s">
        <v>197</v>
      </c>
      <c r="H17" s="234"/>
      <c r="J17" s="152"/>
      <c r="K17" s="150"/>
      <c r="L17" s="150"/>
      <c r="M17" s="150"/>
      <c r="N17" s="150"/>
      <c r="O17" s="150"/>
      <c r="P17" s="151"/>
    </row>
    <row r="18" spans="1:16" ht="18" x14ac:dyDescent="0.35">
      <c r="A18" s="67">
        <v>43032</v>
      </c>
      <c r="B18" s="68" t="s">
        <v>278</v>
      </c>
      <c r="C18" s="252">
        <v>0</v>
      </c>
      <c r="D18" s="69">
        <v>0</v>
      </c>
      <c r="E18" s="69">
        <v>1231304</v>
      </c>
      <c r="F18" s="253">
        <v>8127468</v>
      </c>
      <c r="G18" s="216" t="s">
        <v>197</v>
      </c>
      <c r="H18" s="187"/>
      <c r="J18" s="152"/>
      <c r="K18" s="150"/>
      <c r="L18" s="150"/>
      <c r="M18" s="150"/>
      <c r="N18" s="150"/>
      <c r="O18" s="150"/>
      <c r="P18" s="151"/>
    </row>
    <row r="19" spans="1:16" ht="18" x14ac:dyDescent="0.35">
      <c r="A19" s="67">
        <v>43033</v>
      </c>
      <c r="B19" s="68" t="s">
        <v>278</v>
      </c>
      <c r="C19" s="252">
        <v>0</v>
      </c>
      <c r="D19" s="69">
        <v>0</v>
      </c>
      <c r="E19" s="69">
        <v>14155</v>
      </c>
      <c r="F19" s="253">
        <v>8141623</v>
      </c>
      <c r="G19" s="216" t="s">
        <v>197</v>
      </c>
      <c r="H19" s="234"/>
      <c r="J19" s="152"/>
      <c r="K19" s="150"/>
      <c r="L19" s="150"/>
      <c r="M19" s="150"/>
      <c r="N19" s="150"/>
      <c r="O19" s="150"/>
      <c r="P19" s="151"/>
    </row>
    <row r="20" spans="1:16" ht="18" x14ac:dyDescent="0.35">
      <c r="A20" s="67">
        <v>43038</v>
      </c>
      <c r="B20" s="68" t="s">
        <v>281</v>
      </c>
      <c r="C20" s="252">
        <v>32383908</v>
      </c>
      <c r="D20" s="69">
        <v>5000000</v>
      </c>
      <c r="E20" s="69">
        <v>0</v>
      </c>
      <c r="F20" s="253">
        <v>3141623</v>
      </c>
      <c r="G20" s="216" t="s">
        <v>196</v>
      </c>
      <c r="H20" s="234"/>
      <c r="J20" s="152"/>
      <c r="K20" s="150"/>
      <c r="L20" s="150"/>
      <c r="M20" s="150"/>
      <c r="N20" s="150"/>
      <c r="O20" s="150"/>
      <c r="P20" s="151"/>
    </row>
    <row r="21" spans="1:16" ht="18" x14ac:dyDescent="0.35">
      <c r="A21" s="67">
        <v>43038</v>
      </c>
      <c r="B21" s="68" t="s">
        <v>1285</v>
      </c>
      <c r="C21" s="252">
        <v>32431376</v>
      </c>
      <c r="D21" s="69">
        <v>0</v>
      </c>
      <c r="E21" s="69">
        <v>12470624</v>
      </c>
      <c r="F21" s="253">
        <v>15612247</v>
      </c>
      <c r="G21" s="216" t="s">
        <v>197</v>
      </c>
      <c r="J21" s="152"/>
      <c r="K21" s="150"/>
      <c r="L21" s="150"/>
      <c r="M21" s="150"/>
      <c r="N21" s="150"/>
      <c r="O21" s="150"/>
      <c r="P21" s="151"/>
    </row>
    <row r="22" spans="1:16" ht="18" x14ac:dyDescent="0.35">
      <c r="A22" s="67">
        <v>43039</v>
      </c>
      <c r="B22" s="68" t="s">
        <v>281</v>
      </c>
      <c r="C22" s="252">
        <v>32449948</v>
      </c>
      <c r="D22" s="69">
        <v>5000000</v>
      </c>
      <c r="E22" s="69">
        <v>0</v>
      </c>
      <c r="F22" s="253">
        <v>10612247</v>
      </c>
      <c r="G22" s="216" t="s">
        <v>196</v>
      </c>
    </row>
    <row r="23" spans="1:16" ht="18" x14ac:dyDescent="0.35">
      <c r="A23" s="67">
        <v>43039</v>
      </c>
      <c r="B23" s="68" t="s">
        <v>278</v>
      </c>
      <c r="C23" s="252">
        <v>0</v>
      </c>
      <c r="D23" s="69">
        <v>0</v>
      </c>
      <c r="E23" s="69">
        <v>20346</v>
      </c>
      <c r="F23" s="253">
        <v>10632593</v>
      </c>
      <c r="G23" s="216" t="s">
        <v>197</v>
      </c>
      <c r="H23" s="187"/>
    </row>
    <row r="24" spans="1:16" ht="18" x14ac:dyDescent="0.35">
      <c r="A24" s="67"/>
      <c r="B24" s="68"/>
      <c r="C24" s="252"/>
      <c r="D24" s="69"/>
      <c r="E24" s="69"/>
      <c r="F24" s="253"/>
      <c r="G24" s="216"/>
      <c r="H24" s="234"/>
    </row>
    <row r="25" spans="1:16" ht="18" x14ac:dyDescent="0.35">
      <c r="A25" s="67"/>
      <c r="B25" s="68"/>
      <c r="C25" s="252"/>
      <c r="D25" s="69"/>
      <c r="E25" s="69"/>
      <c r="F25" s="253"/>
      <c r="G25" s="216"/>
      <c r="H25" s="234"/>
    </row>
    <row r="26" spans="1:16" ht="18" x14ac:dyDescent="0.35">
      <c r="A26" s="67"/>
      <c r="B26" s="68"/>
      <c r="C26" s="252"/>
      <c r="D26" s="69"/>
      <c r="E26" s="69"/>
      <c r="F26" s="253"/>
      <c r="G26" s="216"/>
      <c r="H26" s="234"/>
    </row>
    <row r="27" spans="1:16" ht="18" x14ac:dyDescent="0.35">
      <c r="A27" s="67"/>
      <c r="B27" s="68"/>
      <c r="C27" s="252"/>
      <c r="D27" s="69"/>
      <c r="E27" s="69"/>
      <c r="F27" s="253"/>
      <c r="G27" s="216"/>
      <c r="H27" s="234"/>
    </row>
    <row r="28" spans="1:16" ht="18" x14ac:dyDescent="0.35">
      <c r="A28" s="67"/>
      <c r="B28" s="68"/>
      <c r="C28" s="252"/>
      <c r="D28" s="69"/>
      <c r="E28" s="69"/>
      <c r="F28" s="253"/>
      <c r="G28" s="216"/>
      <c r="H28" s="234"/>
    </row>
    <row r="29" spans="1:16" s="187" customFormat="1" ht="18" x14ac:dyDescent="0.35">
      <c r="A29" s="67"/>
      <c r="B29" s="68"/>
      <c r="C29" s="68"/>
      <c r="D29" s="69"/>
      <c r="E29" s="69"/>
      <c r="F29" s="172"/>
      <c r="G29" s="216"/>
      <c r="H29" s="230"/>
    </row>
    <row r="30" spans="1:16" s="187" customFormat="1" ht="18" x14ac:dyDescent="0.35">
      <c r="A30" s="67"/>
      <c r="B30" s="68"/>
      <c r="C30" s="68"/>
      <c r="D30" s="69"/>
      <c r="E30" s="69"/>
      <c r="F30" s="172"/>
      <c r="G30" s="216"/>
    </row>
    <row r="31" spans="1:16" s="187" customFormat="1" ht="18" x14ac:dyDescent="0.35">
      <c r="A31" s="67"/>
      <c r="B31" s="68"/>
      <c r="C31" s="68"/>
      <c r="D31" s="69"/>
      <c r="E31" s="69"/>
      <c r="F31" s="172"/>
      <c r="G31" s="216"/>
    </row>
    <row r="32" spans="1:16" s="187" customFormat="1" ht="18" x14ac:dyDescent="0.35">
      <c r="A32" s="67"/>
      <c r="B32" s="68"/>
      <c r="C32" s="68"/>
      <c r="D32" s="69"/>
      <c r="E32" s="69"/>
      <c r="F32" s="172"/>
      <c r="G32" s="216"/>
    </row>
    <row r="33" spans="1:8" s="187" customFormat="1" ht="18" x14ac:dyDescent="0.35">
      <c r="A33" s="67"/>
      <c r="B33" s="68"/>
      <c r="C33" s="68"/>
      <c r="D33" s="69"/>
      <c r="E33" s="69"/>
      <c r="F33" s="172"/>
      <c r="G33" s="216"/>
    </row>
    <row r="34" spans="1:8" s="187" customFormat="1" ht="18" x14ac:dyDescent="0.35">
      <c r="A34" s="67"/>
      <c r="B34" s="68"/>
      <c r="C34" s="68"/>
      <c r="D34" s="69"/>
      <c r="E34" s="69"/>
      <c r="F34" s="172"/>
      <c r="G34" s="216"/>
    </row>
    <row r="35" spans="1:8" s="187" customFormat="1" ht="18" x14ac:dyDescent="0.35">
      <c r="A35" s="67"/>
      <c r="B35" s="68"/>
      <c r="C35" s="68"/>
      <c r="D35" s="69"/>
      <c r="E35" s="69"/>
      <c r="F35" s="172"/>
      <c r="G35" s="216"/>
    </row>
    <row r="36" spans="1:8" s="187" customFormat="1" ht="18" x14ac:dyDescent="0.35">
      <c r="A36" s="67"/>
      <c r="B36" s="68"/>
      <c r="C36" s="68"/>
      <c r="D36" s="69"/>
      <c r="E36" s="69"/>
      <c r="F36" s="172"/>
      <c r="G36" s="216"/>
    </row>
    <row r="37" spans="1:8" s="187" customFormat="1" ht="18" x14ac:dyDescent="0.35">
      <c r="A37" s="67"/>
      <c r="B37" s="68"/>
      <c r="C37" s="68"/>
      <c r="D37" s="69"/>
      <c r="E37" s="69"/>
      <c r="F37" s="172"/>
      <c r="G37" s="216"/>
    </row>
    <row r="38" spans="1:8" s="187" customFormat="1" x14ac:dyDescent="0.3">
      <c r="A38" s="67"/>
      <c r="B38" s="68"/>
      <c r="C38" s="68"/>
      <c r="D38" s="69"/>
      <c r="E38" s="69"/>
      <c r="F38" s="172"/>
      <c r="G38" s="177"/>
    </row>
    <row r="39" spans="1:8" s="187" customFormat="1" x14ac:dyDescent="0.3">
      <c r="A39" s="67"/>
      <c r="B39" s="68"/>
      <c r="C39" s="68"/>
      <c r="D39" s="69"/>
      <c r="E39" s="69"/>
      <c r="F39" s="172"/>
      <c r="G39" s="177"/>
    </row>
    <row r="40" spans="1:8" s="187" customFormat="1" x14ac:dyDescent="0.3">
      <c r="A40" s="67"/>
      <c r="B40" s="68"/>
      <c r="C40" s="68"/>
      <c r="D40" s="69"/>
      <c r="E40" s="69"/>
      <c r="F40" s="172"/>
      <c r="G40" s="177"/>
    </row>
    <row r="41" spans="1:8" s="187" customFormat="1" x14ac:dyDescent="0.3">
      <c r="A41" s="67"/>
      <c r="B41" s="68"/>
      <c r="C41" s="68"/>
      <c r="D41" s="69"/>
      <c r="E41" s="69"/>
      <c r="F41" s="172"/>
      <c r="G41" s="177"/>
    </row>
    <row r="42" spans="1:8" s="187" customFormat="1" x14ac:dyDescent="0.3">
      <c r="A42" s="67"/>
      <c r="B42" s="68"/>
      <c r="C42" s="68"/>
      <c r="D42" s="69"/>
      <c r="E42" s="69"/>
      <c r="F42" s="172"/>
      <c r="G42" s="177"/>
    </row>
    <row r="43" spans="1:8" x14ac:dyDescent="0.3">
      <c r="A43" s="67"/>
      <c r="B43" s="68"/>
      <c r="C43" s="68"/>
      <c r="D43" s="69"/>
      <c r="E43" s="69"/>
      <c r="F43" s="64"/>
      <c r="G43" s="175"/>
    </row>
    <row r="44" spans="1:8" x14ac:dyDescent="0.3">
      <c r="A44" s="67"/>
      <c r="B44" s="68"/>
      <c r="C44" s="68"/>
      <c r="D44" s="69"/>
      <c r="E44" s="69"/>
      <c r="F44" s="172"/>
      <c r="G44" s="177"/>
      <c r="H44" s="141"/>
    </row>
    <row r="45" spans="1:8" s="141" customFormat="1" x14ac:dyDescent="0.3">
      <c r="A45" s="67"/>
      <c r="B45" s="68"/>
      <c r="C45" s="68"/>
      <c r="D45" s="69"/>
      <c r="E45" s="69"/>
      <c r="F45" s="64"/>
      <c r="G45" s="177"/>
      <c r="H45" s="187"/>
    </row>
    <row r="46" spans="1:8" s="141" customFormat="1" x14ac:dyDescent="0.3">
      <c r="A46" s="67"/>
      <c r="B46" s="68"/>
      <c r="C46" s="68"/>
      <c r="D46" s="69"/>
      <c r="E46" s="69"/>
      <c r="F46" s="172"/>
      <c r="G46" s="177"/>
    </row>
    <row r="47" spans="1:8" s="141" customFormat="1" x14ac:dyDescent="0.3">
      <c r="A47" s="67"/>
      <c r="B47" s="68"/>
      <c r="C47" s="68"/>
      <c r="D47" s="69"/>
      <c r="E47" s="69"/>
      <c r="F47" s="64"/>
      <c r="G47" s="66"/>
    </row>
    <row r="48" spans="1:8" s="141" customFormat="1" x14ac:dyDescent="0.3">
      <c r="A48" s="67"/>
      <c r="B48" s="68"/>
      <c r="C48" s="68"/>
      <c r="D48" s="69"/>
      <c r="E48" s="69"/>
      <c r="F48" s="64"/>
      <c r="G48" s="66"/>
    </row>
    <row r="49" spans="1:7" s="141" customFormat="1" x14ac:dyDescent="0.3">
      <c r="A49" s="67"/>
      <c r="B49" s="68"/>
      <c r="C49" s="68"/>
      <c r="D49" s="69"/>
      <c r="E49" s="69"/>
      <c r="F49" s="64"/>
      <c r="G49" s="50"/>
    </row>
    <row r="50" spans="1:7" s="141" customFormat="1" x14ac:dyDescent="0.3">
      <c r="A50" s="67"/>
      <c r="B50" s="68"/>
      <c r="C50" s="68"/>
      <c r="D50" s="69"/>
      <c r="E50" s="69"/>
      <c r="F50" s="64"/>
      <c r="G50" s="50"/>
    </row>
    <row r="51" spans="1:7" x14ac:dyDescent="0.3">
      <c r="A51" s="67"/>
      <c r="B51" s="68"/>
      <c r="C51" s="68"/>
      <c r="D51" s="69"/>
      <c r="E51" s="69"/>
      <c r="F51" s="64"/>
      <c r="G51" s="66"/>
    </row>
    <row r="52" spans="1:7" ht="15" customHeight="1" x14ac:dyDescent="0.3">
      <c r="A52" s="70" t="s">
        <v>102</v>
      </c>
      <c r="B52" s="71" t="s">
        <v>103</v>
      </c>
      <c r="C52" s="71" t="s">
        <v>104</v>
      </c>
      <c r="D52" s="72" t="s">
        <v>105</v>
      </c>
      <c r="E52" s="71" t="s">
        <v>106</v>
      </c>
      <c r="F52" s="71" t="s">
        <v>127</v>
      </c>
      <c r="G52" s="73" t="s">
        <v>59</v>
      </c>
    </row>
    <row r="53" spans="1:7" ht="15" customHeight="1" x14ac:dyDescent="0.35">
      <c r="A53" s="67">
        <v>43011</v>
      </c>
      <c r="B53" s="68" t="s">
        <v>1286</v>
      </c>
      <c r="C53" s="68">
        <v>30402022</v>
      </c>
      <c r="D53" s="69">
        <v>0</v>
      </c>
      <c r="E53" s="69">
        <v>8486.15</v>
      </c>
      <c r="F53" s="172">
        <v>8549.24</v>
      </c>
      <c r="G53" s="216" t="s">
        <v>197</v>
      </c>
    </row>
    <row r="54" spans="1:7" ht="15" customHeight="1" x14ac:dyDescent="0.35">
      <c r="A54" s="67">
        <v>43019</v>
      </c>
      <c r="B54" s="68" t="s">
        <v>1287</v>
      </c>
      <c r="C54" s="68">
        <v>31173642</v>
      </c>
      <c r="D54" s="69">
        <v>0</v>
      </c>
      <c r="E54" s="69">
        <v>6875.87</v>
      </c>
      <c r="F54" s="172">
        <v>15425.11</v>
      </c>
      <c r="G54" s="216" t="s">
        <v>197</v>
      </c>
    </row>
    <row r="55" spans="1:7" ht="15" customHeight="1" x14ac:dyDescent="0.35">
      <c r="A55" s="67">
        <v>43020</v>
      </c>
      <c r="B55" s="68" t="s">
        <v>1288</v>
      </c>
      <c r="C55" s="68">
        <v>31306440</v>
      </c>
      <c r="D55" s="69">
        <v>15400</v>
      </c>
      <c r="E55" s="69">
        <v>0</v>
      </c>
      <c r="F55" s="172">
        <v>25.11</v>
      </c>
      <c r="G55" s="216" t="s">
        <v>196</v>
      </c>
    </row>
    <row r="56" spans="1:7" ht="15" customHeight="1" x14ac:dyDescent="0.35">
      <c r="A56" s="67">
        <v>43024</v>
      </c>
      <c r="B56" s="68" t="s">
        <v>1289</v>
      </c>
      <c r="C56" s="68">
        <v>31582391</v>
      </c>
      <c r="D56" s="69">
        <v>0</v>
      </c>
      <c r="E56" s="69">
        <v>11335.71</v>
      </c>
      <c r="F56" s="172">
        <v>11360.82</v>
      </c>
      <c r="G56" s="216" t="s">
        <v>197</v>
      </c>
    </row>
    <row r="57" spans="1:7" ht="15" customHeight="1" x14ac:dyDescent="0.35">
      <c r="A57" s="67">
        <v>43031</v>
      </c>
      <c r="B57" s="68" t="s">
        <v>1290</v>
      </c>
      <c r="C57" s="68">
        <v>31933122</v>
      </c>
      <c r="D57" s="69">
        <v>0</v>
      </c>
      <c r="E57" s="69">
        <v>8372.14</v>
      </c>
      <c r="F57" s="172">
        <v>19732.96</v>
      </c>
      <c r="G57" s="216" t="s">
        <v>197</v>
      </c>
    </row>
    <row r="58" spans="1:7" ht="15" customHeight="1" x14ac:dyDescent="0.35">
      <c r="A58" s="67">
        <v>43038</v>
      </c>
      <c r="B58" s="68" t="s">
        <v>1291</v>
      </c>
      <c r="C58" s="68">
        <v>32431362</v>
      </c>
      <c r="D58" s="69">
        <v>19732</v>
      </c>
      <c r="E58" s="69">
        <v>0</v>
      </c>
      <c r="F58" s="172">
        <v>0.96</v>
      </c>
      <c r="G58" s="216" t="s">
        <v>196</v>
      </c>
    </row>
    <row r="59" spans="1:7" ht="15" customHeight="1" x14ac:dyDescent="0.35">
      <c r="A59" s="67"/>
      <c r="B59" s="68"/>
      <c r="C59" s="68"/>
      <c r="D59" s="69"/>
      <c r="E59" s="69"/>
      <c r="F59" s="172"/>
      <c r="G59" s="216"/>
    </row>
    <row r="60" spans="1:7" ht="15" customHeight="1" x14ac:dyDescent="0.3">
      <c r="A60" s="67"/>
      <c r="B60" s="68"/>
      <c r="C60" s="68"/>
      <c r="D60" s="69"/>
      <c r="E60" s="69"/>
      <c r="F60" s="64"/>
      <c r="G60" s="67"/>
    </row>
    <row r="61" spans="1:7" ht="15" customHeight="1" x14ac:dyDescent="0.3">
      <c r="A61" s="100"/>
      <c r="B61" s="101"/>
      <c r="C61" s="101"/>
      <c r="D61" s="102"/>
      <c r="E61" s="102"/>
      <c r="F61" s="102"/>
      <c r="G61" s="51"/>
    </row>
    <row r="64" spans="1:7" x14ac:dyDescent="0.3">
      <c r="D64" s="1">
        <f>SUBTOTAL(9,D2:D61)</f>
        <v>25237569</v>
      </c>
      <c r="E64" s="1">
        <f>SUBTOTAL(9,E2:E61)</f>
        <v>27173140.870000001</v>
      </c>
    </row>
    <row r="66" spans="1:10" x14ac:dyDescent="0.3">
      <c r="F66" s="63"/>
      <c r="G66" s="63" t="s">
        <v>4</v>
      </c>
    </row>
    <row r="67" spans="1:10" ht="18" x14ac:dyDescent="0.35">
      <c r="A67" s="70" t="s">
        <v>102</v>
      </c>
      <c r="B67" s="71" t="s">
        <v>103</v>
      </c>
      <c r="C67" s="71" t="s">
        <v>104</v>
      </c>
      <c r="D67" s="72" t="s">
        <v>105</v>
      </c>
      <c r="F67" s="64">
        <f>SUMIF($G$2:$G$61,G67,$D$2:$D$61)-SUMIF($G$2:$G$61,G67,$E$2:$E$61)</f>
        <v>3599</v>
      </c>
      <c r="G67" s="216" t="s">
        <v>252</v>
      </c>
    </row>
    <row r="68" spans="1:10" ht="18" x14ac:dyDescent="0.35">
      <c r="A68" s="67"/>
      <c r="B68" s="68"/>
      <c r="C68" s="68"/>
      <c r="D68" s="69"/>
      <c r="F68" s="64">
        <f t="shared" ref="F68:F83" si="0">SUMIF($G$2:$G$61,G68,$D$2:$D$61)-SUMIF($G$2:$G$61,G68,$E$2:$E$61)</f>
        <v>0</v>
      </c>
      <c r="G68" s="216" t="s">
        <v>51</v>
      </c>
    </row>
    <row r="69" spans="1:10" ht="18" x14ac:dyDescent="0.35">
      <c r="A69" s="67"/>
      <c r="B69" s="68"/>
      <c r="C69" s="68"/>
      <c r="D69" s="69"/>
      <c r="F69" s="64">
        <f t="shared" si="0"/>
        <v>0</v>
      </c>
      <c r="G69" s="216" t="s">
        <v>156</v>
      </c>
    </row>
    <row r="70" spans="1:10" ht="18" x14ac:dyDescent="0.35">
      <c r="A70" s="67"/>
      <c r="B70" s="68"/>
      <c r="C70" s="68"/>
      <c r="D70" s="69"/>
      <c r="F70" s="64">
        <f t="shared" si="0"/>
        <v>0</v>
      </c>
      <c r="G70" s="217" t="s">
        <v>251</v>
      </c>
    </row>
    <row r="71" spans="1:10" ht="18" x14ac:dyDescent="0.35">
      <c r="F71" s="64">
        <f t="shared" si="0"/>
        <v>0</v>
      </c>
      <c r="G71" s="217" t="s">
        <v>9</v>
      </c>
    </row>
    <row r="72" spans="1:10" ht="18" x14ac:dyDescent="0.35">
      <c r="F72" s="64">
        <f t="shared" si="0"/>
        <v>0</v>
      </c>
      <c r="G72" s="218" t="s">
        <v>253</v>
      </c>
      <c r="H72" s="107"/>
    </row>
    <row r="73" spans="1:10" ht="18" x14ac:dyDescent="0.35">
      <c r="F73" s="64">
        <f t="shared" si="0"/>
        <v>0</v>
      </c>
      <c r="G73" s="216" t="s">
        <v>255</v>
      </c>
    </row>
    <row r="74" spans="1:10" ht="18" x14ac:dyDescent="0.35">
      <c r="F74" s="64">
        <f t="shared" si="0"/>
        <v>66433</v>
      </c>
      <c r="G74" s="216" t="s">
        <v>254</v>
      </c>
    </row>
    <row r="75" spans="1:10" ht="18" x14ac:dyDescent="0.35">
      <c r="F75" s="64">
        <f t="shared" si="0"/>
        <v>2561808</v>
      </c>
      <c r="G75" s="218" t="s">
        <v>43</v>
      </c>
    </row>
    <row r="76" spans="1:10" ht="18" x14ac:dyDescent="0.35">
      <c r="F76" s="64">
        <f t="shared" si="0"/>
        <v>0</v>
      </c>
      <c r="G76" s="216" t="s">
        <v>12</v>
      </c>
      <c r="H76" s="108"/>
      <c r="I76" s="141"/>
      <c r="J76" s="141"/>
    </row>
    <row r="77" spans="1:10" ht="18" x14ac:dyDescent="0.35">
      <c r="F77" s="64">
        <f t="shared" si="0"/>
        <v>906768</v>
      </c>
      <c r="G77" s="216" t="s">
        <v>22</v>
      </c>
      <c r="I77" s="141"/>
      <c r="J77" s="141"/>
    </row>
    <row r="78" spans="1:10" ht="18" x14ac:dyDescent="0.35">
      <c r="F78" s="64">
        <f t="shared" si="0"/>
        <v>0</v>
      </c>
      <c r="G78" s="217" t="s">
        <v>256</v>
      </c>
      <c r="I78" s="141"/>
    </row>
    <row r="79" spans="1:10" ht="18" x14ac:dyDescent="0.35">
      <c r="F79" s="64">
        <f t="shared" si="0"/>
        <v>1663829</v>
      </c>
      <c r="G79" s="216" t="s">
        <v>50</v>
      </c>
      <c r="I79" s="141"/>
      <c r="J79" s="141"/>
    </row>
    <row r="80" spans="1:10" ht="18" x14ac:dyDescent="0.35">
      <c r="F80" s="64">
        <f t="shared" si="0"/>
        <v>20035132</v>
      </c>
      <c r="G80" s="217" t="s">
        <v>196</v>
      </c>
      <c r="I80" s="141"/>
      <c r="J80" s="141"/>
    </row>
    <row r="81" spans="4:10" ht="18" x14ac:dyDescent="0.35">
      <c r="F81" s="64">
        <f t="shared" si="0"/>
        <v>-27173140.870000001</v>
      </c>
      <c r="G81" s="216" t="s">
        <v>197</v>
      </c>
      <c r="I81" s="141"/>
      <c r="J81" s="141"/>
    </row>
    <row r="82" spans="4:10" ht="18" x14ac:dyDescent="0.35">
      <c r="F82" s="64">
        <f t="shared" si="0"/>
        <v>0</v>
      </c>
      <c r="G82" s="216" t="s">
        <v>257</v>
      </c>
      <c r="I82" s="141"/>
      <c r="J82" s="141"/>
    </row>
    <row r="83" spans="4:10" ht="18" x14ac:dyDescent="0.35">
      <c r="F83" s="64">
        <f t="shared" si="0"/>
        <v>0</v>
      </c>
      <c r="G83" s="216" t="s">
        <v>258</v>
      </c>
      <c r="I83" s="141"/>
      <c r="J83" s="141"/>
    </row>
    <row r="84" spans="4:10" s="234" customFormat="1" ht="18" x14ac:dyDescent="0.35">
      <c r="D84" s="1"/>
      <c r="F84" s="64">
        <f>SUMIF($G$2:$G$61,G84,$D$2:$D$61)-SUMIF($G$2:$G$61,G84,$E$2:$E$61)</f>
        <v>0</v>
      </c>
      <c r="G84" s="216" t="s">
        <v>326</v>
      </c>
    </row>
    <row r="85" spans="4:10" x14ac:dyDescent="0.3">
      <c r="F85" s="65"/>
      <c r="G85" s="6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zoomScale="55" zoomScaleNormal="55" workbookViewId="0">
      <selection activeCell="N128" sqref="N128"/>
    </sheetView>
  </sheetViews>
  <sheetFormatPr baseColWidth="10" defaultColWidth="11.33203125" defaultRowHeight="14.4" x14ac:dyDescent="0.3"/>
  <cols>
    <col min="1" max="1" width="13.109375" style="20" bestFit="1" customWidth="1"/>
    <col min="2" max="2" width="33.109375" style="24" customWidth="1"/>
    <col min="3" max="3" width="25" style="24" customWidth="1"/>
    <col min="4" max="4" width="27" style="24" customWidth="1"/>
    <col min="5" max="5" width="35.6640625" style="22" customWidth="1"/>
    <col min="6" max="6" width="29.6640625" style="22" customWidth="1"/>
    <col min="7" max="8" width="21.6640625" style="22" customWidth="1"/>
    <col min="9" max="9" width="28" style="22" customWidth="1"/>
    <col min="10" max="10" width="26.6640625" style="22" customWidth="1"/>
    <col min="11" max="11" width="25.33203125" style="22" customWidth="1"/>
    <col min="12" max="12" width="24.33203125" style="22" customWidth="1"/>
    <col min="13" max="14" width="17.33203125" style="22" customWidth="1"/>
    <col min="15" max="15" width="17.33203125" style="25" customWidth="1"/>
    <col min="16" max="16" width="17.33203125" style="22" customWidth="1"/>
    <col min="17" max="17" width="17.33203125" style="26" customWidth="1"/>
    <col min="18" max="22" width="17.33203125" style="14" customWidth="1"/>
    <col min="23" max="39" width="17.33203125" style="20" customWidth="1"/>
    <col min="40" max="40" width="17.6640625" style="20" customWidth="1"/>
    <col min="41" max="41" width="17.33203125" style="20" customWidth="1"/>
    <col min="42" max="48" width="17.6640625" style="20" customWidth="1"/>
    <col min="49" max="57" width="20.88671875" style="20" customWidth="1"/>
    <col min="58" max="16384" width="11.33203125" style="20"/>
  </cols>
  <sheetData>
    <row r="1" spans="1:53" x14ac:dyDescent="0.3">
      <c r="A1" s="48" t="s">
        <v>5</v>
      </c>
      <c r="B1" s="48" t="s">
        <v>45</v>
      </c>
      <c r="C1" s="48" t="s">
        <v>233</v>
      </c>
      <c r="D1" s="48" t="s">
        <v>234</v>
      </c>
      <c r="E1" s="48" t="s">
        <v>235</v>
      </c>
      <c r="F1" s="48" t="s">
        <v>236</v>
      </c>
      <c r="G1" s="93" t="s">
        <v>129</v>
      </c>
      <c r="H1" s="48" t="s">
        <v>237</v>
      </c>
      <c r="I1" s="48" t="s">
        <v>238</v>
      </c>
      <c r="J1" s="94"/>
      <c r="K1" s="20"/>
      <c r="L1" s="20"/>
      <c r="M1" s="20"/>
      <c r="N1" s="20"/>
      <c r="O1" s="20"/>
      <c r="P1" s="20"/>
      <c r="Q1" s="20"/>
      <c r="R1" s="20"/>
      <c r="S1" s="60"/>
      <c r="T1" s="20"/>
      <c r="U1" s="20"/>
      <c r="V1" s="20"/>
    </row>
    <row r="2" spans="1:53" x14ac:dyDescent="0.3">
      <c r="A2" s="235" t="s">
        <v>1239</v>
      </c>
      <c r="B2" s="199" t="s">
        <v>190</v>
      </c>
      <c r="C2" s="199" t="s">
        <v>191</v>
      </c>
      <c r="D2" s="199" t="s">
        <v>218</v>
      </c>
      <c r="E2" s="200">
        <v>12760</v>
      </c>
      <c r="F2" s="199">
        <v>0</v>
      </c>
      <c r="G2" s="249" t="s">
        <v>267</v>
      </c>
      <c r="H2" s="249">
        <v>66268921</v>
      </c>
      <c r="I2" s="249" t="s">
        <v>272</v>
      </c>
      <c r="J2" s="175"/>
      <c r="K2" s="193"/>
      <c r="L2" s="20"/>
      <c r="M2" s="20"/>
      <c r="N2" s="20"/>
      <c r="O2" s="20"/>
      <c r="P2" s="20"/>
      <c r="Q2" s="20"/>
      <c r="R2" s="20"/>
      <c r="S2" s="60"/>
      <c r="T2" s="20"/>
      <c r="U2" s="20"/>
      <c r="V2" s="20"/>
      <c r="AF2" s="143"/>
    </row>
    <row r="3" spans="1:53" x14ac:dyDescent="0.3">
      <c r="A3" s="235" t="s">
        <v>1239</v>
      </c>
      <c r="B3" s="199" t="s">
        <v>190</v>
      </c>
      <c r="C3" s="199" t="s">
        <v>191</v>
      </c>
      <c r="D3" s="200" t="s">
        <v>218</v>
      </c>
      <c r="E3" s="200">
        <v>31500</v>
      </c>
      <c r="F3" s="199">
        <v>0</v>
      </c>
      <c r="G3" s="249" t="s">
        <v>267</v>
      </c>
      <c r="H3" s="249">
        <v>66268920</v>
      </c>
      <c r="I3" s="249" t="s">
        <v>268</v>
      </c>
      <c r="J3" s="170"/>
      <c r="K3" s="193"/>
      <c r="L3" s="20"/>
      <c r="M3" s="95">
        <v>41791</v>
      </c>
      <c r="N3" s="95">
        <v>41821</v>
      </c>
      <c r="O3" s="95">
        <v>41852</v>
      </c>
      <c r="P3" s="95">
        <v>41883</v>
      </c>
      <c r="Q3" s="95">
        <v>41913</v>
      </c>
      <c r="R3" s="95">
        <v>41944</v>
      </c>
      <c r="S3" s="95">
        <v>41974</v>
      </c>
      <c r="T3" s="95">
        <v>42005</v>
      </c>
      <c r="U3" s="95">
        <v>42036</v>
      </c>
      <c r="V3" s="95">
        <v>42064</v>
      </c>
      <c r="W3" s="95">
        <v>42095</v>
      </c>
      <c r="X3" s="95"/>
      <c r="Y3" s="95">
        <v>42156</v>
      </c>
      <c r="Z3" s="95">
        <v>42186</v>
      </c>
      <c r="AA3" s="95">
        <v>42217</v>
      </c>
      <c r="AB3" s="95">
        <v>42248</v>
      </c>
      <c r="AC3" s="95">
        <v>42278</v>
      </c>
      <c r="AD3" s="95">
        <v>42309</v>
      </c>
      <c r="AE3" s="95">
        <v>42339</v>
      </c>
      <c r="AF3" s="95">
        <v>42370</v>
      </c>
      <c r="AG3" s="95">
        <v>42401</v>
      </c>
      <c r="AH3" s="95">
        <v>42430</v>
      </c>
      <c r="AI3" s="95">
        <v>42461</v>
      </c>
      <c r="AJ3" s="95">
        <v>42491</v>
      </c>
      <c r="AK3" s="95">
        <v>42522</v>
      </c>
      <c r="AL3" s="95">
        <v>42552</v>
      </c>
      <c r="AM3" s="95">
        <v>42583</v>
      </c>
      <c r="AN3" s="95">
        <v>42614</v>
      </c>
      <c r="AO3" s="95">
        <v>42644</v>
      </c>
      <c r="AP3" s="95">
        <v>42675</v>
      </c>
      <c r="AQ3" s="95">
        <v>42705</v>
      </c>
      <c r="AR3" s="95">
        <v>42736</v>
      </c>
      <c r="AS3" s="95">
        <v>42767</v>
      </c>
      <c r="AT3" s="95">
        <v>42795</v>
      </c>
      <c r="AU3" s="95">
        <v>42826</v>
      </c>
      <c r="AV3" s="95">
        <v>42856</v>
      </c>
      <c r="AW3" s="95">
        <v>42887</v>
      </c>
      <c r="AX3" s="95">
        <v>42917</v>
      </c>
      <c r="AY3" s="95">
        <v>42948</v>
      </c>
      <c r="AZ3" s="95">
        <v>42979</v>
      </c>
      <c r="BA3" s="95">
        <v>43009</v>
      </c>
    </row>
    <row r="4" spans="1:53" x14ac:dyDescent="0.3">
      <c r="A4" s="235" t="s">
        <v>1239</v>
      </c>
      <c r="B4" s="199" t="s">
        <v>190</v>
      </c>
      <c r="C4" s="199" t="s">
        <v>191</v>
      </c>
      <c r="D4" s="200" t="s">
        <v>218</v>
      </c>
      <c r="E4" s="200">
        <v>25570</v>
      </c>
      <c r="F4" s="199">
        <v>0</v>
      </c>
      <c r="G4" s="249" t="s">
        <v>267</v>
      </c>
      <c r="H4" s="249">
        <v>66255189</v>
      </c>
      <c r="I4" s="249" t="s">
        <v>270</v>
      </c>
      <c r="J4" s="170"/>
      <c r="K4" s="193"/>
      <c r="L4" s="57" t="s">
        <v>82</v>
      </c>
      <c r="M4" s="58" t="s">
        <v>83</v>
      </c>
      <c r="N4" s="58" t="s">
        <v>83</v>
      </c>
      <c r="O4" s="58" t="s">
        <v>83</v>
      </c>
      <c r="P4" s="58" t="s">
        <v>83</v>
      </c>
      <c r="Q4" s="58" t="s">
        <v>83</v>
      </c>
      <c r="R4" s="58" t="s">
        <v>83</v>
      </c>
      <c r="S4" s="58" t="s">
        <v>83</v>
      </c>
      <c r="T4" s="58" t="s">
        <v>83</v>
      </c>
      <c r="U4" s="58" t="s">
        <v>83</v>
      </c>
      <c r="V4" s="58" t="s">
        <v>83</v>
      </c>
      <c r="W4" s="58" t="s">
        <v>83</v>
      </c>
      <c r="X4" s="58"/>
      <c r="Y4" s="58" t="s">
        <v>83</v>
      </c>
      <c r="Z4" s="58" t="s">
        <v>83</v>
      </c>
      <c r="AA4" s="58" t="s">
        <v>83</v>
      </c>
      <c r="AB4" s="58" t="s">
        <v>83</v>
      </c>
      <c r="AC4" s="58" t="s">
        <v>83</v>
      </c>
      <c r="AD4" s="58" t="s">
        <v>83</v>
      </c>
      <c r="AE4" s="58" t="s">
        <v>83</v>
      </c>
      <c r="AF4" s="58" t="s">
        <v>83</v>
      </c>
      <c r="AG4" s="58" t="s">
        <v>83</v>
      </c>
      <c r="AH4" s="58" t="s">
        <v>83</v>
      </c>
      <c r="AI4" s="58" t="s">
        <v>83</v>
      </c>
      <c r="AJ4" s="58" t="s">
        <v>83</v>
      </c>
      <c r="AK4" s="58" t="s">
        <v>83</v>
      </c>
      <c r="AL4" s="58" t="s">
        <v>83</v>
      </c>
      <c r="AM4" s="58" t="s">
        <v>83</v>
      </c>
      <c r="AN4" s="58" t="s">
        <v>83</v>
      </c>
      <c r="AO4" s="58" t="s">
        <v>83</v>
      </c>
      <c r="AP4" s="58" t="s">
        <v>357</v>
      </c>
      <c r="AQ4" s="58" t="s">
        <v>357</v>
      </c>
      <c r="AR4" s="58" t="s">
        <v>357</v>
      </c>
      <c r="AS4" s="58" t="s">
        <v>357</v>
      </c>
      <c r="AT4" s="58" t="s">
        <v>357</v>
      </c>
      <c r="AU4" s="58" t="s">
        <v>83</v>
      </c>
      <c r="AV4" s="58" t="s">
        <v>83</v>
      </c>
      <c r="AW4" s="58"/>
      <c r="AX4" s="58" t="s">
        <v>83</v>
      </c>
      <c r="AY4" s="58" t="s">
        <v>83</v>
      </c>
      <c r="AZ4" s="58" t="s">
        <v>83</v>
      </c>
      <c r="BA4" s="58" t="s">
        <v>83</v>
      </c>
    </row>
    <row r="5" spans="1:53" x14ac:dyDescent="0.3">
      <c r="A5" s="235" t="s">
        <v>1239</v>
      </c>
      <c r="B5" s="199" t="s">
        <v>190</v>
      </c>
      <c r="C5" s="199" t="s">
        <v>191</v>
      </c>
      <c r="D5" s="200" t="s">
        <v>218</v>
      </c>
      <c r="E5" s="200">
        <v>210328</v>
      </c>
      <c r="F5" s="199">
        <v>0</v>
      </c>
      <c r="G5" s="249" t="s">
        <v>267</v>
      </c>
      <c r="H5" s="249">
        <v>66255188</v>
      </c>
      <c r="I5" s="249" t="s">
        <v>269</v>
      </c>
      <c r="J5" s="170"/>
      <c r="K5" s="193"/>
      <c r="L5" s="56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  <c r="AW5" s="23"/>
      <c r="AX5" s="23">
        <v>176375</v>
      </c>
      <c r="AY5" s="23">
        <v>317609</v>
      </c>
      <c r="AZ5" s="23">
        <v>287230</v>
      </c>
      <c r="BA5" s="23">
        <v>317517</v>
      </c>
    </row>
    <row r="6" spans="1:53" x14ac:dyDescent="0.3">
      <c r="A6" s="235" t="s">
        <v>1239</v>
      </c>
      <c r="B6" s="199" t="s">
        <v>190</v>
      </c>
      <c r="C6" s="199" t="s">
        <v>191</v>
      </c>
      <c r="D6" s="199" t="s">
        <v>218</v>
      </c>
      <c r="E6" s="200">
        <v>28523</v>
      </c>
      <c r="F6" s="199">
        <v>0</v>
      </c>
      <c r="G6" s="249" t="s">
        <v>433</v>
      </c>
      <c r="H6" s="249">
        <v>86142140</v>
      </c>
      <c r="I6" s="249" t="s">
        <v>89</v>
      </c>
      <c r="J6" s="170"/>
      <c r="K6" s="193"/>
      <c r="L6" s="56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  <c r="AW6" s="23"/>
      <c r="AX6" s="23">
        <v>38530</v>
      </c>
      <c r="AY6" s="23">
        <v>146736</v>
      </c>
      <c r="AZ6" s="23">
        <v>92688</v>
      </c>
      <c r="BA6" s="23">
        <v>93200</v>
      </c>
    </row>
    <row r="7" spans="1:53" x14ac:dyDescent="0.3">
      <c r="A7" s="235" t="s">
        <v>1239</v>
      </c>
      <c r="B7" s="199" t="s">
        <v>190</v>
      </c>
      <c r="C7" s="199" t="s">
        <v>191</v>
      </c>
      <c r="D7" s="199" t="s">
        <v>218</v>
      </c>
      <c r="E7" s="200">
        <v>96120</v>
      </c>
      <c r="F7" s="199">
        <v>0</v>
      </c>
      <c r="G7" s="249" t="s">
        <v>1240</v>
      </c>
      <c r="H7" s="249">
        <v>12099</v>
      </c>
      <c r="I7" s="249" t="s">
        <v>269</v>
      </c>
      <c r="J7" s="170"/>
      <c r="K7" s="193"/>
      <c r="L7" s="56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358</v>
      </c>
      <c r="AQ7" s="23" t="s">
        <v>358</v>
      </c>
      <c r="AR7" s="23" t="s">
        <v>358</v>
      </c>
      <c r="AS7" s="23" t="s">
        <v>358</v>
      </c>
      <c r="AT7" s="23" t="s">
        <v>358</v>
      </c>
      <c r="AU7" s="23">
        <v>0</v>
      </c>
      <c r="AV7" s="23">
        <v>356012</v>
      </c>
      <c r="AW7" s="23"/>
      <c r="AX7" s="23">
        <v>416262</v>
      </c>
      <c r="AY7" s="23">
        <v>409806</v>
      </c>
      <c r="AZ7" s="23">
        <v>227742</v>
      </c>
      <c r="BA7" s="23">
        <v>0</v>
      </c>
    </row>
    <row r="8" spans="1:53" x14ac:dyDescent="0.3">
      <c r="A8" s="235" t="s">
        <v>1239</v>
      </c>
      <c r="B8" s="199" t="s">
        <v>190</v>
      </c>
      <c r="C8" s="199" t="s">
        <v>191</v>
      </c>
      <c r="D8" s="200" t="s">
        <v>218</v>
      </c>
      <c r="E8" s="200">
        <v>21830</v>
      </c>
      <c r="F8" s="199">
        <v>0</v>
      </c>
      <c r="G8" s="249" t="s">
        <v>1240</v>
      </c>
      <c r="H8" s="249">
        <v>12100</v>
      </c>
      <c r="I8" s="249" t="s">
        <v>269</v>
      </c>
      <c r="J8" s="170"/>
      <c r="K8" s="193"/>
      <c r="L8" s="56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  <c r="AW8" s="23"/>
      <c r="AX8" s="23">
        <v>20000</v>
      </c>
      <c r="AY8" s="23">
        <v>80001</v>
      </c>
      <c r="AZ8" s="23">
        <v>71005</v>
      </c>
      <c r="BA8" s="23">
        <v>112297</v>
      </c>
    </row>
    <row r="9" spans="1:53" x14ac:dyDescent="0.3">
      <c r="A9" s="235" t="s">
        <v>1241</v>
      </c>
      <c r="B9" s="199" t="s">
        <v>190</v>
      </c>
      <c r="C9" s="199" t="s">
        <v>191</v>
      </c>
      <c r="D9" s="200" t="s">
        <v>218</v>
      </c>
      <c r="E9" s="200">
        <v>7000</v>
      </c>
      <c r="F9" s="199">
        <v>0</v>
      </c>
      <c r="G9" s="249" t="s">
        <v>1242</v>
      </c>
      <c r="H9" s="249" t="s">
        <v>1243</v>
      </c>
      <c r="I9" s="249" t="s">
        <v>270</v>
      </c>
      <c r="J9" s="170"/>
      <c r="K9" s="193"/>
      <c r="L9" s="56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  <c r="AW9" s="23"/>
      <c r="AX9" s="23">
        <v>1062449</v>
      </c>
      <c r="AY9" s="23">
        <v>1305047</v>
      </c>
      <c r="AZ9" s="23">
        <v>1022189</v>
      </c>
      <c r="BA9" s="23">
        <v>1476428</v>
      </c>
    </row>
    <row r="10" spans="1:53" x14ac:dyDescent="0.3">
      <c r="A10" s="235" t="s">
        <v>1241</v>
      </c>
      <c r="B10" s="199" t="s">
        <v>190</v>
      </c>
      <c r="C10" s="199" t="s">
        <v>191</v>
      </c>
      <c r="D10" s="200" t="s">
        <v>218</v>
      </c>
      <c r="E10" s="200">
        <v>20000</v>
      </c>
      <c r="F10" s="199">
        <v>0</v>
      </c>
      <c r="G10" s="249" t="s">
        <v>203</v>
      </c>
      <c r="H10" s="249">
        <v>25159</v>
      </c>
      <c r="I10" s="249" t="s">
        <v>266</v>
      </c>
      <c r="J10" s="170"/>
      <c r="K10" s="193"/>
      <c r="L10" s="56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  <c r="AW10" s="23"/>
      <c r="AX10" s="23">
        <v>230549</v>
      </c>
      <c r="AY10" s="23">
        <v>523972</v>
      </c>
      <c r="AZ10" s="23">
        <v>333879</v>
      </c>
      <c r="BA10" s="23">
        <v>634574</v>
      </c>
    </row>
    <row r="11" spans="1:53" x14ac:dyDescent="0.3">
      <c r="A11" s="235" t="s">
        <v>1241</v>
      </c>
      <c r="B11" s="199" t="s">
        <v>190</v>
      </c>
      <c r="C11" s="199" t="s">
        <v>191</v>
      </c>
      <c r="D11" s="200" t="s">
        <v>218</v>
      </c>
      <c r="E11" s="200">
        <v>45056</v>
      </c>
      <c r="F11" s="199">
        <v>0</v>
      </c>
      <c r="G11" s="249" t="s">
        <v>271</v>
      </c>
      <c r="H11" s="249">
        <v>8241012</v>
      </c>
      <c r="I11" s="249" t="s">
        <v>216</v>
      </c>
      <c r="J11" s="170"/>
      <c r="K11" s="193"/>
      <c r="L11" s="56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  <c r="AW11" s="23"/>
      <c r="AX11" s="23">
        <v>13020</v>
      </c>
      <c r="AY11" s="23">
        <v>15510</v>
      </c>
      <c r="AZ11" s="23">
        <v>55340</v>
      </c>
      <c r="BA11" s="23">
        <v>35890</v>
      </c>
    </row>
    <row r="12" spans="1:53" x14ac:dyDescent="0.3">
      <c r="A12" s="235" t="s">
        <v>1244</v>
      </c>
      <c r="B12" s="199" t="s">
        <v>190</v>
      </c>
      <c r="C12" s="199" t="s">
        <v>191</v>
      </c>
      <c r="D12" s="200" t="s">
        <v>218</v>
      </c>
      <c r="E12" s="200">
        <v>8400</v>
      </c>
      <c r="F12" s="199">
        <v>0</v>
      </c>
      <c r="G12" s="249" t="s">
        <v>1245</v>
      </c>
      <c r="H12" s="249">
        <v>13253</v>
      </c>
      <c r="I12" s="249" t="s">
        <v>268</v>
      </c>
      <c r="J12" s="170"/>
      <c r="K12" s="193"/>
      <c r="L12" s="56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358</v>
      </c>
      <c r="AQ12" s="23">
        <v>30000</v>
      </c>
      <c r="AR12" s="23">
        <v>90000</v>
      </c>
      <c r="AS12" s="23">
        <v>90000</v>
      </c>
      <c r="AT12" s="23" t="s">
        <v>358</v>
      </c>
      <c r="AU12" s="23">
        <v>0</v>
      </c>
      <c r="AV12" s="23">
        <v>0</v>
      </c>
      <c r="AW12" s="23"/>
      <c r="AX12" s="23">
        <v>45000</v>
      </c>
      <c r="AY12" s="23">
        <v>0</v>
      </c>
      <c r="AZ12" s="23">
        <v>30000</v>
      </c>
      <c r="BA12" s="23">
        <v>240000</v>
      </c>
    </row>
    <row r="13" spans="1:53" x14ac:dyDescent="0.3">
      <c r="A13" s="235" t="s">
        <v>1246</v>
      </c>
      <c r="B13" s="199" t="s">
        <v>190</v>
      </c>
      <c r="C13" s="199" t="s">
        <v>191</v>
      </c>
      <c r="D13" s="200" t="s">
        <v>218</v>
      </c>
      <c r="E13" s="200">
        <v>17604</v>
      </c>
      <c r="F13" s="199">
        <v>0</v>
      </c>
      <c r="G13" s="249" t="s">
        <v>271</v>
      </c>
      <c r="H13" s="249">
        <v>7976018</v>
      </c>
      <c r="I13" s="249" t="s">
        <v>216</v>
      </c>
      <c r="J13" s="170"/>
      <c r="K13" s="193"/>
      <c r="L13" s="56" t="s">
        <v>216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  <c r="AW13" s="23"/>
      <c r="AX13" s="23">
        <v>87283</v>
      </c>
      <c r="AY13" s="23">
        <v>128144</v>
      </c>
      <c r="AZ13" s="23">
        <v>250956</v>
      </c>
      <c r="BA13" s="23">
        <v>322607</v>
      </c>
    </row>
    <row r="14" spans="1:53" x14ac:dyDescent="0.3">
      <c r="A14" s="235" t="s">
        <v>1246</v>
      </c>
      <c r="B14" s="199" t="s">
        <v>190</v>
      </c>
      <c r="C14" s="199" t="s">
        <v>191</v>
      </c>
      <c r="D14" s="200" t="s">
        <v>218</v>
      </c>
      <c r="E14" s="200">
        <v>43980</v>
      </c>
      <c r="F14" s="199">
        <v>0</v>
      </c>
      <c r="G14" s="249" t="s">
        <v>271</v>
      </c>
      <c r="H14" s="249">
        <v>7976017</v>
      </c>
      <c r="I14" s="249" t="s">
        <v>89</v>
      </c>
      <c r="J14" s="170"/>
      <c r="K14" s="193"/>
      <c r="L14" s="75" t="s">
        <v>91</v>
      </c>
      <c r="M14" s="76">
        <v>1737064</v>
      </c>
      <c r="N14" s="76">
        <v>1815495</v>
      </c>
      <c r="O14" s="76">
        <v>1815495</v>
      </c>
      <c r="P14" s="76">
        <v>1934628</v>
      </c>
      <c r="Q14" s="76">
        <v>2245050</v>
      </c>
      <c r="R14" s="76">
        <v>2078993</v>
      </c>
      <c r="S14" s="76">
        <v>2475588</v>
      </c>
      <c r="T14" s="76">
        <v>2000000</v>
      </c>
      <c r="U14" s="76">
        <v>2541076</v>
      </c>
      <c r="V14" s="76">
        <v>1980555</v>
      </c>
      <c r="W14" s="76">
        <v>2591377</v>
      </c>
      <c r="X14" s="76"/>
      <c r="Y14" s="76"/>
      <c r="Z14" s="76">
        <v>3379548</v>
      </c>
      <c r="AA14" s="76">
        <f>SUM(AA5:AA12)</f>
        <v>2586439</v>
      </c>
      <c r="AB14" s="76">
        <v>2807728</v>
      </c>
      <c r="AC14" s="76">
        <v>2012767</v>
      </c>
      <c r="AD14" s="76">
        <v>2066525</v>
      </c>
      <c r="AE14" s="76">
        <v>2559398</v>
      </c>
      <c r="AF14" s="76">
        <v>2536145</v>
      </c>
      <c r="AG14" s="76"/>
      <c r="AH14" s="76"/>
      <c r="AI14" s="76">
        <f>SUM(AI5:AI13)</f>
        <v>2760596</v>
      </c>
      <c r="AJ14" s="76">
        <f t="shared" ref="AJ14:AM14" si="0">SUM(AJ5:AJ13)</f>
        <v>1510370</v>
      </c>
      <c r="AK14" s="76">
        <f t="shared" si="0"/>
        <v>431441</v>
      </c>
      <c r="AL14" s="76">
        <f t="shared" si="0"/>
        <v>2392906</v>
      </c>
      <c r="AM14" s="76">
        <f t="shared" si="0"/>
        <v>2781371</v>
      </c>
      <c r="AN14" s="76">
        <f t="shared" ref="AN14" si="1">SUM(AN5:AN13)</f>
        <v>2607790</v>
      </c>
      <c r="AO14" s="76">
        <v>2480261</v>
      </c>
      <c r="AP14" s="76">
        <v>2564608</v>
      </c>
      <c r="AQ14" s="76">
        <v>2390184</v>
      </c>
      <c r="AR14" s="76">
        <v>2732497</v>
      </c>
      <c r="AS14" s="76">
        <v>2732497</v>
      </c>
      <c r="AT14" s="76">
        <v>2692799</v>
      </c>
      <c r="AU14" s="76">
        <v>2755072</v>
      </c>
      <c r="AV14" s="76">
        <f>SUM(AV5:AV13)</f>
        <v>2342742</v>
      </c>
      <c r="AW14" s="76"/>
      <c r="AX14" s="76">
        <v>2089468</v>
      </c>
      <c r="AY14" s="76">
        <v>2926825</v>
      </c>
      <c r="AZ14" s="76">
        <v>2371029</v>
      </c>
      <c r="BA14" s="76">
        <v>3232513</v>
      </c>
    </row>
    <row r="15" spans="1:53" x14ac:dyDescent="0.3">
      <c r="A15" s="235" t="s">
        <v>1246</v>
      </c>
      <c r="B15" s="199" t="s">
        <v>190</v>
      </c>
      <c r="C15" s="199" t="s">
        <v>191</v>
      </c>
      <c r="D15" s="200" t="s">
        <v>218</v>
      </c>
      <c r="E15" s="200">
        <v>12340</v>
      </c>
      <c r="F15" s="199">
        <v>0</v>
      </c>
      <c r="G15" s="249" t="s">
        <v>267</v>
      </c>
      <c r="H15" s="249">
        <v>66299103</v>
      </c>
      <c r="I15" s="249" t="s">
        <v>216</v>
      </c>
      <c r="J15" s="170"/>
      <c r="K15" s="193"/>
      <c r="L15" s="20"/>
      <c r="M15" s="20"/>
      <c r="N15" s="20"/>
      <c r="O15" s="20"/>
      <c r="P15" s="20"/>
      <c r="Q15" s="20"/>
      <c r="R15" s="20"/>
      <c r="S15" s="60"/>
      <c r="T15" s="60"/>
      <c r="U15" s="60"/>
      <c r="V15" s="60"/>
    </row>
    <row r="16" spans="1:53" x14ac:dyDescent="0.3">
      <c r="A16" s="235" t="s">
        <v>1246</v>
      </c>
      <c r="B16" s="199" t="s">
        <v>190</v>
      </c>
      <c r="C16" s="199" t="s">
        <v>191</v>
      </c>
      <c r="D16" s="200" t="s">
        <v>218</v>
      </c>
      <c r="E16" s="200">
        <v>21880</v>
      </c>
      <c r="F16" s="199">
        <v>0</v>
      </c>
      <c r="G16" s="249" t="s">
        <v>267</v>
      </c>
      <c r="H16" s="249">
        <v>66299102</v>
      </c>
      <c r="I16" s="249" t="s">
        <v>89</v>
      </c>
      <c r="J16" s="170"/>
      <c r="K16" s="193"/>
      <c r="L16" s="3"/>
      <c r="M16"/>
      <c r="N16"/>
      <c r="O16"/>
      <c r="P16"/>
      <c r="Q16"/>
      <c r="R16"/>
      <c r="S16" s="60"/>
      <c r="T16" s="60"/>
      <c r="U16" s="60"/>
      <c r="V16" s="60"/>
    </row>
    <row r="17" spans="1:22" x14ac:dyDescent="0.3">
      <c r="A17" s="235" t="s">
        <v>1246</v>
      </c>
      <c r="B17" s="199" t="s">
        <v>190</v>
      </c>
      <c r="C17" s="199" t="s">
        <v>191</v>
      </c>
      <c r="D17" s="200" t="s">
        <v>218</v>
      </c>
      <c r="E17" s="200">
        <v>64643</v>
      </c>
      <c r="F17" s="199">
        <v>0</v>
      </c>
      <c r="G17" s="249" t="s">
        <v>267</v>
      </c>
      <c r="H17" s="249">
        <v>66299101</v>
      </c>
      <c r="I17" s="249" t="s">
        <v>270</v>
      </c>
      <c r="J17" s="170"/>
      <c r="K17" s="193"/>
      <c r="L17" s="3"/>
      <c r="M17" s="5"/>
      <c r="N17"/>
      <c r="O17"/>
      <c r="P17"/>
      <c r="Q17"/>
      <c r="R17"/>
      <c r="S17" s="60"/>
      <c r="T17" s="60"/>
      <c r="U17" s="60"/>
      <c r="V17" s="60"/>
    </row>
    <row r="18" spans="1:22" x14ac:dyDescent="0.3">
      <c r="A18" s="235" t="s">
        <v>1246</v>
      </c>
      <c r="B18" s="199" t="s">
        <v>190</v>
      </c>
      <c r="C18" s="199" t="s">
        <v>191</v>
      </c>
      <c r="D18" s="199" t="s">
        <v>218</v>
      </c>
      <c r="E18" s="200">
        <v>196603</v>
      </c>
      <c r="F18" s="199">
        <v>0</v>
      </c>
      <c r="G18" s="249" t="s">
        <v>267</v>
      </c>
      <c r="H18" s="249">
        <v>66299100</v>
      </c>
      <c r="I18" s="249" t="s">
        <v>269</v>
      </c>
      <c r="J18" s="170"/>
      <c r="K18" s="193"/>
      <c r="L18" s="3"/>
      <c r="M18" s="5"/>
      <c r="N18"/>
      <c r="O18"/>
      <c r="P18"/>
      <c r="Q18"/>
      <c r="R18"/>
      <c r="S18" s="60"/>
      <c r="T18" s="60"/>
      <c r="U18" s="60"/>
      <c r="V18" s="60"/>
    </row>
    <row r="19" spans="1:22" x14ac:dyDescent="0.3">
      <c r="A19" s="235" t="s">
        <v>1246</v>
      </c>
      <c r="B19" s="199" t="s">
        <v>190</v>
      </c>
      <c r="C19" s="199" t="s">
        <v>191</v>
      </c>
      <c r="D19" s="199" t="s">
        <v>218</v>
      </c>
      <c r="E19" s="200">
        <v>25980</v>
      </c>
      <c r="F19" s="199">
        <v>0</v>
      </c>
      <c r="G19" s="249" t="s">
        <v>267</v>
      </c>
      <c r="H19" s="249">
        <v>66282652</v>
      </c>
      <c r="I19" s="249" t="s">
        <v>89</v>
      </c>
      <c r="J19" s="170"/>
      <c r="K19" s="56" t="s">
        <v>270</v>
      </c>
      <c r="L19" s="3"/>
      <c r="M19" s="5"/>
      <c r="N19"/>
      <c r="O19"/>
      <c r="P19"/>
      <c r="Q19"/>
      <c r="R19"/>
      <c r="S19" s="60"/>
      <c r="T19" s="60"/>
      <c r="U19" s="60"/>
      <c r="V19" s="60"/>
    </row>
    <row r="20" spans="1:22" x14ac:dyDescent="0.3">
      <c r="A20" s="235" t="s">
        <v>1246</v>
      </c>
      <c r="B20" s="199" t="s">
        <v>190</v>
      </c>
      <c r="C20" s="199" t="s">
        <v>191</v>
      </c>
      <c r="D20" s="199" t="s">
        <v>218</v>
      </c>
      <c r="E20" s="200">
        <v>60101</v>
      </c>
      <c r="F20" s="199">
        <v>0</v>
      </c>
      <c r="G20" s="249" t="s">
        <v>433</v>
      </c>
      <c r="H20" s="249">
        <v>86331272</v>
      </c>
      <c r="I20" s="249" t="s">
        <v>89</v>
      </c>
      <c r="J20" s="170"/>
      <c r="K20" s="56" t="s">
        <v>268</v>
      </c>
      <c r="L20" s="3"/>
      <c r="M20" s="5"/>
      <c r="N20"/>
      <c r="O20"/>
      <c r="P20"/>
      <c r="Q20"/>
      <c r="R20"/>
      <c r="S20" s="60"/>
      <c r="T20" s="60"/>
      <c r="U20" s="60"/>
      <c r="V20" s="60"/>
    </row>
    <row r="21" spans="1:22" x14ac:dyDescent="0.3">
      <c r="A21" s="235" t="s">
        <v>1246</v>
      </c>
      <c r="B21" s="199" t="s">
        <v>190</v>
      </c>
      <c r="C21" s="199" t="s">
        <v>191</v>
      </c>
      <c r="D21" s="200" t="s">
        <v>218</v>
      </c>
      <c r="E21" s="200">
        <v>76100</v>
      </c>
      <c r="F21" s="199">
        <v>0</v>
      </c>
      <c r="G21" s="249" t="s">
        <v>1240</v>
      </c>
      <c r="H21" s="249">
        <v>12315</v>
      </c>
      <c r="I21" s="249" t="s">
        <v>269</v>
      </c>
      <c r="J21" s="170"/>
      <c r="K21" s="56" t="s">
        <v>282</v>
      </c>
      <c r="L21" s="3"/>
      <c r="M21" s="5"/>
      <c r="N21"/>
      <c r="O21"/>
      <c r="P21"/>
      <c r="Q21"/>
      <c r="R21"/>
      <c r="S21" s="60"/>
      <c r="T21" s="60"/>
      <c r="U21" s="60"/>
      <c r="V21" s="60"/>
    </row>
    <row r="22" spans="1:22" x14ac:dyDescent="0.3">
      <c r="A22" s="235" t="s">
        <v>1246</v>
      </c>
      <c r="B22" s="199" t="s">
        <v>190</v>
      </c>
      <c r="C22" s="199" t="s">
        <v>191</v>
      </c>
      <c r="D22" s="200" t="s">
        <v>218</v>
      </c>
      <c r="E22" s="200">
        <v>37620</v>
      </c>
      <c r="F22" s="199">
        <v>0</v>
      </c>
      <c r="G22" s="249" t="s">
        <v>1240</v>
      </c>
      <c r="H22" s="249">
        <v>12314</v>
      </c>
      <c r="I22" s="249" t="s">
        <v>270</v>
      </c>
      <c r="J22" s="170"/>
      <c r="K22" s="56" t="s">
        <v>266</v>
      </c>
      <c r="L22" s="3"/>
      <c r="M22" s="5"/>
      <c r="N22"/>
      <c r="O22"/>
      <c r="P22"/>
      <c r="Q22"/>
      <c r="R22"/>
      <c r="S22" s="60"/>
      <c r="T22" s="60"/>
      <c r="U22" s="60"/>
      <c r="V22" s="60"/>
    </row>
    <row r="23" spans="1:22" x14ac:dyDescent="0.3">
      <c r="A23" s="235" t="s">
        <v>1246</v>
      </c>
      <c r="B23" s="199" t="s">
        <v>190</v>
      </c>
      <c r="C23" s="199" t="s">
        <v>191</v>
      </c>
      <c r="D23" s="200" t="s">
        <v>218</v>
      </c>
      <c r="E23" s="200">
        <v>47280</v>
      </c>
      <c r="F23" s="199">
        <v>0</v>
      </c>
      <c r="G23" s="249" t="s">
        <v>271</v>
      </c>
      <c r="H23" s="249">
        <v>7965715</v>
      </c>
      <c r="I23" s="249" t="s">
        <v>216</v>
      </c>
      <c r="J23" s="170"/>
      <c r="K23" s="56" t="s">
        <v>269</v>
      </c>
      <c r="L23" s="3"/>
      <c r="M23" s="5"/>
      <c r="N23"/>
      <c r="O23"/>
      <c r="P23"/>
      <c r="Q23"/>
      <c r="R23"/>
      <c r="S23" s="60"/>
      <c r="T23" s="60"/>
      <c r="U23" s="60"/>
      <c r="V23" s="60"/>
    </row>
    <row r="24" spans="1:22" x14ac:dyDescent="0.3">
      <c r="A24" s="235" t="s">
        <v>1246</v>
      </c>
      <c r="B24" s="199" t="s">
        <v>190</v>
      </c>
      <c r="C24" s="199" t="s">
        <v>191</v>
      </c>
      <c r="D24" s="200" t="s">
        <v>218</v>
      </c>
      <c r="E24" s="200">
        <v>36079</v>
      </c>
      <c r="F24" s="199">
        <v>0</v>
      </c>
      <c r="G24" s="249" t="s">
        <v>271</v>
      </c>
      <c r="H24" s="249">
        <v>7965714</v>
      </c>
      <c r="I24" s="249" t="s">
        <v>269</v>
      </c>
      <c r="J24" s="170"/>
      <c r="K24" s="56" t="s">
        <v>89</v>
      </c>
      <c r="L24" s="20"/>
      <c r="M24" s="5"/>
      <c r="N24" s="20"/>
      <c r="O24" s="20"/>
      <c r="P24" s="20"/>
      <c r="Q24" s="20"/>
      <c r="R24" s="20"/>
      <c r="S24" s="60"/>
      <c r="T24" s="60"/>
      <c r="U24" s="60"/>
      <c r="V24" s="60"/>
    </row>
    <row r="25" spans="1:22" x14ac:dyDescent="0.3">
      <c r="A25" s="235" t="s">
        <v>1246</v>
      </c>
      <c r="B25" s="199" t="s">
        <v>190</v>
      </c>
      <c r="C25" s="199" t="s">
        <v>191</v>
      </c>
      <c r="D25" s="200" t="s">
        <v>218</v>
      </c>
      <c r="E25" s="200">
        <v>53818</v>
      </c>
      <c r="F25" s="199">
        <v>0</v>
      </c>
      <c r="G25" s="249" t="s">
        <v>271</v>
      </c>
      <c r="H25" s="249">
        <v>7965713</v>
      </c>
      <c r="I25" s="249" t="s">
        <v>216</v>
      </c>
      <c r="J25" s="170"/>
      <c r="K25" s="56" t="s">
        <v>272</v>
      </c>
      <c r="L25" s="20"/>
      <c r="M25" s="5"/>
      <c r="N25" s="20"/>
      <c r="O25" s="20"/>
      <c r="P25" s="20"/>
      <c r="Q25" s="20"/>
      <c r="R25" s="20"/>
      <c r="S25" s="60"/>
      <c r="T25" s="60"/>
      <c r="U25" s="60"/>
      <c r="V25" s="60"/>
    </row>
    <row r="26" spans="1:22" x14ac:dyDescent="0.3">
      <c r="A26" s="235" t="s">
        <v>1247</v>
      </c>
      <c r="B26" s="199" t="s">
        <v>190</v>
      </c>
      <c r="C26" s="199" t="s">
        <v>191</v>
      </c>
      <c r="D26" s="200" t="s">
        <v>218</v>
      </c>
      <c r="E26" s="200">
        <v>25520</v>
      </c>
      <c r="F26" s="199">
        <v>0</v>
      </c>
      <c r="G26" s="249" t="s">
        <v>203</v>
      </c>
      <c r="H26" s="249">
        <v>26077</v>
      </c>
      <c r="I26" s="249" t="s">
        <v>266</v>
      </c>
      <c r="J26" s="170"/>
      <c r="K26" s="56" t="s">
        <v>121</v>
      </c>
      <c r="L26" s="20"/>
      <c r="M26" s="5"/>
      <c r="N26" s="20"/>
      <c r="O26" s="20"/>
      <c r="P26" s="20"/>
      <c r="Q26" s="20"/>
      <c r="R26" s="20"/>
      <c r="S26" s="60"/>
      <c r="T26" s="60"/>
      <c r="U26" s="60"/>
      <c r="V26" s="60"/>
    </row>
    <row r="27" spans="1:22" x14ac:dyDescent="0.3">
      <c r="A27" s="235" t="s">
        <v>1248</v>
      </c>
      <c r="B27" s="199" t="s">
        <v>190</v>
      </c>
      <c r="C27" s="199" t="s">
        <v>191</v>
      </c>
      <c r="D27" s="200" t="s">
        <v>218</v>
      </c>
      <c r="E27" s="200">
        <v>34460</v>
      </c>
      <c r="F27" s="199">
        <v>0</v>
      </c>
      <c r="G27" s="249" t="s">
        <v>267</v>
      </c>
      <c r="H27" s="249">
        <v>66330515</v>
      </c>
      <c r="I27" s="249" t="s">
        <v>268</v>
      </c>
      <c r="J27" s="170"/>
      <c r="K27" s="56" t="s">
        <v>216</v>
      </c>
      <c r="L27" s="20"/>
      <c r="M27" s="5"/>
      <c r="N27" s="20"/>
      <c r="O27" s="20"/>
      <c r="P27" s="20"/>
      <c r="Q27" s="20"/>
      <c r="R27" s="20"/>
      <c r="S27" s="60"/>
      <c r="T27" s="60"/>
      <c r="U27" s="60"/>
      <c r="V27" s="60"/>
    </row>
    <row r="28" spans="1:22" x14ac:dyDescent="0.3">
      <c r="A28" s="235" t="s">
        <v>1248</v>
      </c>
      <c r="B28" s="199" t="s">
        <v>190</v>
      </c>
      <c r="C28" s="199" t="s">
        <v>191</v>
      </c>
      <c r="D28" s="200" t="s">
        <v>218</v>
      </c>
      <c r="E28" s="200">
        <v>29924</v>
      </c>
      <c r="F28" s="199">
        <v>0</v>
      </c>
      <c r="G28" s="249" t="s">
        <v>267</v>
      </c>
      <c r="H28" s="249">
        <v>66330514</v>
      </c>
      <c r="I28" s="249" t="s">
        <v>270</v>
      </c>
      <c r="J28" s="170"/>
      <c r="K28" s="193"/>
      <c r="L28" s="20"/>
      <c r="M28" s="5"/>
      <c r="N28" s="20"/>
      <c r="O28" s="20"/>
      <c r="P28" s="20"/>
      <c r="Q28" s="20"/>
      <c r="R28" s="20"/>
      <c r="S28" s="60"/>
      <c r="T28" s="60"/>
      <c r="U28" s="60"/>
      <c r="V28" s="60"/>
    </row>
    <row r="29" spans="1:22" x14ac:dyDescent="0.3">
      <c r="A29" s="235" t="s">
        <v>1248</v>
      </c>
      <c r="B29" s="199" t="s">
        <v>190</v>
      </c>
      <c r="C29" s="199" t="s">
        <v>191</v>
      </c>
      <c r="D29" s="200" t="s">
        <v>218</v>
      </c>
      <c r="E29" s="200">
        <v>151661</v>
      </c>
      <c r="F29" s="199">
        <v>0</v>
      </c>
      <c r="G29" s="249" t="s">
        <v>267</v>
      </c>
      <c r="H29" s="249">
        <v>66330513</v>
      </c>
      <c r="I29" s="249" t="s">
        <v>269</v>
      </c>
      <c r="J29" s="170"/>
      <c r="K29" s="193"/>
      <c r="L29" s="20"/>
      <c r="M29" s="5"/>
      <c r="N29" s="20"/>
      <c r="O29" s="20"/>
      <c r="P29" s="20"/>
      <c r="Q29" s="20"/>
      <c r="R29" s="20"/>
      <c r="S29" s="60"/>
      <c r="T29" s="60"/>
      <c r="U29" s="60"/>
      <c r="V29" s="60"/>
    </row>
    <row r="30" spans="1:22" x14ac:dyDescent="0.3">
      <c r="A30" s="235" t="s">
        <v>1248</v>
      </c>
      <c r="B30" s="199" t="s">
        <v>190</v>
      </c>
      <c r="C30" s="199" t="s">
        <v>191</v>
      </c>
      <c r="D30" s="199" t="s">
        <v>218</v>
      </c>
      <c r="E30" s="200">
        <v>239660</v>
      </c>
      <c r="F30" s="199">
        <v>0</v>
      </c>
      <c r="G30" s="249" t="s">
        <v>433</v>
      </c>
      <c r="H30" s="249">
        <v>86450632</v>
      </c>
      <c r="I30" s="249" t="s">
        <v>89</v>
      </c>
      <c r="J30" s="170"/>
      <c r="K30" s="193"/>
      <c r="L30" s="20"/>
      <c r="M30" s="5"/>
      <c r="N30" s="20"/>
      <c r="O30" s="20"/>
      <c r="P30" s="20"/>
      <c r="Q30" s="20"/>
      <c r="R30" s="20"/>
      <c r="S30" s="60"/>
      <c r="T30" s="60"/>
      <c r="U30" s="60"/>
      <c r="V30" s="60"/>
    </row>
    <row r="31" spans="1:22" x14ac:dyDescent="0.3">
      <c r="A31" s="235" t="s">
        <v>1248</v>
      </c>
      <c r="B31" s="199" t="s">
        <v>190</v>
      </c>
      <c r="C31" s="199" t="s">
        <v>191</v>
      </c>
      <c r="D31" s="199" t="s">
        <v>218</v>
      </c>
      <c r="E31" s="200">
        <v>64330</v>
      </c>
      <c r="F31" s="199">
        <v>0</v>
      </c>
      <c r="G31" s="249" t="s">
        <v>1240</v>
      </c>
      <c r="H31" s="249">
        <v>12532</v>
      </c>
      <c r="I31" s="249" t="s">
        <v>269</v>
      </c>
      <c r="J31" s="170"/>
      <c r="K31" s="193"/>
      <c r="L31" s="20"/>
      <c r="M31" s="5"/>
      <c r="N31" s="20"/>
      <c r="O31" s="20"/>
      <c r="P31" s="20"/>
      <c r="Q31" s="20"/>
      <c r="R31" s="20"/>
      <c r="S31" s="60"/>
      <c r="T31" s="60"/>
      <c r="U31" s="60"/>
      <c r="V31" s="60"/>
    </row>
    <row r="32" spans="1:22" s="143" customFormat="1" x14ac:dyDescent="0.3">
      <c r="A32" s="235" t="s">
        <v>1248</v>
      </c>
      <c r="B32" s="199" t="s">
        <v>190</v>
      </c>
      <c r="C32" s="199" t="s">
        <v>191</v>
      </c>
      <c r="D32" s="199" t="s">
        <v>218</v>
      </c>
      <c r="E32" s="200">
        <v>26170</v>
      </c>
      <c r="F32" s="199">
        <v>0</v>
      </c>
      <c r="G32" s="249" t="s">
        <v>1240</v>
      </c>
      <c r="H32" s="249">
        <v>12533</v>
      </c>
      <c r="I32" s="249" t="s">
        <v>270</v>
      </c>
      <c r="J32" s="170"/>
      <c r="K32" s="193"/>
      <c r="M32" s="5"/>
      <c r="S32" s="60"/>
      <c r="T32" s="60"/>
      <c r="U32" s="60"/>
      <c r="V32" s="60"/>
    </row>
    <row r="33" spans="1:22" s="143" customFormat="1" x14ac:dyDescent="0.3">
      <c r="A33" s="235" t="s">
        <v>1248</v>
      </c>
      <c r="B33" s="173" t="s">
        <v>190</v>
      </c>
      <c r="C33" s="202" t="s">
        <v>191</v>
      </c>
      <c r="D33" s="203" t="s">
        <v>218</v>
      </c>
      <c r="E33" s="200">
        <v>26777</v>
      </c>
      <c r="F33" s="199">
        <v>0</v>
      </c>
      <c r="G33" s="249" t="s">
        <v>203</v>
      </c>
      <c r="H33" s="249">
        <v>26293</v>
      </c>
      <c r="I33" s="249" t="s">
        <v>266</v>
      </c>
      <c r="J33" s="170"/>
      <c r="K33" s="193"/>
      <c r="M33" s="5"/>
      <c r="S33" s="60"/>
      <c r="T33" s="60"/>
      <c r="U33" s="60"/>
      <c r="V33" s="60"/>
    </row>
    <row r="34" spans="1:22" s="143" customFormat="1" x14ac:dyDescent="0.3">
      <c r="A34" s="235" t="s">
        <v>1249</v>
      </c>
      <c r="B34" s="173" t="s">
        <v>190</v>
      </c>
      <c r="C34" s="202" t="s">
        <v>191</v>
      </c>
      <c r="D34" s="203" t="s">
        <v>218</v>
      </c>
      <c r="E34" s="200">
        <v>29302</v>
      </c>
      <c r="F34" s="199">
        <v>0</v>
      </c>
      <c r="G34" s="249" t="s">
        <v>271</v>
      </c>
      <c r="H34" s="249">
        <v>7989204</v>
      </c>
      <c r="I34" s="249" t="s">
        <v>216</v>
      </c>
      <c r="J34" s="170"/>
      <c r="K34" s="193"/>
      <c r="M34" s="5"/>
      <c r="S34" s="60"/>
      <c r="T34" s="60"/>
      <c r="U34" s="60"/>
      <c r="V34" s="60"/>
    </row>
    <row r="35" spans="1:22" s="143" customFormat="1" x14ac:dyDescent="0.3">
      <c r="A35" s="235" t="s">
        <v>1250</v>
      </c>
      <c r="B35" s="173" t="s">
        <v>190</v>
      </c>
      <c r="C35" s="202" t="s">
        <v>191</v>
      </c>
      <c r="D35" s="191" t="s">
        <v>218</v>
      </c>
      <c r="E35" s="200">
        <v>198538</v>
      </c>
      <c r="F35" s="199">
        <v>0</v>
      </c>
      <c r="G35" s="249" t="s">
        <v>267</v>
      </c>
      <c r="H35" s="249">
        <v>66358132</v>
      </c>
      <c r="I35" s="249" t="s">
        <v>269</v>
      </c>
      <c r="J35" s="170"/>
      <c r="K35" s="193"/>
      <c r="M35" s="5"/>
      <c r="S35" s="60"/>
      <c r="T35" s="60"/>
      <c r="U35" s="60"/>
      <c r="V35" s="60"/>
    </row>
    <row r="36" spans="1:22" s="143" customFormat="1" x14ac:dyDescent="0.3">
      <c r="A36" s="235" t="s">
        <v>1251</v>
      </c>
      <c r="B36" s="173" t="s">
        <v>190</v>
      </c>
      <c r="C36" s="202" t="s">
        <v>191</v>
      </c>
      <c r="D36" s="191" t="s">
        <v>218</v>
      </c>
      <c r="E36" s="200">
        <v>34110</v>
      </c>
      <c r="F36" s="199">
        <v>0</v>
      </c>
      <c r="G36" s="249" t="s">
        <v>271</v>
      </c>
      <c r="H36" s="249">
        <v>8008546</v>
      </c>
      <c r="I36" s="249" t="s">
        <v>216</v>
      </c>
      <c r="J36" s="170"/>
      <c r="K36" s="193"/>
      <c r="M36" s="5"/>
      <c r="S36" s="60"/>
      <c r="T36" s="60"/>
      <c r="U36" s="60"/>
      <c r="V36" s="60"/>
    </row>
    <row r="37" spans="1:22" s="143" customFormat="1" x14ac:dyDescent="0.3">
      <c r="A37" s="235" t="s">
        <v>1251</v>
      </c>
      <c r="B37" s="173" t="s">
        <v>190</v>
      </c>
      <c r="C37" s="202" t="s">
        <v>191</v>
      </c>
      <c r="D37" s="191" t="s">
        <v>218</v>
      </c>
      <c r="E37" s="200">
        <v>2050</v>
      </c>
      <c r="F37" s="199">
        <v>0</v>
      </c>
      <c r="G37" s="249" t="s">
        <v>267</v>
      </c>
      <c r="H37" s="249">
        <v>1189091492</v>
      </c>
      <c r="I37" s="249" t="s">
        <v>268</v>
      </c>
      <c r="J37" s="170"/>
      <c r="K37" s="193"/>
      <c r="M37" s="5"/>
      <c r="S37" s="60"/>
      <c r="T37" s="60"/>
      <c r="U37" s="60"/>
      <c r="V37" s="60"/>
    </row>
    <row r="38" spans="1:22" s="143" customFormat="1" x14ac:dyDescent="0.3">
      <c r="A38" s="235" t="s">
        <v>1251</v>
      </c>
      <c r="B38" s="173" t="s">
        <v>190</v>
      </c>
      <c r="C38" s="202" t="s">
        <v>191</v>
      </c>
      <c r="D38" s="191" t="s">
        <v>218</v>
      </c>
      <c r="E38" s="200">
        <v>13041</v>
      </c>
      <c r="F38" s="199">
        <v>0</v>
      </c>
      <c r="G38" s="249" t="s">
        <v>433</v>
      </c>
      <c r="H38" s="249">
        <v>86661949</v>
      </c>
      <c r="I38" s="249" t="s">
        <v>89</v>
      </c>
      <c r="J38" s="170"/>
      <c r="K38" s="193"/>
      <c r="M38" s="5"/>
      <c r="S38" s="60"/>
      <c r="T38" s="60"/>
      <c r="U38" s="60"/>
      <c r="V38" s="60"/>
    </row>
    <row r="39" spans="1:22" s="143" customFormat="1" x14ac:dyDescent="0.3">
      <c r="A39" s="235" t="s">
        <v>1251</v>
      </c>
      <c r="B39" s="173" t="s">
        <v>190</v>
      </c>
      <c r="C39" s="202" t="s">
        <v>191</v>
      </c>
      <c r="D39" s="191" t="s">
        <v>218</v>
      </c>
      <c r="E39" s="200">
        <v>9270</v>
      </c>
      <c r="F39" s="199">
        <v>0</v>
      </c>
      <c r="G39" s="249" t="s">
        <v>433</v>
      </c>
      <c r="H39" s="249">
        <v>86661948</v>
      </c>
      <c r="I39" s="249" t="s">
        <v>89</v>
      </c>
      <c r="J39" s="170"/>
      <c r="K39" s="193"/>
      <c r="M39" s="5"/>
      <c r="S39" s="60"/>
      <c r="T39" s="60"/>
      <c r="U39" s="60"/>
      <c r="V39" s="60"/>
    </row>
    <row r="40" spans="1:22" s="143" customFormat="1" x14ac:dyDescent="0.3">
      <c r="A40" s="235" t="s">
        <v>1252</v>
      </c>
      <c r="B40" s="173" t="s">
        <v>190</v>
      </c>
      <c r="C40" s="202" t="s">
        <v>191</v>
      </c>
      <c r="D40" s="191" t="s">
        <v>218</v>
      </c>
      <c r="E40" s="200">
        <v>77000</v>
      </c>
      <c r="F40" s="199">
        <v>0</v>
      </c>
      <c r="G40" s="249" t="s">
        <v>1240</v>
      </c>
      <c r="H40" s="249">
        <v>13012</v>
      </c>
      <c r="I40" s="249" t="s">
        <v>269</v>
      </c>
      <c r="J40" s="170"/>
      <c r="K40" s="193"/>
      <c r="M40" s="5"/>
      <c r="S40" s="60"/>
      <c r="T40" s="60"/>
      <c r="U40" s="60"/>
      <c r="V40" s="60"/>
    </row>
    <row r="41" spans="1:22" s="143" customFormat="1" x14ac:dyDescent="0.3">
      <c r="A41" s="235" t="s">
        <v>1252</v>
      </c>
      <c r="B41" s="173" t="s">
        <v>190</v>
      </c>
      <c r="C41" s="202" t="s">
        <v>191</v>
      </c>
      <c r="D41" s="191" t="s">
        <v>218</v>
      </c>
      <c r="E41" s="200">
        <v>22950</v>
      </c>
      <c r="F41" s="199">
        <v>0</v>
      </c>
      <c r="G41" s="249" t="s">
        <v>1240</v>
      </c>
      <c r="H41" s="249">
        <v>13013</v>
      </c>
      <c r="I41" s="249" t="s">
        <v>270</v>
      </c>
      <c r="J41" s="170"/>
      <c r="K41" s="193"/>
      <c r="M41" s="5"/>
      <c r="S41" s="60"/>
      <c r="T41" s="60"/>
      <c r="U41" s="60"/>
      <c r="V41" s="60"/>
    </row>
    <row r="42" spans="1:22" s="143" customFormat="1" x14ac:dyDescent="0.3">
      <c r="A42" s="235" t="s">
        <v>1252</v>
      </c>
      <c r="B42" s="173" t="s">
        <v>190</v>
      </c>
      <c r="C42" s="202" t="s">
        <v>191</v>
      </c>
      <c r="D42" s="191" t="s">
        <v>218</v>
      </c>
      <c r="E42" s="200">
        <v>20000</v>
      </c>
      <c r="F42" s="173">
        <v>0</v>
      </c>
      <c r="G42" s="249" t="s">
        <v>203</v>
      </c>
      <c r="H42" s="249">
        <v>423342</v>
      </c>
      <c r="I42" s="249" t="s">
        <v>266</v>
      </c>
      <c r="J42" s="170"/>
      <c r="K42" s="193"/>
      <c r="M42" s="5"/>
      <c r="S42" s="60"/>
      <c r="T42" s="60"/>
      <c r="U42" s="60"/>
      <c r="V42" s="60"/>
    </row>
    <row r="43" spans="1:22" s="143" customFormat="1" x14ac:dyDescent="0.3">
      <c r="A43" s="235" t="s">
        <v>1252</v>
      </c>
      <c r="B43" s="173" t="s">
        <v>190</v>
      </c>
      <c r="C43" s="202" t="s">
        <v>191</v>
      </c>
      <c r="D43" s="191" t="s">
        <v>218</v>
      </c>
      <c r="E43" s="200">
        <v>15130</v>
      </c>
      <c r="F43" s="173">
        <v>0</v>
      </c>
      <c r="G43" s="249" t="s">
        <v>267</v>
      </c>
      <c r="H43" s="249">
        <v>66377691</v>
      </c>
      <c r="I43" s="249" t="s">
        <v>272</v>
      </c>
      <c r="J43" s="170"/>
      <c r="K43" s="193"/>
      <c r="M43" s="5"/>
      <c r="S43" s="60"/>
      <c r="T43" s="60"/>
      <c r="U43" s="60"/>
      <c r="V43" s="60"/>
    </row>
    <row r="44" spans="1:22" s="143" customFormat="1" x14ac:dyDescent="0.3">
      <c r="A44" s="235" t="s">
        <v>1252</v>
      </c>
      <c r="B44" s="173" t="s">
        <v>190</v>
      </c>
      <c r="C44" s="202" t="s">
        <v>191</v>
      </c>
      <c r="D44" s="191" t="s">
        <v>218</v>
      </c>
      <c r="E44" s="203">
        <v>14030</v>
      </c>
      <c r="F44" s="173">
        <v>0</v>
      </c>
      <c r="G44" s="249" t="s">
        <v>1242</v>
      </c>
      <c r="H44" s="249">
        <v>18548</v>
      </c>
      <c r="I44" s="249" t="s">
        <v>269</v>
      </c>
      <c r="J44" s="170"/>
      <c r="K44" s="193"/>
      <c r="M44" s="5"/>
      <c r="S44" s="60"/>
      <c r="T44" s="60"/>
      <c r="U44" s="60"/>
      <c r="V44" s="60"/>
    </row>
    <row r="45" spans="1:22" s="143" customFormat="1" x14ac:dyDescent="0.3">
      <c r="A45" s="235" t="s">
        <v>1253</v>
      </c>
      <c r="B45" s="173" t="s">
        <v>190</v>
      </c>
      <c r="C45" s="202" t="s">
        <v>191</v>
      </c>
      <c r="D45" s="191" t="s">
        <v>218</v>
      </c>
      <c r="E45" s="203">
        <v>36750</v>
      </c>
      <c r="F45" s="173">
        <v>0</v>
      </c>
      <c r="G45" s="249" t="s">
        <v>1242</v>
      </c>
      <c r="H45" s="249">
        <v>1477</v>
      </c>
      <c r="I45" s="249" t="s">
        <v>216</v>
      </c>
      <c r="J45" s="170"/>
      <c r="K45" s="193"/>
      <c r="M45" s="5"/>
      <c r="S45" s="60"/>
      <c r="T45" s="60"/>
      <c r="U45" s="60"/>
      <c r="V45" s="60"/>
    </row>
    <row r="46" spans="1:22" s="143" customFormat="1" x14ac:dyDescent="0.3">
      <c r="A46" s="235" t="s">
        <v>1253</v>
      </c>
      <c r="B46" s="173" t="s">
        <v>190</v>
      </c>
      <c r="C46" s="202" t="s">
        <v>191</v>
      </c>
      <c r="D46" s="191" t="s">
        <v>218</v>
      </c>
      <c r="E46" s="203">
        <v>46347</v>
      </c>
      <c r="F46" s="173">
        <v>0</v>
      </c>
      <c r="G46" s="249" t="s">
        <v>271</v>
      </c>
      <c r="H46" s="249">
        <v>8034875</v>
      </c>
      <c r="I46" s="249" t="s">
        <v>216</v>
      </c>
      <c r="J46" s="170"/>
      <c r="K46" s="193"/>
      <c r="M46" s="5"/>
      <c r="S46" s="60"/>
      <c r="T46" s="60"/>
      <c r="U46" s="60"/>
      <c r="V46" s="60"/>
    </row>
    <row r="47" spans="1:22" s="143" customFormat="1" x14ac:dyDescent="0.3">
      <c r="A47" s="235" t="s">
        <v>1253</v>
      </c>
      <c r="B47" s="199" t="s">
        <v>190</v>
      </c>
      <c r="C47" s="199" t="s">
        <v>191</v>
      </c>
      <c r="D47" s="200" t="s">
        <v>218</v>
      </c>
      <c r="E47" s="200">
        <v>5900</v>
      </c>
      <c r="F47" s="199">
        <v>0</v>
      </c>
      <c r="G47" s="249" t="s">
        <v>433</v>
      </c>
      <c r="H47" s="249">
        <v>148668630</v>
      </c>
      <c r="I47" s="249" t="s">
        <v>89</v>
      </c>
      <c r="J47" s="170"/>
      <c r="M47" s="5"/>
      <c r="S47" s="60"/>
      <c r="T47" s="60"/>
      <c r="U47" s="60"/>
      <c r="V47" s="60"/>
    </row>
    <row r="48" spans="1:22" s="143" customFormat="1" x14ac:dyDescent="0.3">
      <c r="A48" s="235" t="s">
        <v>1253</v>
      </c>
      <c r="B48" s="199" t="s">
        <v>190</v>
      </c>
      <c r="C48" s="199" t="s">
        <v>191</v>
      </c>
      <c r="D48" s="200" t="s">
        <v>218</v>
      </c>
      <c r="E48" s="200">
        <v>10770</v>
      </c>
      <c r="F48" s="199">
        <v>0</v>
      </c>
      <c r="G48" s="249" t="s">
        <v>267</v>
      </c>
      <c r="H48" s="249">
        <v>66388752</v>
      </c>
      <c r="I48" s="249" t="s">
        <v>268</v>
      </c>
      <c r="J48" s="170"/>
      <c r="M48" s="5"/>
      <c r="S48" s="60"/>
      <c r="T48" s="60"/>
      <c r="U48" s="60"/>
      <c r="V48" s="60"/>
    </row>
    <row r="49" spans="1:22" s="143" customFormat="1" x14ac:dyDescent="0.3">
      <c r="A49" s="235" t="s">
        <v>1253</v>
      </c>
      <c r="B49" s="199" t="s">
        <v>190</v>
      </c>
      <c r="C49" s="199" t="s">
        <v>191</v>
      </c>
      <c r="D49" s="200" t="s">
        <v>218</v>
      </c>
      <c r="E49" s="200">
        <v>31040</v>
      </c>
      <c r="F49" s="199">
        <v>0</v>
      </c>
      <c r="G49" s="249" t="s">
        <v>267</v>
      </c>
      <c r="H49" s="249">
        <v>66388751</v>
      </c>
      <c r="I49" s="249" t="s">
        <v>270</v>
      </c>
      <c r="J49" s="170"/>
      <c r="M49" s="5"/>
      <c r="S49" s="60"/>
      <c r="T49" s="60"/>
      <c r="U49" s="60"/>
      <c r="V49" s="60"/>
    </row>
    <row r="50" spans="1:22" s="143" customFormat="1" x14ac:dyDescent="0.3">
      <c r="A50" s="235" t="s">
        <v>1253</v>
      </c>
      <c r="B50" s="199" t="s">
        <v>190</v>
      </c>
      <c r="C50" s="199" t="s">
        <v>191</v>
      </c>
      <c r="D50" s="200" t="s">
        <v>218</v>
      </c>
      <c r="E50" s="200">
        <v>184725</v>
      </c>
      <c r="F50" s="199">
        <v>0</v>
      </c>
      <c r="G50" s="249" t="s">
        <v>267</v>
      </c>
      <c r="H50" s="249">
        <v>66388750</v>
      </c>
      <c r="I50" s="249" t="s">
        <v>269</v>
      </c>
      <c r="J50" s="170"/>
      <c r="M50" s="5"/>
      <c r="S50" s="60"/>
      <c r="T50" s="60"/>
      <c r="U50" s="60"/>
      <c r="V50" s="60"/>
    </row>
    <row r="51" spans="1:22" s="143" customFormat="1" x14ac:dyDescent="0.3">
      <c r="A51" s="235"/>
      <c r="B51" s="173"/>
      <c r="C51" s="202"/>
      <c r="D51" s="203"/>
      <c r="E51" s="203"/>
      <c r="F51" s="173"/>
      <c r="G51" s="249"/>
      <c r="H51" s="249"/>
      <c r="I51" s="249"/>
      <c r="J51" s="170"/>
      <c r="M51" s="5"/>
      <c r="S51" s="60"/>
      <c r="T51" s="60"/>
      <c r="U51" s="60"/>
      <c r="V51" s="60"/>
    </row>
    <row r="52" spans="1:22" s="143" customFormat="1" x14ac:dyDescent="0.3">
      <c r="A52" s="235"/>
      <c r="B52" s="173"/>
      <c r="C52" s="202"/>
      <c r="D52" s="203"/>
      <c r="E52" s="203"/>
      <c r="F52" s="173"/>
      <c r="G52" s="249"/>
      <c r="H52" s="249"/>
      <c r="I52" s="249"/>
      <c r="J52" s="170"/>
      <c r="M52" s="5"/>
      <c r="S52" s="60"/>
      <c r="T52" s="60"/>
      <c r="U52" s="60"/>
      <c r="V52" s="60"/>
    </row>
    <row r="53" spans="1:22" s="143" customFormat="1" x14ac:dyDescent="0.3">
      <c r="A53" s="235" t="s">
        <v>1239</v>
      </c>
      <c r="B53" s="173" t="s">
        <v>182</v>
      </c>
      <c r="C53" s="202" t="s">
        <v>245</v>
      </c>
      <c r="D53" s="69" t="s">
        <v>218</v>
      </c>
      <c r="E53" s="203">
        <v>0</v>
      </c>
      <c r="F53" s="173">
        <v>2500000</v>
      </c>
      <c r="G53" s="249"/>
      <c r="H53" s="249"/>
      <c r="I53" s="249"/>
      <c r="J53" s="170"/>
      <c r="M53" s="5"/>
      <c r="S53" s="60"/>
      <c r="T53" s="60"/>
      <c r="U53" s="60"/>
      <c r="V53" s="60"/>
    </row>
    <row r="54" spans="1:22" s="143" customFormat="1" x14ac:dyDescent="0.3">
      <c r="A54" s="235" t="s">
        <v>1254</v>
      </c>
      <c r="B54" s="173" t="s">
        <v>182</v>
      </c>
      <c r="C54" s="202" t="s">
        <v>245</v>
      </c>
      <c r="D54" s="69" t="s">
        <v>218</v>
      </c>
      <c r="E54" s="203">
        <v>0</v>
      </c>
      <c r="F54" s="173">
        <v>210000</v>
      </c>
      <c r="G54" s="249"/>
      <c r="H54" s="249"/>
      <c r="I54" s="249"/>
      <c r="J54" s="170"/>
      <c r="M54" s="5"/>
      <c r="S54" s="60"/>
      <c r="T54" s="60"/>
      <c r="U54" s="60"/>
      <c r="V54" s="60"/>
    </row>
    <row r="55" spans="1:22" s="143" customFormat="1" x14ac:dyDescent="0.3">
      <c r="A55" s="235" t="s">
        <v>1252</v>
      </c>
      <c r="B55" s="173" t="s">
        <v>182</v>
      </c>
      <c r="C55" s="202" t="s">
        <v>245</v>
      </c>
      <c r="D55" s="69" t="s">
        <v>218</v>
      </c>
      <c r="E55" s="203">
        <v>0</v>
      </c>
      <c r="F55" s="173">
        <v>400000</v>
      </c>
      <c r="G55" s="249"/>
      <c r="H55" s="249"/>
      <c r="I55" s="249"/>
      <c r="J55" s="170"/>
      <c r="M55" s="5"/>
      <c r="S55" s="60"/>
      <c r="T55" s="60"/>
      <c r="U55" s="60"/>
      <c r="V55" s="60"/>
    </row>
    <row r="56" spans="1:22" s="143" customFormat="1" x14ac:dyDescent="0.3">
      <c r="A56" s="235"/>
      <c r="B56" s="173"/>
      <c r="C56" s="202"/>
      <c r="D56" s="69"/>
      <c r="E56" s="203"/>
      <c r="F56" s="173"/>
      <c r="G56" s="249"/>
      <c r="H56" s="249"/>
      <c r="I56" s="249"/>
      <c r="J56" s="170"/>
      <c r="M56" s="5"/>
      <c r="S56" s="60"/>
      <c r="T56" s="60"/>
      <c r="U56" s="60"/>
      <c r="V56" s="60"/>
    </row>
    <row r="57" spans="1:22" s="143" customFormat="1" x14ac:dyDescent="0.3">
      <c r="A57" s="235"/>
      <c r="B57" s="173"/>
      <c r="C57" s="202"/>
      <c r="D57" s="69"/>
      <c r="E57" s="203"/>
      <c r="F57" s="173"/>
      <c r="G57" s="249"/>
      <c r="H57" s="249"/>
      <c r="I57" s="249"/>
      <c r="J57" s="170"/>
      <c r="M57" s="5"/>
      <c r="S57" s="60"/>
      <c r="T57" s="60"/>
      <c r="U57" s="60"/>
      <c r="V57" s="60"/>
    </row>
    <row r="58" spans="1:22" s="143" customFormat="1" x14ac:dyDescent="0.3">
      <c r="A58" s="235"/>
      <c r="B58" s="173"/>
      <c r="C58" s="202"/>
      <c r="D58" s="69"/>
      <c r="E58" s="203"/>
      <c r="F58" s="173"/>
      <c r="G58" s="249"/>
      <c r="H58" s="249"/>
      <c r="I58" s="249"/>
      <c r="J58" s="170"/>
      <c r="M58" s="5"/>
      <c r="S58" s="60"/>
      <c r="T58" s="60"/>
      <c r="U58" s="60"/>
      <c r="V58" s="60"/>
    </row>
    <row r="59" spans="1:22" s="143" customFormat="1" x14ac:dyDescent="0.3">
      <c r="A59" s="235"/>
      <c r="B59" s="173"/>
      <c r="C59" s="202"/>
      <c r="D59" s="191"/>
      <c r="E59" s="203"/>
      <c r="F59" s="173"/>
      <c r="G59" s="249"/>
      <c r="H59" s="249"/>
      <c r="I59" s="249"/>
      <c r="J59" s="170"/>
      <c r="M59" s="5"/>
      <c r="S59" s="60"/>
      <c r="T59" s="60"/>
      <c r="U59" s="60"/>
      <c r="V59" s="60"/>
    </row>
    <row r="60" spans="1:22" s="143" customFormat="1" x14ac:dyDescent="0.3">
      <c r="A60" s="235"/>
      <c r="B60" s="173"/>
      <c r="C60" s="202"/>
      <c r="D60" s="69"/>
      <c r="E60" s="203"/>
      <c r="F60" s="173"/>
      <c r="G60" s="249"/>
      <c r="H60" s="249"/>
      <c r="I60" s="249"/>
      <c r="J60" s="170"/>
      <c r="M60" s="5"/>
      <c r="S60" s="60"/>
      <c r="T60" s="60"/>
      <c r="U60" s="60"/>
      <c r="V60" s="60"/>
    </row>
    <row r="61" spans="1:22" s="143" customFormat="1" x14ac:dyDescent="0.3">
      <c r="A61" s="173"/>
      <c r="B61" s="173"/>
      <c r="C61" s="202"/>
      <c r="D61" s="69"/>
      <c r="E61" s="203"/>
      <c r="F61" s="173"/>
      <c r="G61" s="249"/>
      <c r="H61" s="249"/>
      <c r="I61" s="249"/>
      <c r="J61" s="170"/>
      <c r="M61" s="5"/>
      <c r="S61" s="60"/>
      <c r="T61" s="60"/>
      <c r="U61" s="60"/>
      <c r="V61" s="60"/>
    </row>
    <row r="62" spans="1:22" s="143" customFormat="1" x14ac:dyDescent="0.3">
      <c r="A62" s="202" t="s">
        <v>1255</v>
      </c>
      <c r="B62" s="173" t="s">
        <v>190</v>
      </c>
      <c r="C62" s="202" t="s">
        <v>219</v>
      </c>
      <c r="D62" s="69">
        <v>30000</v>
      </c>
      <c r="E62" s="203"/>
      <c r="F62" s="173"/>
      <c r="G62" s="249"/>
      <c r="H62" s="249"/>
      <c r="I62" s="249"/>
      <c r="J62" s="170"/>
      <c r="M62" s="5"/>
      <c r="S62" s="60"/>
      <c r="T62" s="60"/>
      <c r="U62" s="60"/>
      <c r="V62" s="60"/>
    </row>
    <row r="63" spans="1:22" s="143" customFormat="1" x14ac:dyDescent="0.3">
      <c r="A63" s="202" t="s">
        <v>1246</v>
      </c>
      <c r="B63" s="173" t="s">
        <v>190</v>
      </c>
      <c r="C63" s="202" t="s">
        <v>219</v>
      </c>
      <c r="D63" s="69">
        <v>30000</v>
      </c>
      <c r="E63" s="203"/>
      <c r="F63" s="173"/>
      <c r="G63" s="249"/>
      <c r="H63" s="249"/>
      <c r="I63" s="249"/>
      <c r="J63" s="170"/>
      <c r="M63" s="5"/>
      <c r="S63" s="60"/>
      <c r="T63" s="60"/>
      <c r="U63" s="60"/>
      <c r="V63" s="60"/>
    </row>
    <row r="64" spans="1:22" s="143" customFormat="1" x14ac:dyDescent="0.3">
      <c r="A64" s="202" t="s">
        <v>1256</v>
      </c>
      <c r="B64" s="173" t="s">
        <v>190</v>
      </c>
      <c r="C64" s="202" t="s">
        <v>219</v>
      </c>
      <c r="D64" s="69">
        <v>100000</v>
      </c>
      <c r="E64" s="203"/>
      <c r="F64" s="173"/>
      <c r="G64" s="249"/>
      <c r="H64" s="249"/>
      <c r="I64" s="249"/>
      <c r="J64" s="170"/>
      <c r="M64" s="5"/>
      <c r="S64" s="60"/>
      <c r="T64" s="60"/>
      <c r="U64" s="60"/>
      <c r="V64" s="60"/>
    </row>
    <row r="65" spans="1:22" s="143" customFormat="1" x14ac:dyDescent="0.3">
      <c r="A65" s="202" t="s">
        <v>1256</v>
      </c>
      <c r="B65" s="173" t="s">
        <v>190</v>
      </c>
      <c r="C65" s="202" t="s">
        <v>219</v>
      </c>
      <c r="D65" s="69">
        <v>30000</v>
      </c>
      <c r="E65" s="203"/>
      <c r="F65" s="173"/>
      <c r="G65" s="249"/>
      <c r="H65" s="249"/>
      <c r="I65" s="249"/>
      <c r="J65" s="170"/>
      <c r="M65" s="5"/>
      <c r="S65" s="60"/>
      <c r="T65" s="60"/>
      <c r="U65" s="60"/>
      <c r="V65" s="60"/>
    </row>
    <row r="66" spans="1:22" s="143" customFormat="1" x14ac:dyDescent="0.3">
      <c r="A66" s="202" t="s">
        <v>1257</v>
      </c>
      <c r="B66" s="173" t="s">
        <v>190</v>
      </c>
      <c r="C66" s="202" t="s">
        <v>219</v>
      </c>
      <c r="D66" s="69">
        <v>30000</v>
      </c>
      <c r="E66" s="203"/>
      <c r="F66" s="173"/>
      <c r="G66" s="249"/>
      <c r="H66" s="249"/>
      <c r="I66" s="249"/>
      <c r="J66" s="170"/>
      <c r="M66" s="5"/>
      <c r="S66" s="60"/>
      <c r="T66" s="60"/>
      <c r="U66" s="60"/>
      <c r="V66" s="60"/>
    </row>
    <row r="67" spans="1:22" s="143" customFormat="1" x14ac:dyDescent="0.3">
      <c r="A67" s="202" t="s">
        <v>1250</v>
      </c>
      <c r="B67" s="173" t="s">
        <v>190</v>
      </c>
      <c r="C67" s="202" t="s">
        <v>219</v>
      </c>
      <c r="D67" s="191">
        <v>200000</v>
      </c>
      <c r="E67" s="203"/>
      <c r="F67" s="173"/>
      <c r="G67" s="249"/>
      <c r="H67" s="249"/>
      <c r="I67" s="249"/>
      <c r="J67" s="170"/>
      <c r="M67" s="5"/>
      <c r="S67" s="60"/>
      <c r="T67" s="60"/>
      <c r="U67" s="60"/>
      <c r="V67" s="60"/>
    </row>
    <row r="68" spans="1:22" s="143" customFormat="1" x14ac:dyDescent="0.3">
      <c r="A68" s="202" t="s">
        <v>1250</v>
      </c>
      <c r="B68" s="173" t="s">
        <v>190</v>
      </c>
      <c r="C68" s="202" t="s">
        <v>219</v>
      </c>
      <c r="D68" s="191">
        <v>30000</v>
      </c>
      <c r="E68" s="203"/>
      <c r="F68" s="173"/>
      <c r="G68" s="249"/>
      <c r="H68" s="249"/>
      <c r="I68" s="249"/>
      <c r="J68" s="170"/>
      <c r="M68" s="5"/>
      <c r="S68" s="60"/>
      <c r="T68" s="60"/>
      <c r="U68" s="60"/>
      <c r="V68" s="60"/>
    </row>
    <row r="69" spans="1:22" s="143" customFormat="1" x14ac:dyDescent="0.3">
      <c r="A69" s="173" t="s">
        <v>1254</v>
      </c>
      <c r="B69" s="173" t="s">
        <v>190</v>
      </c>
      <c r="C69" s="202" t="s">
        <v>219</v>
      </c>
      <c r="D69" s="191">
        <v>30000</v>
      </c>
      <c r="E69" s="203"/>
      <c r="F69" s="173"/>
      <c r="G69" s="249"/>
      <c r="H69" s="249"/>
      <c r="I69" s="249"/>
      <c r="J69" s="170"/>
      <c r="M69" s="5"/>
      <c r="S69" s="60"/>
      <c r="T69" s="60"/>
      <c r="U69" s="60"/>
      <c r="V69" s="60"/>
    </row>
    <row r="70" spans="1:22" s="143" customFormat="1" x14ac:dyDescent="0.3">
      <c r="A70" s="173" t="s">
        <v>1253</v>
      </c>
      <c r="B70" s="173" t="s">
        <v>190</v>
      </c>
      <c r="C70" s="202" t="s">
        <v>219</v>
      </c>
      <c r="D70" s="191">
        <v>200000</v>
      </c>
      <c r="E70" s="203"/>
      <c r="F70" s="173"/>
      <c r="G70" s="249"/>
      <c r="H70" s="249"/>
      <c r="I70" s="249"/>
      <c r="J70" s="170"/>
      <c r="M70" s="5"/>
      <c r="S70" s="60"/>
      <c r="T70" s="60"/>
      <c r="U70" s="60"/>
      <c r="V70" s="60"/>
    </row>
    <row r="71" spans="1:22" s="143" customFormat="1" x14ac:dyDescent="0.3">
      <c r="A71" s="173" t="s">
        <v>1253</v>
      </c>
      <c r="B71" s="173" t="s">
        <v>190</v>
      </c>
      <c r="C71" s="202" t="s">
        <v>219</v>
      </c>
      <c r="D71" s="191">
        <v>30000</v>
      </c>
      <c r="E71" s="203"/>
      <c r="F71" s="173"/>
      <c r="G71" s="249"/>
      <c r="H71" s="249"/>
      <c r="I71" s="249"/>
      <c r="J71" s="170"/>
      <c r="M71" s="5"/>
      <c r="S71" s="60"/>
      <c r="T71" s="60"/>
      <c r="U71" s="60"/>
      <c r="V71" s="60"/>
    </row>
    <row r="72" spans="1:22" s="143" customFormat="1" x14ac:dyDescent="0.3">
      <c r="A72" s="173"/>
      <c r="B72" s="173"/>
      <c r="C72" s="202"/>
      <c r="D72" s="191"/>
      <c r="E72" s="203"/>
      <c r="F72" s="173"/>
      <c r="G72" s="249"/>
      <c r="H72" s="249"/>
      <c r="I72" s="249"/>
      <c r="J72" s="170"/>
      <c r="M72" s="5"/>
      <c r="S72" s="60"/>
      <c r="T72" s="60"/>
      <c r="U72" s="60"/>
      <c r="V72" s="60"/>
    </row>
    <row r="73" spans="1:22" s="143" customFormat="1" x14ac:dyDescent="0.3">
      <c r="A73" s="173"/>
      <c r="B73" s="173"/>
      <c r="C73" s="202"/>
      <c r="D73" s="191"/>
      <c r="E73" s="203"/>
      <c r="F73" s="173"/>
      <c r="G73" s="249"/>
      <c r="H73" s="249"/>
      <c r="I73" s="249"/>
      <c r="J73" s="170"/>
      <c r="K73" s="5"/>
      <c r="M73" s="5"/>
      <c r="S73" s="60"/>
      <c r="T73" s="60"/>
      <c r="U73" s="60"/>
      <c r="V73" s="60"/>
    </row>
    <row r="74" spans="1:22" s="143" customFormat="1" x14ac:dyDescent="0.3">
      <c r="A74" s="202">
        <v>43017</v>
      </c>
      <c r="B74" s="173"/>
      <c r="C74" s="202" t="s">
        <v>1258</v>
      </c>
      <c r="D74" s="191"/>
      <c r="E74" s="203">
        <v>28560</v>
      </c>
      <c r="F74" s="173">
        <v>710000</v>
      </c>
      <c r="G74" s="249" t="s">
        <v>1259</v>
      </c>
      <c r="H74" s="249">
        <v>349</v>
      </c>
      <c r="I74" s="249" t="s">
        <v>89</v>
      </c>
      <c r="J74" s="251"/>
      <c r="K74" s="5"/>
      <c r="M74" s="5"/>
      <c r="S74" s="60"/>
      <c r="T74" s="60"/>
      <c r="U74" s="60"/>
      <c r="V74" s="60"/>
    </row>
    <row r="75" spans="1:22" s="143" customFormat="1" x14ac:dyDescent="0.3">
      <c r="A75" s="202">
        <v>43009</v>
      </c>
      <c r="B75" s="173"/>
      <c r="C75" s="202" t="s">
        <v>1260</v>
      </c>
      <c r="D75" s="191"/>
      <c r="E75" s="203">
        <v>30000</v>
      </c>
      <c r="F75" s="173"/>
      <c r="G75" s="249" t="s">
        <v>1261</v>
      </c>
      <c r="H75" s="249"/>
      <c r="I75" s="249" t="s">
        <v>121</v>
      </c>
      <c r="J75" s="251"/>
      <c r="K75" s="5"/>
      <c r="M75" s="5"/>
      <c r="S75" s="60"/>
      <c r="T75" s="60"/>
      <c r="U75" s="60"/>
      <c r="V75" s="60"/>
    </row>
    <row r="76" spans="1:22" s="143" customFormat="1" x14ac:dyDescent="0.3">
      <c r="A76" s="202">
        <v>43019</v>
      </c>
      <c r="B76" s="173"/>
      <c r="C76" s="202" t="s">
        <v>589</v>
      </c>
      <c r="D76" s="191"/>
      <c r="E76" s="203">
        <v>58710</v>
      </c>
      <c r="F76" s="173"/>
      <c r="G76" s="249" t="s">
        <v>436</v>
      </c>
      <c r="H76" s="249">
        <v>7930928</v>
      </c>
      <c r="I76" s="249" t="s">
        <v>89</v>
      </c>
      <c r="J76" s="251"/>
      <c r="K76" s="5"/>
      <c r="M76" s="5"/>
      <c r="S76" s="60"/>
      <c r="T76" s="60"/>
      <c r="U76" s="60"/>
      <c r="V76" s="60"/>
    </row>
    <row r="77" spans="1:22" s="143" customFormat="1" x14ac:dyDescent="0.3">
      <c r="A77" s="202">
        <v>43031</v>
      </c>
      <c r="B77" s="173"/>
      <c r="C77" s="202" t="s">
        <v>433</v>
      </c>
      <c r="D77" s="191"/>
      <c r="E77" s="203">
        <v>19229</v>
      </c>
      <c r="F77" s="173"/>
      <c r="G77" s="249" t="s">
        <v>433</v>
      </c>
      <c r="H77" s="249">
        <v>86613555</v>
      </c>
      <c r="I77" s="249" t="s">
        <v>89</v>
      </c>
      <c r="J77" s="251"/>
      <c r="K77" s="5"/>
      <c r="M77" s="5"/>
      <c r="S77" s="60"/>
      <c r="T77" s="60"/>
      <c r="U77" s="60"/>
      <c r="V77" s="60"/>
    </row>
    <row r="78" spans="1:22" s="143" customFormat="1" x14ac:dyDescent="0.3">
      <c r="A78" s="202">
        <v>43031</v>
      </c>
      <c r="B78" s="173"/>
      <c r="C78" s="202" t="s">
        <v>1262</v>
      </c>
      <c r="D78" s="191"/>
      <c r="E78" s="203">
        <v>37977</v>
      </c>
      <c r="F78" s="173"/>
      <c r="G78" s="249" t="s">
        <v>267</v>
      </c>
      <c r="H78" s="249">
        <v>66358133</v>
      </c>
      <c r="I78" s="249" t="s">
        <v>270</v>
      </c>
      <c r="J78" s="250"/>
      <c r="K78" s="5"/>
      <c r="M78" s="5"/>
      <c r="S78" s="60"/>
      <c r="T78" s="60"/>
      <c r="U78" s="60"/>
      <c r="V78" s="60"/>
    </row>
    <row r="79" spans="1:22" s="143" customFormat="1" x14ac:dyDescent="0.3">
      <c r="A79" s="202">
        <v>43031</v>
      </c>
      <c r="B79" s="173"/>
      <c r="C79" s="202" t="s">
        <v>1262</v>
      </c>
      <c r="D79" s="203"/>
      <c r="E79" s="203">
        <v>6020</v>
      </c>
      <c r="F79" s="173"/>
      <c r="G79" s="249" t="s">
        <v>267</v>
      </c>
      <c r="H79" s="249">
        <v>66358134</v>
      </c>
      <c r="I79" s="249" t="s">
        <v>268</v>
      </c>
      <c r="J79" s="250"/>
      <c r="K79" s="5"/>
      <c r="M79" s="5"/>
      <c r="S79" s="60"/>
      <c r="T79" s="60"/>
      <c r="U79" s="60"/>
      <c r="V79" s="60"/>
    </row>
    <row r="80" spans="1:22" s="143" customFormat="1" x14ac:dyDescent="0.3">
      <c r="A80" s="202">
        <v>43031</v>
      </c>
      <c r="B80" s="173"/>
      <c r="C80" s="202" t="s">
        <v>203</v>
      </c>
      <c r="D80" s="203"/>
      <c r="E80" s="203">
        <v>20000</v>
      </c>
      <c r="F80" s="173"/>
      <c r="G80" s="249" t="s">
        <v>203</v>
      </c>
      <c r="H80" s="249">
        <v>26951</v>
      </c>
      <c r="I80" s="249" t="s">
        <v>266</v>
      </c>
      <c r="J80" s="250"/>
      <c r="K80" s="5"/>
      <c r="M80" s="5"/>
      <c r="S80" s="60"/>
      <c r="T80" s="60"/>
      <c r="U80" s="60"/>
      <c r="V80" s="60"/>
    </row>
    <row r="81" spans="1:22" s="143" customFormat="1" x14ac:dyDescent="0.3">
      <c r="A81" s="202">
        <v>43032</v>
      </c>
      <c r="B81" s="173"/>
      <c r="C81" s="202" t="s">
        <v>1240</v>
      </c>
      <c r="D81" s="203"/>
      <c r="E81" s="203">
        <v>66750</v>
      </c>
      <c r="F81" s="173"/>
      <c r="G81" s="249" t="s">
        <v>1240</v>
      </c>
      <c r="H81" s="249">
        <v>12824</v>
      </c>
      <c r="I81" s="249" t="s">
        <v>269</v>
      </c>
      <c r="J81" s="250"/>
      <c r="K81" s="5"/>
      <c r="M81" s="5"/>
      <c r="S81" s="60"/>
      <c r="T81" s="60"/>
      <c r="U81" s="60"/>
      <c r="V81" s="60"/>
    </row>
    <row r="82" spans="1:22" s="143" customFormat="1" x14ac:dyDescent="0.3">
      <c r="A82" s="202">
        <v>43032</v>
      </c>
      <c r="B82" s="173"/>
      <c r="C82" s="202" t="s">
        <v>1240</v>
      </c>
      <c r="D82" s="203"/>
      <c r="E82" s="203">
        <v>30260</v>
      </c>
      <c r="F82" s="173"/>
      <c r="G82" s="249" t="s">
        <v>1240</v>
      </c>
      <c r="H82" s="249">
        <v>12825</v>
      </c>
      <c r="I82" s="249" t="s">
        <v>270</v>
      </c>
      <c r="J82" s="250"/>
      <c r="K82" s="5"/>
      <c r="M82" s="5"/>
      <c r="S82" s="60"/>
      <c r="T82" s="60"/>
      <c r="U82" s="60"/>
      <c r="V82" s="60"/>
    </row>
    <row r="83" spans="1:22" s="143" customFormat="1" x14ac:dyDescent="0.3">
      <c r="A83" s="202">
        <v>43039</v>
      </c>
      <c r="B83" s="173"/>
      <c r="C83" s="202" t="s">
        <v>366</v>
      </c>
      <c r="D83" s="203"/>
      <c r="E83" s="203">
        <v>57977</v>
      </c>
      <c r="F83" s="173"/>
      <c r="G83" s="249" t="s">
        <v>366</v>
      </c>
      <c r="H83" s="249">
        <v>543</v>
      </c>
      <c r="I83" s="249" t="s">
        <v>269</v>
      </c>
      <c r="J83" s="250"/>
      <c r="K83" s="5"/>
      <c r="M83" s="5"/>
      <c r="S83" s="60"/>
      <c r="T83" s="60"/>
      <c r="U83" s="60"/>
      <c r="V83" s="60"/>
    </row>
    <row r="84" spans="1:22" s="143" customFormat="1" x14ac:dyDescent="0.3">
      <c r="A84" s="202">
        <v>43039</v>
      </c>
      <c r="B84" s="173"/>
      <c r="C84" s="202" t="s">
        <v>589</v>
      </c>
      <c r="D84" s="203"/>
      <c r="E84" s="203">
        <v>20990</v>
      </c>
      <c r="F84" s="173"/>
      <c r="G84" s="249" t="s">
        <v>436</v>
      </c>
      <c r="H84" s="249">
        <v>7962871</v>
      </c>
      <c r="I84" s="249" t="s">
        <v>89</v>
      </c>
      <c r="J84" s="250"/>
      <c r="K84" s="5"/>
      <c r="M84" s="5"/>
      <c r="S84" s="60"/>
      <c r="T84" s="60"/>
      <c r="U84" s="60"/>
      <c r="V84" s="60"/>
    </row>
    <row r="85" spans="1:22" s="143" customFormat="1" x14ac:dyDescent="0.3">
      <c r="A85" s="202">
        <v>43011</v>
      </c>
      <c r="B85" s="173"/>
      <c r="C85" s="202" t="s">
        <v>1263</v>
      </c>
      <c r="D85" s="203"/>
      <c r="E85" s="203">
        <v>1000</v>
      </c>
      <c r="F85" s="173"/>
      <c r="G85" s="249" t="s">
        <v>1264</v>
      </c>
      <c r="H85" s="249">
        <v>60147</v>
      </c>
      <c r="I85" s="249" t="s">
        <v>270</v>
      </c>
      <c r="J85" s="250"/>
      <c r="K85" s="5"/>
      <c r="M85" s="5"/>
      <c r="S85" s="60"/>
      <c r="T85" s="60"/>
      <c r="U85" s="60"/>
      <c r="V85" s="60"/>
    </row>
    <row r="86" spans="1:22" s="143" customFormat="1" x14ac:dyDescent="0.3">
      <c r="A86" s="202">
        <v>43012</v>
      </c>
      <c r="B86" s="173"/>
      <c r="C86" s="202" t="s">
        <v>581</v>
      </c>
      <c r="D86" s="203" t="s">
        <v>1265</v>
      </c>
      <c r="E86" s="203">
        <v>3000</v>
      </c>
      <c r="F86" s="173"/>
      <c r="G86" s="249" t="s">
        <v>581</v>
      </c>
      <c r="H86" s="249">
        <v>84013</v>
      </c>
      <c r="I86" s="249" t="s">
        <v>89</v>
      </c>
      <c r="J86" s="250"/>
      <c r="K86" s="5"/>
      <c r="M86" s="5"/>
      <c r="S86" s="60"/>
      <c r="T86" s="60"/>
      <c r="U86" s="60"/>
      <c r="V86" s="60"/>
    </row>
    <row r="87" spans="1:22" s="143" customFormat="1" x14ac:dyDescent="0.3">
      <c r="A87" s="202">
        <v>43010</v>
      </c>
      <c r="B87" s="173"/>
      <c r="C87" s="202" t="s">
        <v>582</v>
      </c>
      <c r="D87" s="203"/>
      <c r="E87" s="203">
        <v>1000</v>
      </c>
      <c r="F87" s="173"/>
      <c r="G87" s="249" t="s">
        <v>434</v>
      </c>
      <c r="H87" s="249">
        <v>251875</v>
      </c>
      <c r="I87" s="249" t="s">
        <v>89</v>
      </c>
      <c r="J87" s="250"/>
      <c r="K87" s="5"/>
      <c r="M87" s="5"/>
      <c r="S87" s="60"/>
      <c r="T87" s="60"/>
      <c r="U87" s="60"/>
      <c r="V87" s="60"/>
    </row>
    <row r="88" spans="1:22" s="143" customFormat="1" x14ac:dyDescent="0.3">
      <c r="A88" s="202">
        <v>43010</v>
      </c>
      <c r="B88" s="173"/>
      <c r="C88" s="202" t="s">
        <v>584</v>
      </c>
      <c r="D88" s="203"/>
      <c r="E88" s="203">
        <v>800</v>
      </c>
      <c r="F88" s="173"/>
      <c r="G88" s="249" t="s">
        <v>1266</v>
      </c>
      <c r="H88" s="249">
        <v>2209049</v>
      </c>
      <c r="I88" s="249" t="s">
        <v>89</v>
      </c>
      <c r="J88" s="250"/>
      <c r="K88" s="5"/>
      <c r="M88" s="5"/>
      <c r="S88" s="60"/>
      <c r="T88" s="60"/>
      <c r="U88" s="60"/>
      <c r="V88" s="60"/>
    </row>
    <row r="89" spans="1:22" s="143" customFormat="1" x14ac:dyDescent="0.3">
      <c r="A89" s="202">
        <v>43010</v>
      </c>
      <c r="B89" s="173"/>
      <c r="C89" s="202" t="s">
        <v>586</v>
      </c>
      <c r="D89" s="203"/>
      <c r="E89" s="203">
        <v>1800</v>
      </c>
      <c r="F89" s="173"/>
      <c r="G89" s="249" t="s">
        <v>435</v>
      </c>
      <c r="H89" s="249">
        <v>561941</v>
      </c>
      <c r="I89" s="249" t="s">
        <v>89</v>
      </c>
      <c r="J89" s="250"/>
      <c r="K89" s="5"/>
      <c r="M89" s="5"/>
      <c r="S89" s="60"/>
      <c r="T89" s="60"/>
      <c r="U89" s="60"/>
      <c r="V89" s="60"/>
    </row>
    <row r="90" spans="1:22" s="143" customFormat="1" x14ac:dyDescent="0.3">
      <c r="A90" s="202">
        <v>43018</v>
      </c>
      <c r="B90" s="173"/>
      <c r="C90" s="202" t="s">
        <v>1267</v>
      </c>
      <c r="D90" s="203" t="s">
        <v>1268</v>
      </c>
      <c r="E90" s="203">
        <v>1000</v>
      </c>
      <c r="F90" s="173"/>
      <c r="G90" s="249" t="s">
        <v>434</v>
      </c>
      <c r="H90" s="249">
        <v>150312</v>
      </c>
      <c r="I90" s="249" t="s">
        <v>269</v>
      </c>
      <c r="J90" s="250"/>
      <c r="K90" s="5"/>
      <c r="M90" s="5"/>
      <c r="S90" s="60"/>
      <c r="T90" s="60"/>
      <c r="U90" s="60"/>
      <c r="V90" s="60"/>
    </row>
    <row r="91" spans="1:22" s="143" customFormat="1" x14ac:dyDescent="0.3">
      <c r="A91" s="202">
        <v>43018</v>
      </c>
      <c r="B91" s="173"/>
      <c r="C91" s="202" t="s">
        <v>582</v>
      </c>
      <c r="D91" s="203"/>
      <c r="E91" s="203">
        <v>1000</v>
      </c>
      <c r="F91" s="173"/>
      <c r="G91" s="249" t="s">
        <v>434</v>
      </c>
      <c r="H91" s="249">
        <v>257327</v>
      </c>
      <c r="I91" s="249" t="s">
        <v>89</v>
      </c>
      <c r="J91" s="250"/>
      <c r="K91" s="5"/>
      <c r="M91" s="5"/>
      <c r="S91" s="60"/>
      <c r="T91" s="60"/>
      <c r="U91" s="60"/>
      <c r="V91" s="60"/>
    </row>
    <row r="92" spans="1:22" s="143" customFormat="1" x14ac:dyDescent="0.3">
      <c r="A92" s="202">
        <v>43018</v>
      </c>
      <c r="B92" s="173"/>
      <c r="C92" s="202" t="s">
        <v>586</v>
      </c>
      <c r="D92" s="203"/>
      <c r="E92" s="203">
        <v>2800</v>
      </c>
      <c r="F92" s="173"/>
      <c r="G92" s="249" t="s">
        <v>435</v>
      </c>
      <c r="H92" s="249">
        <v>564851</v>
      </c>
      <c r="I92" s="249" t="s">
        <v>89</v>
      </c>
      <c r="J92" s="250"/>
      <c r="K92" s="5"/>
      <c r="M92" s="5"/>
      <c r="S92" s="60"/>
      <c r="T92" s="60"/>
      <c r="U92" s="60"/>
      <c r="V92" s="60"/>
    </row>
    <row r="93" spans="1:22" s="143" customFormat="1" x14ac:dyDescent="0.3">
      <c r="A93" s="202">
        <v>43017</v>
      </c>
      <c r="B93" s="173"/>
      <c r="C93" s="202" t="s">
        <v>410</v>
      </c>
      <c r="D93" s="203"/>
      <c r="E93" s="203">
        <v>8457</v>
      </c>
      <c r="F93" s="173"/>
      <c r="G93" s="249" t="s">
        <v>410</v>
      </c>
      <c r="H93" s="249">
        <v>5176</v>
      </c>
      <c r="I93" s="249" t="s">
        <v>269</v>
      </c>
      <c r="J93" s="250"/>
      <c r="K93" s="5"/>
      <c r="M93" s="5"/>
      <c r="S93" s="60"/>
      <c r="T93" s="60"/>
      <c r="U93" s="60"/>
      <c r="V93" s="60"/>
    </row>
    <row r="94" spans="1:22" s="143" customFormat="1" x14ac:dyDescent="0.3">
      <c r="A94" s="202">
        <v>43017</v>
      </c>
      <c r="B94" s="173"/>
      <c r="C94" s="202" t="s">
        <v>410</v>
      </c>
      <c r="D94" s="203"/>
      <c r="E94" s="203">
        <v>2363</v>
      </c>
      <c r="F94" s="173"/>
      <c r="G94" s="249" t="s">
        <v>410</v>
      </c>
      <c r="H94" s="249">
        <v>5124</v>
      </c>
      <c r="I94" s="249" t="s">
        <v>270</v>
      </c>
      <c r="J94" s="250"/>
      <c r="K94" s="5"/>
      <c r="M94" s="5"/>
      <c r="S94" s="60"/>
      <c r="T94" s="60"/>
      <c r="U94" s="60"/>
      <c r="V94" s="60"/>
    </row>
    <row r="95" spans="1:22" s="143" customFormat="1" x14ac:dyDescent="0.3">
      <c r="A95" s="202">
        <v>43022</v>
      </c>
      <c r="B95" s="173"/>
      <c r="C95" s="202" t="s">
        <v>1269</v>
      </c>
      <c r="D95" s="203"/>
      <c r="E95" s="203">
        <v>1600</v>
      </c>
      <c r="F95" s="173"/>
      <c r="G95" s="249" t="s">
        <v>1270</v>
      </c>
      <c r="H95" s="249">
        <v>303026</v>
      </c>
      <c r="I95" s="249" t="s">
        <v>89</v>
      </c>
      <c r="J95" s="250"/>
      <c r="K95" s="5"/>
      <c r="M95" s="5"/>
      <c r="S95" s="60"/>
      <c r="T95" s="60"/>
      <c r="U95" s="60"/>
      <c r="V95" s="60"/>
    </row>
    <row r="96" spans="1:22" s="143" customFormat="1" x14ac:dyDescent="0.3">
      <c r="A96" s="202">
        <v>43024</v>
      </c>
      <c r="B96" s="173"/>
      <c r="C96" s="202" t="s">
        <v>582</v>
      </c>
      <c r="D96" s="203"/>
      <c r="E96" s="203">
        <v>1000</v>
      </c>
      <c r="F96" s="173"/>
      <c r="G96" s="249" t="s">
        <v>434</v>
      </c>
      <c r="H96" s="249">
        <v>261709</v>
      </c>
      <c r="I96" s="249" t="s">
        <v>89</v>
      </c>
      <c r="J96" s="250"/>
      <c r="K96" s="5"/>
      <c r="M96" s="5"/>
      <c r="S96" s="60"/>
      <c r="T96" s="60"/>
      <c r="U96" s="60"/>
      <c r="V96" s="60"/>
    </row>
    <row r="97" spans="1:22" s="143" customFormat="1" x14ac:dyDescent="0.3">
      <c r="A97" s="202">
        <v>43024</v>
      </c>
      <c r="B97" s="173"/>
      <c r="C97" s="202" t="s">
        <v>585</v>
      </c>
      <c r="D97" s="203"/>
      <c r="E97" s="203">
        <v>5000</v>
      </c>
      <c r="F97" s="173"/>
      <c r="G97" s="249" t="s">
        <v>1266</v>
      </c>
      <c r="H97" s="249"/>
      <c r="I97" s="249" t="s">
        <v>89</v>
      </c>
      <c r="J97" s="250"/>
      <c r="K97" s="5"/>
      <c r="M97" s="5"/>
      <c r="S97" s="60"/>
      <c r="T97" s="60"/>
      <c r="U97" s="60"/>
      <c r="V97" s="60"/>
    </row>
    <row r="98" spans="1:22" s="143" customFormat="1" x14ac:dyDescent="0.3">
      <c r="A98" s="202">
        <v>43024</v>
      </c>
      <c r="B98" s="173"/>
      <c r="C98" s="202" t="s">
        <v>584</v>
      </c>
      <c r="D98" s="203"/>
      <c r="E98" s="203">
        <v>800</v>
      </c>
      <c r="F98" s="173"/>
      <c r="G98" s="249" t="s">
        <v>1266</v>
      </c>
      <c r="H98" s="249">
        <v>55857</v>
      </c>
      <c r="I98" s="249" t="s">
        <v>89</v>
      </c>
      <c r="J98" s="250"/>
      <c r="K98" s="5"/>
      <c r="M98" s="5"/>
      <c r="S98" s="60"/>
      <c r="T98" s="60"/>
      <c r="U98" s="60"/>
      <c r="V98" s="60"/>
    </row>
    <row r="99" spans="1:22" s="143" customFormat="1" x14ac:dyDescent="0.3">
      <c r="A99" s="202">
        <v>43024</v>
      </c>
      <c r="B99" s="173"/>
      <c r="C99" s="202" t="s">
        <v>586</v>
      </c>
      <c r="D99" s="203"/>
      <c r="E99" s="203">
        <v>2200</v>
      </c>
      <c r="F99" s="173"/>
      <c r="G99" s="249" t="s">
        <v>435</v>
      </c>
      <c r="H99" s="249">
        <v>174309</v>
      </c>
      <c r="I99" s="249" t="s">
        <v>89</v>
      </c>
      <c r="J99" s="250"/>
      <c r="K99" s="5"/>
      <c r="M99" s="5"/>
      <c r="S99" s="60"/>
      <c r="T99" s="60"/>
      <c r="U99" s="60"/>
      <c r="V99" s="60"/>
    </row>
    <row r="100" spans="1:22" s="143" customFormat="1" x14ac:dyDescent="0.3">
      <c r="A100" s="202">
        <v>43025</v>
      </c>
      <c r="B100" s="173"/>
      <c r="C100" s="202" t="s">
        <v>1263</v>
      </c>
      <c r="D100" s="203"/>
      <c r="E100" s="203">
        <v>1000</v>
      </c>
      <c r="F100" s="173"/>
      <c r="G100" s="249" t="s">
        <v>1264</v>
      </c>
      <c r="H100" s="249">
        <v>60544</v>
      </c>
      <c r="I100" s="249" t="s">
        <v>270</v>
      </c>
      <c r="J100" s="250"/>
      <c r="K100" s="5"/>
      <c r="M100" s="5"/>
      <c r="S100" s="60"/>
      <c r="T100" s="60"/>
      <c r="U100" s="60"/>
      <c r="V100" s="60"/>
    </row>
    <row r="101" spans="1:22" s="143" customFormat="1" x14ac:dyDescent="0.3">
      <c r="A101" s="202">
        <v>43026</v>
      </c>
      <c r="B101" s="173"/>
      <c r="C101" s="202" t="s">
        <v>584</v>
      </c>
      <c r="D101" s="203"/>
      <c r="E101" s="203">
        <v>1910</v>
      </c>
      <c r="F101" s="173"/>
      <c r="G101" s="249" t="s">
        <v>1266</v>
      </c>
      <c r="H101" s="249">
        <v>20842</v>
      </c>
      <c r="I101" s="249" t="s">
        <v>89</v>
      </c>
      <c r="J101" s="250"/>
      <c r="K101" s="5"/>
      <c r="M101" s="5"/>
      <c r="S101" s="60"/>
      <c r="T101" s="60"/>
      <c r="U101" s="60"/>
      <c r="V101" s="60"/>
    </row>
    <row r="102" spans="1:22" s="143" customFormat="1" x14ac:dyDescent="0.3">
      <c r="A102" s="202">
        <v>43026</v>
      </c>
      <c r="B102" s="173"/>
      <c r="C102" s="202" t="s">
        <v>588</v>
      </c>
      <c r="D102" s="203"/>
      <c r="E102" s="203">
        <v>890</v>
      </c>
      <c r="F102" s="173"/>
      <c r="G102" s="249" t="s">
        <v>1271</v>
      </c>
      <c r="H102" s="249">
        <v>8981</v>
      </c>
      <c r="I102" s="249" t="s">
        <v>89</v>
      </c>
      <c r="J102" s="250"/>
      <c r="K102" s="5"/>
      <c r="M102" s="5"/>
      <c r="S102" s="60"/>
      <c r="T102" s="60"/>
      <c r="U102" s="60"/>
      <c r="V102" s="60"/>
    </row>
    <row r="103" spans="1:22" s="143" customFormat="1" x14ac:dyDescent="0.3">
      <c r="A103" s="202">
        <v>43027</v>
      </c>
      <c r="B103" s="173"/>
      <c r="C103" s="202" t="s">
        <v>1272</v>
      </c>
      <c r="D103" s="203"/>
      <c r="E103" s="203">
        <v>15000</v>
      </c>
      <c r="F103" s="173"/>
      <c r="G103" s="249" t="s">
        <v>1273</v>
      </c>
      <c r="H103" s="249">
        <v>3457</v>
      </c>
      <c r="I103" s="249" t="s">
        <v>89</v>
      </c>
      <c r="J103" s="250"/>
      <c r="K103" s="5"/>
      <c r="M103" s="5"/>
      <c r="S103" s="60"/>
      <c r="T103" s="60"/>
      <c r="U103" s="60"/>
      <c r="V103" s="60"/>
    </row>
    <row r="104" spans="1:22" s="143" customFormat="1" x14ac:dyDescent="0.3">
      <c r="A104" s="202">
        <v>43031</v>
      </c>
      <c r="B104" s="173"/>
      <c r="C104" s="202" t="s">
        <v>586</v>
      </c>
      <c r="D104" s="203"/>
      <c r="E104" s="203">
        <v>2800</v>
      </c>
      <c r="F104" s="173"/>
      <c r="G104" s="249" t="s">
        <v>435</v>
      </c>
      <c r="H104" s="249">
        <v>403288</v>
      </c>
      <c r="I104" s="249" t="s">
        <v>89</v>
      </c>
      <c r="J104" s="250"/>
      <c r="K104" s="5"/>
      <c r="M104" s="5"/>
      <c r="S104" s="60"/>
      <c r="T104" s="60"/>
      <c r="U104" s="60"/>
      <c r="V104" s="60"/>
    </row>
    <row r="105" spans="1:22" s="143" customFormat="1" x14ac:dyDescent="0.3">
      <c r="A105" s="202">
        <v>43029</v>
      </c>
      <c r="B105" s="173"/>
      <c r="C105" s="202" t="s">
        <v>1274</v>
      </c>
      <c r="D105" s="203"/>
      <c r="E105" s="203">
        <v>14900</v>
      </c>
      <c r="F105" s="173"/>
      <c r="G105" s="249" t="s">
        <v>1275</v>
      </c>
      <c r="H105" s="249">
        <v>1816</v>
      </c>
      <c r="I105" s="249" t="s">
        <v>269</v>
      </c>
      <c r="J105" s="250"/>
      <c r="K105" s="5"/>
      <c r="M105" s="5"/>
      <c r="S105" s="60"/>
      <c r="T105" s="60"/>
      <c r="U105" s="60"/>
      <c r="V105" s="60"/>
    </row>
    <row r="106" spans="1:22" s="143" customFormat="1" x14ac:dyDescent="0.3">
      <c r="A106" s="202">
        <v>43032</v>
      </c>
      <c r="B106" s="173"/>
      <c r="C106" s="202" t="s">
        <v>582</v>
      </c>
      <c r="D106" s="203"/>
      <c r="E106" s="203">
        <v>1000</v>
      </c>
      <c r="F106" s="173"/>
      <c r="G106" s="249" t="s">
        <v>434</v>
      </c>
      <c r="H106" s="249">
        <v>267559</v>
      </c>
      <c r="I106" s="249" t="s">
        <v>89</v>
      </c>
      <c r="J106" s="250"/>
      <c r="K106" s="5"/>
      <c r="M106" s="5"/>
      <c r="S106" s="60"/>
      <c r="T106" s="60"/>
      <c r="U106" s="60"/>
      <c r="V106" s="60"/>
    </row>
    <row r="107" spans="1:22" s="143" customFormat="1" x14ac:dyDescent="0.3">
      <c r="A107" s="202">
        <v>43032</v>
      </c>
      <c r="B107" s="173"/>
      <c r="C107" s="202" t="s">
        <v>586</v>
      </c>
      <c r="D107" s="203"/>
      <c r="E107" s="203">
        <v>2000</v>
      </c>
      <c r="F107" s="173"/>
      <c r="G107" s="249" t="s">
        <v>435</v>
      </c>
      <c r="H107" s="249">
        <v>403370</v>
      </c>
      <c r="I107" s="249" t="s">
        <v>89</v>
      </c>
      <c r="J107" s="250"/>
      <c r="K107" s="5"/>
      <c r="M107" s="5"/>
      <c r="S107" s="60"/>
      <c r="T107" s="60"/>
      <c r="U107" s="60"/>
      <c r="V107" s="60"/>
    </row>
    <row r="108" spans="1:22" s="143" customFormat="1" x14ac:dyDescent="0.3">
      <c r="A108" s="202">
        <v>43033</v>
      </c>
      <c r="B108" s="173"/>
      <c r="C108" s="202" t="s">
        <v>1276</v>
      </c>
      <c r="D108" s="203"/>
      <c r="E108" s="203">
        <v>5000</v>
      </c>
      <c r="F108" s="173"/>
      <c r="G108" s="249" t="s">
        <v>587</v>
      </c>
      <c r="H108" s="249">
        <v>423720</v>
      </c>
      <c r="I108" s="249" t="s">
        <v>89</v>
      </c>
      <c r="J108" s="250"/>
      <c r="K108" s="5"/>
      <c r="M108" s="5"/>
      <c r="S108" s="60"/>
      <c r="T108" s="60"/>
      <c r="U108" s="60"/>
      <c r="V108" s="60"/>
    </row>
    <row r="109" spans="1:22" s="143" customFormat="1" x14ac:dyDescent="0.3">
      <c r="A109" s="202">
        <v>43033</v>
      </c>
      <c r="B109" s="173"/>
      <c r="C109" s="202" t="s">
        <v>1276</v>
      </c>
      <c r="D109" s="203"/>
      <c r="E109" s="203">
        <v>4000</v>
      </c>
      <c r="F109" s="173"/>
      <c r="G109" s="249" t="s">
        <v>587</v>
      </c>
      <c r="H109" s="249">
        <v>42396</v>
      </c>
      <c r="I109" s="249" t="s">
        <v>89</v>
      </c>
      <c r="J109" s="250"/>
      <c r="K109" s="5"/>
      <c r="S109" s="60"/>
      <c r="T109" s="60"/>
      <c r="U109" s="60"/>
      <c r="V109" s="60"/>
    </row>
    <row r="110" spans="1:22" s="143" customFormat="1" x14ac:dyDescent="0.3">
      <c r="A110" s="202">
        <v>43028</v>
      </c>
      <c r="B110" s="173"/>
      <c r="C110" s="202" t="s">
        <v>1277</v>
      </c>
      <c r="D110" s="203"/>
      <c r="E110" s="203">
        <v>8000</v>
      </c>
      <c r="F110" s="173"/>
      <c r="G110" s="249" t="s">
        <v>588</v>
      </c>
      <c r="H110" s="249">
        <v>770</v>
      </c>
      <c r="I110" s="249" t="s">
        <v>272</v>
      </c>
      <c r="J110" s="250"/>
      <c r="K110" s="5"/>
      <c r="S110" s="60"/>
      <c r="T110" s="60"/>
      <c r="U110" s="60"/>
      <c r="V110" s="60"/>
    </row>
    <row r="111" spans="1:22" s="143" customFormat="1" x14ac:dyDescent="0.3">
      <c r="A111" s="202">
        <v>43032</v>
      </c>
      <c r="B111" s="173"/>
      <c r="C111" s="202" t="s">
        <v>583</v>
      </c>
      <c r="D111" s="203"/>
      <c r="E111" s="203">
        <v>2750</v>
      </c>
      <c r="F111" s="173"/>
      <c r="G111" s="249" t="s">
        <v>1278</v>
      </c>
      <c r="H111" s="249">
        <v>2221491</v>
      </c>
      <c r="I111" s="249" t="s">
        <v>89</v>
      </c>
      <c r="J111" s="250"/>
      <c r="S111" s="60"/>
      <c r="T111" s="60"/>
      <c r="U111" s="60"/>
      <c r="V111" s="60"/>
    </row>
    <row r="112" spans="1:22" x14ac:dyDescent="0.3">
      <c r="A112" s="202">
        <v>43038</v>
      </c>
      <c r="B112" s="173"/>
      <c r="C112" s="202" t="s">
        <v>582</v>
      </c>
      <c r="D112" s="203"/>
      <c r="E112" s="203">
        <v>1000</v>
      </c>
      <c r="F112" s="173"/>
      <c r="G112" s="249" t="s">
        <v>434</v>
      </c>
      <c r="H112" s="249">
        <v>272047</v>
      </c>
      <c r="I112" s="249" t="s">
        <v>89</v>
      </c>
      <c r="J112" s="250"/>
      <c r="K112" s="20"/>
      <c r="L112" s="20"/>
      <c r="M112" s="20"/>
      <c r="N112" s="20"/>
      <c r="O112" s="20"/>
      <c r="P112" s="20"/>
      <c r="Q112" s="20"/>
      <c r="R112" s="20"/>
      <c r="S112" s="60"/>
      <c r="T112" s="60"/>
      <c r="U112" s="60"/>
      <c r="V112" s="60"/>
    </row>
    <row r="113" spans="1:22" x14ac:dyDescent="0.3">
      <c r="A113" s="202">
        <v>43038</v>
      </c>
      <c r="B113" s="173"/>
      <c r="C113" s="202" t="s">
        <v>586</v>
      </c>
      <c r="D113" s="203"/>
      <c r="E113" s="203">
        <v>1400</v>
      </c>
      <c r="F113" s="173"/>
      <c r="G113" s="249" t="s">
        <v>435</v>
      </c>
      <c r="H113" s="249">
        <v>571629</v>
      </c>
      <c r="I113" s="249" t="s">
        <v>89</v>
      </c>
      <c r="J113" s="250"/>
      <c r="K113" s="20"/>
      <c r="L113" s="20"/>
      <c r="M113" s="20"/>
      <c r="N113" s="20"/>
      <c r="O113" s="20"/>
      <c r="P113" s="20"/>
      <c r="Q113" s="20"/>
      <c r="R113" s="20"/>
      <c r="S113" s="60"/>
      <c r="T113" s="60"/>
      <c r="U113" s="60"/>
      <c r="V113" s="60"/>
    </row>
    <row r="114" spans="1:22" x14ac:dyDescent="0.3">
      <c r="A114" s="202">
        <v>43039</v>
      </c>
      <c r="B114" s="173"/>
      <c r="C114" s="202" t="s">
        <v>1279</v>
      </c>
      <c r="D114" s="203"/>
      <c r="E114" s="203">
        <v>10000</v>
      </c>
      <c r="F114" s="173"/>
      <c r="G114" s="249" t="s">
        <v>1280</v>
      </c>
      <c r="H114" s="249"/>
      <c r="I114" s="249" t="s">
        <v>121</v>
      </c>
      <c r="J114" s="250"/>
      <c r="K114" s="20"/>
      <c r="L114" s="20"/>
      <c r="M114" s="20"/>
      <c r="N114" s="20"/>
      <c r="O114" s="20"/>
      <c r="P114" s="20"/>
      <c r="Q114" s="20"/>
      <c r="R114" s="20"/>
      <c r="S114" s="60"/>
      <c r="T114" s="60"/>
      <c r="U114" s="60"/>
      <c r="V114" s="60"/>
    </row>
    <row r="115" spans="1:22" x14ac:dyDescent="0.3">
      <c r="A115" s="202">
        <v>43039</v>
      </c>
      <c r="B115" s="173"/>
      <c r="C115" s="202" t="s">
        <v>1279</v>
      </c>
      <c r="D115" s="203"/>
      <c r="E115" s="203">
        <v>200000</v>
      </c>
      <c r="F115" s="173"/>
      <c r="G115" s="249" t="s">
        <v>1280</v>
      </c>
      <c r="H115" s="249"/>
      <c r="I115" s="249" t="s">
        <v>121</v>
      </c>
      <c r="J115" s="250"/>
      <c r="K115" s="20"/>
      <c r="L115" s="20"/>
      <c r="M115" s="20"/>
      <c r="N115" s="20"/>
      <c r="O115" s="20"/>
      <c r="P115" s="20"/>
      <c r="Q115" s="20"/>
      <c r="R115" s="20"/>
      <c r="S115" s="60"/>
      <c r="T115" s="60"/>
      <c r="U115" s="60"/>
      <c r="V115" s="60"/>
    </row>
    <row r="116" spans="1:22" x14ac:dyDescent="0.3">
      <c r="A116" s="173"/>
      <c r="B116" s="173"/>
      <c r="C116" s="202"/>
      <c r="D116" s="203"/>
      <c r="E116" s="203"/>
      <c r="F116" s="173"/>
      <c r="G116" s="249"/>
      <c r="H116" s="249"/>
      <c r="I116" s="249"/>
      <c r="J116" s="201"/>
      <c r="K116" s="20"/>
      <c r="L116" s="20"/>
      <c r="M116" s="20"/>
      <c r="N116" s="20"/>
      <c r="O116" s="20"/>
      <c r="P116" s="20"/>
      <c r="Q116" s="20"/>
      <c r="R116" s="20"/>
      <c r="S116" s="60"/>
      <c r="T116" s="60"/>
      <c r="U116" s="60"/>
      <c r="V116" s="60"/>
    </row>
    <row r="117" spans="1:22" x14ac:dyDescent="0.3">
      <c r="A117" s="52"/>
      <c r="B117" s="52"/>
      <c r="C117" s="105"/>
      <c r="D117" s="49"/>
      <c r="E117" s="49"/>
      <c r="F117" s="52"/>
      <c r="G117" s="249"/>
      <c r="H117" s="249"/>
      <c r="I117" s="249"/>
      <c r="J117" s="56"/>
      <c r="K117" s="20"/>
      <c r="L117" s="20"/>
      <c r="M117" s="20"/>
      <c r="N117" s="20"/>
      <c r="O117" s="20"/>
      <c r="P117" s="20"/>
      <c r="Q117" s="20"/>
      <c r="R117" s="20"/>
      <c r="S117" s="60"/>
      <c r="T117" s="60"/>
      <c r="U117" s="60"/>
      <c r="V117" s="60"/>
    </row>
    <row r="118" spans="1:22" x14ac:dyDescent="0.3">
      <c r="A118" s="52"/>
      <c r="B118" s="52"/>
      <c r="C118" s="105"/>
      <c r="D118" s="49"/>
      <c r="E118" s="49"/>
      <c r="F118" s="52"/>
      <c r="G118" s="249"/>
      <c r="H118" s="249"/>
      <c r="I118" s="249"/>
      <c r="J118" s="56"/>
      <c r="K118" s="20"/>
      <c r="L118" s="20"/>
      <c r="M118" s="20"/>
      <c r="N118" s="20"/>
      <c r="O118" s="20"/>
      <c r="P118" s="20"/>
      <c r="Q118" s="20"/>
      <c r="R118" s="20"/>
      <c r="S118" s="60"/>
      <c r="T118" s="60"/>
      <c r="U118" s="60"/>
      <c r="V118" s="60"/>
    </row>
    <row r="119" spans="1:22" x14ac:dyDescent="0.3">
      <c r="A119" s="52"/>
      <c r="B119" s="52"/>
      <c r="C119" s="105"/>
      <c r="D119" s="49"/>
      <c r="E119" s="49"/>
      <c r="F119" s="52"/>
      <c r="G119" s="249"/>
      <c r="H119" s="249"/>
      <c r="I119" s="249"/>
      <c r="J119" s="56"/>
      <c r="K119" s="20"/>
      <c r="L119" s="20"/>
      <c r="M119" s="20"/>
      <c r="N119" s="20"/>
      <c r="O119" s="20"/>
      <c r="P119" s="20"/>
      <c r="Q119" s="20"/>
      <c r="R119" s="20"/>
      <c r="S119" s="60"/>
      <c r="T119" s="60"/>
      <c r="U119" s="60"/>
      <c r="V119" s="60"/>
    </row>
    <row r="120" spans="1:22" x14ac:dyDescent="0.3">
      <c r="A120" s="52"/>
      <c r="B120" s="52"/>
      <c r="C120" s="105"/>
      <c r="D120" s="49"/>
      <c r="E120" s="49"/>
      <c r="F120" s="52"/>
      <c r="G120" s="249"/>
      <c r="H120" s="249"/>
      <c r="I120" s="249"/>
      <c r="J120" s="56"/>
      <c r="K120" s="20"/>
      <c r="L120" s="20"/>
      <c r="M120" s="20"/>
      <c r="N120" s="20"/>
      <c r="O120" s="20"/>
      <c r="P120" s="20"/>
      <c r="Q120" s="20"/>
      <c r="R120" s="20"/>
      <c r="S120" s="60"/>
      <c r="T120" s="60"/>
      <c r="U120" s="60"/>
      <c r="V120" s="60"/>
    </row>
    <row r="121" spans="1:22" x14ac:dyDescent="0.3">
      <c r="A121" s="52"/>
      <c r="B121" s="52"/>
      <c r="C121" s="105"/>
      <c r="D121" s="49"/>
      <c r="E121" s="49"/>
      <c r="F121" s="52"/>
      <c r="G121" s="249"/>
      <c r="H121" s="249"/>
      <c r="I121" s="249"/>
      <c r="J121" s="56"/>
      <c r="K121" s="20"/>
      <c r="L121" s="20"/>
      <c r="M121" s="20"/>
      <c r="N121" s="20"/>
      <c r="O121" s="20"/>
      <c r="P121" s="20"/>
      <c r="Q121" s="20"/>
      <c r="R121" s="20"/>
      <c r="S121" s="60"/>
      <c r="T121" s="60"/>
      <c r="U121" s="60"/>
      <c r="V121" s="60"/>
    </row>
    <row r="122" spans="1:22" x14ac:dyDescent="0.3">
      <c r="A122" s="52"/>
      <c r="B122" s="52"/>
      <c r="C122" s="105"/>
      <c r="D122" s="49"/>
      <c r="E122" s="49"/>
      <c r="F122" s="52"/>
      <c r="G122" s="249"/>
      <c r="H122" s="249"/>
      <c r="I122" s="249"/>
      <c r="J122" s="56"/>
      <c r="K122" s="20"/>
      <c r="L122" s="20"/>
      <c r="M122" s="20"/>
      <c r="N122" s="20"/>
      <c r="O122" s="20"/>
      <c r="P122" s="20"/>
      <c r="Q122" s="20"/>
      <c r="R122" s="20"/>
      <c r="S122" s="60"/>
      <c r="T122" s="60"/>
      <c r="U122" s="60"/>
      <c r="V122" s="60"/>
    </row>
    <row r="123" spans="1:22" x14ac:dyDescent="0.3">
      <c r="A123" s="52"/>
      <c r="B123" s="52"/>
      <c r="C123" s="105"/>
      <c r="D123" s="49"/>
      <c r="E123" s="49"/>
      <c r="F123" s="52"/>
      <c r="G123" s="23"/>
      <c r="H123" s="52"/>
      <c r="I123" s="52"/>
      <c r="J123" s="56"/>
      <c r="K123" s="20"/>
      <c r="L123" s="20"/>
      <c r="M123" s="20"/>
      <c r="N123" s="20"/>
      <c r="O123" s="20"/>
      <c r="P123" s="20"/>
      <c r="Q123" s="20"/>
      <c r="R123" s="20"/>
      <c r="S123" s="60"/>
      <c r="T123" s="60"/>
      <c r="U123" s="60"/>
      <c r="V123" s="60"/>
    </row>
    <row r="124" spans="1:22" x14ac:dyDescent="0.3">
      <c r="A124" s="52"/>
      <c r="B124" s="52"/>
      <c r="C124" s="105"/>
      <c r="D124" s="49"/>
      <c r="E124" s="49"/>
      <c r="F124" s="52"/>
      <c r="G124" s="23"/>
      <c r="H124" s="52"/>
      <c r="I124" s="52"/>
      <c r="J124" s="56"/>
      <c r="K124" s="20"/>
      <c r="L124" s="20"/>
      <c r="M124" s="20"/>
      <c r="N124" s="20"/>
      <c r="O124" s="20"/>
      <c r="P124" s="20"/>
      <c r="Q124" s="20"/>
      <c r="R124" s="20"/>
      <c r="S124" s="60"/>
      <c r="T124" s="60"/>
      <c r="U124" s="60"/>
      <c r="V124" s="60"/>
    </row>
    <row r="125" spans="1:22" x14ac:dyDescent="0.3">
      <c r="A125" s="52"/>
      <c r="B125" s="52"/>
      <c r="C125" s="105"/>
      <c r="D125" s="49"/>
      <c r="E125" s="49"/>
      <c r="F125" s="52"/>
      <c r="G125" s="23"/>
      <c r="H125" s="52"/>
      <c r="I125" s="52"/>
      <c r="J125" s="56"/>
      <c r="K125" s="20"/>
      <c r="L125" s="20"/>
      <c r="M125" s="20"/>
      <c r="N125" s="20"/>
      <c r="O125" s="20"/>
      <c r="P125" s="20"/>
      <c r="Q125" s="20"/>
      <c r="R125" s="20"/>
      <c r="S125" s="60"/>
      <c r="T125" s="60"/>
      <c r="U125" s="60"/>
      <c r="V125" s="60"/>
    </row>
    <row r="126" spans="1:22" x14ac:dyDescent="0.3">
      <c r="A126" s="52"/>
      <c r="B126" s="52"/>
      <c r="C126" s="105"/>
      <c r="D126" s="49"/>
      <c r="E126" s="49"/>
      <c r="F126" s="52"/>
      <c r="G126" s="23"/>
      <c r="H126" s="52"/>
      <c r="I126" s="52"/>
      <c r="J126" s="56"/>
      <c r="K126" s="20"/>
      <c r="L126" s="20"/>
      <c r="M126" s="20"/>
      <c r="N126" s="20"/>
      <c r="O126" s="20"/>
      <c r="P126" s="20"/>
      <c r="Q126" s="20"/>
      <c r="R126" s="20"/>
      <c r="S126" s="60"/>
      <c r="T126" s="60"/>
      <c r="U126" s="60"/>
      <c r="V126" s="60"/>
    </row>
    <row r="127" spans="1:22" x14ac:dyDescent="0.3">
      <c r="A127" s="52"/>
      <c r="B127" s="52"/>
      <c r="C127" s="105"/>
      <c r="D127" s="49"/>
      <c r="E127" s="49"/>
      <c r="F127" s="52"/>
      <c r="G127" s="23"/>
      <c r="H127" s="52"/>
      <c r="I127" s="52"/>
      <c r="J127" s="56"/>
      <c r="K127" s="20"/>
      <c r="L127" s="20"/>
      <c r="M127" s="20"/>
      <c r="N127" s="20"/>
      <c r="O127" s="20"/>
      <c r="P127" s="20"/>
      <c r="Q127" s="20"/>
      <c r="R127" s="20"/>
      <c r="S127" s="60"/>
      <c r="T127" s="60"/>
      <c r="U127" s="60"/>
      <c r="V127" s="60"/>
    </row>
    <row r="128" spans="1:22" x14ac:dyDescent="0.3">
      <c r="A128" s="26"/>
      <c r="B128" s="26"/>
      <c r="C128" s="26"/>
      <c r="D128" s="110"/>
      <c r="E128" s="110"/>
      <c r="F128" s="26"/>
      <c r="G128" s="111"/>
      <c r="H128" s="26"/>
      <c r="I128" s="26"/>
      <c r="J128" s="60"/>
      <c r="K128" s="20"/>
      <c r="L128" s="20"/>
      <c r="M128" s="20"/>
      <c r="N128" s="20"/>
      <c r="O128" s="20"/>
      <c r="P128" s="20"/>
      <c r="Q128" s="20"/>
      <c r="R128" s="20"/>
      <c r="S128" s="60"/>
      <c r="T128" s="60"/>
      <c r="U128" s="60"/>
      <c r="V128" s="60"/>
    </row>
    <row r="129" spans="2:24" x14ac:dyDescent="0.3">
      <c r="R129" s="60"/>
      <c r="S129" s="60"/>
      <c r="T129" s="60"/>
      <c r="U129" s="60"/>
      <c r="V129" s="60"/>
    </row>
    <row r="130" spans="2:24" x14ac:dyDescent="0.3">
      <c r="H130" s="22">
        <f>SUBTOTAL(9,D2:D127)</f>
        <v>710000</v>
      </c>
      <c r="I130" s="22">
        <f>SUBTOTAL(9,E2:E127)</f>
        <v>3232513</v>
      </c>
      <c r="J130" s="22">
        <f>SUBTOTAL(9,F2:F127)</f>
        <v>3820000</v>
      </c>
      <c r="R130" s="60"/>
      <c r="S130" s="60"/>
      <c r="T130" s="60"/>
      <c r="U130" s="60"/>
      <c r="V130" s="60"/>
    </row>
    <row r="131" spans="2:24" x14ac:dyDescent="0.3">
      <c r="Q131" s="22"/>
      <c r="R131" s="22"/>
      <c r="S131" s="22"/>
      <c r="T131" s="22"/>
      <c r="U131" s="22"/>
      <c r="V131" s="22"/>
      <c r="W131" s="22"/>
      <c r="X131" s="22"/>
    </row>
    <row r="132" spans="2:24" x14ac:dyDescent="0.3">
      <c r="N132" s="20"/>
      <c r="O132" s="20"/>
      <c r="P132" s="20"/>
      <c r="Q132" s="20"/>
      <c r="R132" s="20"/>
      <c r="S132" s="20"/>
      <c r="T132" s="22"/>
      <c r="U132" s="22"/>
      <c r="V132" s="22"/>
      <c r="W132" s="22"/>
      <c r="X132" s="22"/>
    </row>
    <row r="133" spans="2:24" x14ac:dyDescent="0.3">
      <c r="C133" s="24" t="s">
        <v>246</v>
      </c>
      <c r="D133" s="24">
        <v>150000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3">
      <c r="N134" s="20"/>
      <c r="O134" s="20"/>
      <c r="P134" s="20"/>
      <c r="Q134" s="20"/>
      <c r="R134" s="20"/>
      <c r="S134" s="20"/>
      <c r="T134" s="20"/>
      <c r="U134" s="20"/>
      <c r="V134" s="22"/>
      <c r="W134" s="22"/>
      <c r="X134" s="22"/>
    </row>
    <row r="135" spans="2:24" x14ac:dyDescent="0.3">
      <c r="B135" s="32" t="s">
        <v>4</v>
      </c>
      <c r="C135" s="32" t="s">
        <v>107</v>
      </c>
      <c r="D135" s="33" t="s">
        <v>178</v>
      </c>
      <c r="E135" s="32" t="s">
        <v>179</v>
      </c>
      <c r="F135" s="32" t="s">
        <v>180</v>
      </c>
      <c r="G135" s="33" t="s">
        <v>139</v>
      </c>
      <c r="H135" s="33"/>
      <c r="N135" s="20"/>
      <c r="O135" s="20"/>
      <c r="P135" s="20"/>
      <c r="Q135" s="20"/>
      <c r="R135" s="20"/>
      <c r="S135" s="20"/>
      <c r="T135" s="20"/>
      <c r="U135" s="20"/>
      <c r="V135" s="22"/>
      <c r="W135" s="22"/>
      <c r="X135" s="22"/>
    </row>
    <row r="136" spans="2:24" x14ac:dyDescent="0.3">
      <c r="B136" s="49" t="s">
        <v>252</v>
      </c>
      <c r="C136" s="49">
        <f>'BCI '!H162</f>
        <v>81380</v>
      </c>
      <c r="D136" s="52">
        <f>Security!F67</f>
        <v>3599</v>
      </c>
      <c r="E136" s="49"/>
      <c r="F136" s="49">
        <f>C136+D136</f>
        <v>84979</v>
      </c>
      <c r="G136" s="52"/>
      <c r="H136" s="52"/>
      <c r="J136" s="23"/>
      <c r="K136" s="51" t="s">
        <v>167</v>
      </c>
      <c r="N136" s="20"/>
      <c r="O136" s="20"/>
      <c r="P136" s="20"/>
      <c r="Q136" s="20"/>
      <c r="R136" s="20"/>
      <c r="S136" s="20"/>
      <c r="T136" s="20"/>
      <c r="U136" s="20"/>
      <c r="V136" s="22"/>
      <c r="W136" s="22"/>
      <c r="X136" s="22"/>
    </row>
    <row r="137" spans="2:24" x14ac:dyDescent="0.3">
      <c r="B137" s="49" t="s">
        <v>51</v>
      </c>
      <c r="C137" s="49">
        <f>'BCI '!H163</f>
        <v>3736040</v>
      </c>
      <c r="D137" s="52">
        <f>Security!F68</f>
        <v>0</v>
      </c>
      <c r="E137" s="49"/>
      <c r="F137" s="49">
        <f t="shared" ref="F137:F152" si="2">C137+D137</f>
        <v>3736040</v>
      </c>
      <c r="G137" s="52"/>
      <c r="H137" s="52"/>
      <c r="J137" s="23">
        <v>284308</v>
      </c>
      <c r="K137" s="166" t="s">
        <v>122</v>
      </c>
      <c r="N137" s="20"/>
      <c r="O137" s="20"/>
      <c r="P137" s="20"/>
      <c r="Q137" s="20"/>
      <c r="R137" s="20"/>
      <c r="S137" s="20"/>
      <c r="T137" s="20"/>
      <c r="U137" s="20"/>
      <c r="V137" s="22"/>
      <c r="W137" s="22"/>
      <c r="X137" s="22"/>
    </row>
    <row r="138" spans="2:24" x14ac:dyDescent="0.3">
      <c r="B138" s="49" t="s">
        <v>156</v>
      </c>
      <c r="C138" s="49">
        <f>'BCI '!H164</f>
        <v>1637293</v>
      </c>
      <c r="D138" s="52">
        <f>Security!F69</f>
        <v>0</v>
      </c>
      <c r="E138" s="49"/>
      <c r="F138" s="49">
        <f t="shared" si="2"/>
        <v>1637293</v>
      </c>
      <c r="G138" s="52"/>
      <c r="H138" s="52"/>
      <c r="J138" s="23">
        <f>SUM(F2:F127)</f>
        <v>3820000</v>
      </c>
      <c r="K138" s="51" t="s">
        <v>124</v>
      </c>
      <c r="L138" s="20"/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3">
      <c r="B139" s="49" t="s">
        <v>251</v>
      </c>
      <c r="C139" s="49">
        <f>'BCI '!H165</f>
        <v>446939</v>
      </c>
      <c r="D139" s="52">
        <f>Security!F70</f>
        <v>0</v>
      </c>
      <c r="E139" s="49"/>
      <c r="F139" s="49">
        <f t="shared" si="2"/>
        <v>446939</v>
      </c>
      <c r="G139" s="52"/>
      <c r="H139" s="52"/>
      <c r="J139" s="23">
        <f>J138+J137-J151</f>
        <v>871795</v>
      </c>
      <c r="K139" s="51" t="s">
        <v>123</v>
      </c>
      <c r="L139" s="20"/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3">
      <c r="B140" s="49" t="s">
        <v>9</v>
      </c>
      <c r="C140" s="49">
        <f>'BCI '!H166</f>
        <v>705667</v>
      </c>
      <c r="D140" s="52">
        <f>Security!F71</f>
        <v>0</v>
      </c>
      <c r="E140" s="49"/>
      <c r="F140" s="49">
        <f t="shared" si="2"/>
        <v>705667</v>
      </c>
      <c r="G140" s="52">
        <f t="shared" ref="G140:G145" si="3">F140*0.19</f>
        <v>134076.73000000001</v>
      </c>
      <c r="H140" s="52"/>
      <c r="J140" s="23"/>
      <c r="K140" s="51"/>
      <c r="L140" s="20"/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3">
      <c r="B141" s="49" t="s">
        <v>253</v>
      </c>
      <c r="C141" s="49">
        <f>'BCI '!H167</f>
        <v>2900000</v>
      </c>
      <c r="D141" s="52">
        <f>Security!F72</f>
        <v>0</v>
      </c>
      <c r="E141" s="49"/>
      <c r="F141" s="49">
        <f t="shared" si="2"/>
        <v>2900000</v>
      </c>
      <c r="G141" s="52">
        <f t="shared" si="3"/>
        <v>551000</v>
      </c>
      <c r="H141" s="52"/>
      <c r="J141" s="58" t="s">
        <v>83</v>
      </c>
      <c r="K141" s="57" t="s">
        <v>82</v>
      </c>
      <c r="L141" s="20"/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3">
      <c r="B142" s="49" t="s">
        <v>255</v>
      </c>
      <c r="C142" s="49">
        <f>'BCI '!H168</f>
        <v>200000</v>
      </c>
      <c r="D142" s="52">
        <f>Security!F73</f>
        <v>0</v>
      </c>
      <c r="E142" s="49"/>
      <c r="F142" s="49">
        <f t="shared" si="2"/>
        <v>200000</v>
      </c>
      <c r="G142" s="52"/>
      <c r="H142" s="52"/>
      <c r="J142" s="271">
        <f t="shared" ref="J142:J150" si="4">SUMIF($I$2:$I$127,K142,$E$2:$E$127)</f>
        <v>317517</v>
      </c>
      <c r="K142" s="56" t="s">
        <v>270</v>
      </c>
      <c r="L142" s="193">
        <f>-J142</f>
        <v>-317517</v>
      </c>
      <c r="N142" s="20"/>
      <c r="O142" s="20"/>
      <c r="P142" s="20"/>
      <c r="Q142" s="20"/>
      <c r="R142" s="20"/>
      <c r="S142" s="20"/>
      <c r="T142" s="20"/>
      <c r="U142" s="20"/>
      <c r="V142" s="22"/>
    </row>
    <row r="143" spans="2:24" x14ac:dyDescent="0.3">
      <c r="B143" s="49" t="s">
        <v>254</v>
      </c>
      <c r="C143" s="49">
        <f>'BCI '!H169</f>
        <v>1479688</v>
      </c>
      <c r="D143" s="52">
        <f>Security!F74</f>
        <v>66433</v>
      </c>
      <c r="E143" s="49"/>
      <c r="F143" s="49">
        <f t="shared" si="2"/>
        <v>1546121</v>
      </c>
      <c r="G143" s="52">
        <f t="shared" si="3"/>
        <v>293762.99</v>
      </c>
      <c r="H143" s="52"/>
      <c r="J143" s="271">
        <f t="shared" si="4"/>
        <v>93200</v>
      </c>
      <c r="K143" s="56" t="s">
        <v>268</v>
      </c>
      <c r="L143" s="193">
        <f t="shared" ref="L143:L150" si="5">-J143</f>
        <v>-93200</v>
      </c>
      <c r="N143" s="20"/>
      <c r="O143" s="20"/>
      <c r="P143" s="20"/>
      <c r="Q143" s="20"/>
      <c r="R143" s="20"/>
      <c r="S143" s="20"/>
      <c r="T143" s="20"/>
      <c r="U143" s="20"/>
      <c r="V143" s="22"/>
    </row>
    <row r="144" spans="2:24" x14ac:dyDescent="0.3">
      <c r="B144" s="49" t="s">
        <v>43</v>
      </c>
      <c r="C144" s="49">
        <f>'BCI '!H170</f>
        <v>0</v>
      </c>
      <c r="D144" s="52">
        <f>Security!F75</f>
        <v>2561808</v>
      </c>
      <c r="E144" s="49"/>
      <c r="F144" s="49">
        <f t="shared" si="2"/>
        <v>2561808</v>
      </c>
      <c r="G144" s="52"/>
      <c r="H144" s="52"/>
      <c r="J144" s="52">
        <f t="shared" si="4"/>
        <v>0</v>
      </c>
      <c r="K144" s="56" t="s">
        <v>282</v>
      </c>
      <c r="L144" s="193">
        <f t="shared" si="5"/>
        <v>0</v>
      </c>
      <c r="N144" s="20"/>
      <c r="O144" s="20"/>
      <c r="P144" s="20"/>
      <c r="Q144" s="20"/>
      <c r="R144" s="20"/>
      <c r="S144" s="20"/>
      <c r="T144" s="20"/>
      <c r="U144" s="20"/>
      <c r="V144" s="22"/>
    </row>
    <row r="145" spans="1:24" x14ac:dyDescent="0.3">
      <c r="B145" s="49" t="s">
        <v>12</v>
      </c>
      <c r="C145" s="49">
        <f>'BCI '!H171</f>
        <v>0</v>
      </c>
      <c r="D145" s="52">
        <f>Security!F76</f>
        <v>0</v>
      </c>
      <c r="E145" s="49"/>
      <c r="F145" s="49">
        <f t="shared" si="2"/>
        <v>0</v>
      </c>
      <c r="G145" s="52">
        <f t="shared" si="3"/>
        <v>0</v>
      </c>
      <c r="H145" s="52"/>
      <c r="J145" s="271">
        <f t="shared" si="4"/>
        <v>112297</v>
      </c>
      <c r="K145" s="56" t="s">
        <v>266</v>
      </c>
      <c r="L145" s="193">
        <f t="shared" si="5"/>
        <v>-112297</v>
      </c>
      <c r="N145" s="20"/>
      <c r="O145" s="20"/>
      <c r="P145" s="20"/>
      <c r="Q145" s="20"/>
      <c r="R145" s="20"/>
      <c r="S145" s="20"/>
      <c r="T145" s="20"/>
      <c r="U145" s="20"/>
      <c r="V145" s="22"/>
    </row>
    <row r="146" spans="1:24" x14ac:dyDescent="0.3">
      <c r="B146" s="49" t="s">
        <v>22</v>
      </c>
      <c r="C146" s="49">
        <f>'BCI '!H172</f>
        <v>4149059</v>
      </c>
      <c r="D146" s="52">
        <f>Security!F77</f>
        <v>906768</v>
      </c>
      <c r="E146" s="49"/>
      <c r="F146" s="49">
        <f t="shared" si="2"/>
        <v>5055827</v>
      </c>
      <c r="G146" s="52"/>
      <c r="H146" s="52"/>
      <c r="J146" s="271">
        <f t="shared" si="4"/>
        <v>1476428</v>
      </c>
      <c r="K146" s="56" t="s">
        <v>269</v>
      </c>
      <c r="L146" s="193">
        <f t="shared" si="5"/>
        <v>-1476428</v>
      </c>
      <c r="N146" s="20"/>
      <c r="O146" s="20"/>
      <c r="P146" s="20"/>
      <c r="Q146" s="20"/>
      <c r="R146" s="20"/>
      <c r="S146" s="20"/>
      <c r="T146" s="20"/>
      <c r="U146" s="20"/>
      <c r="V146" s="22"/>
      <c r="W146" s="22"/>
      <c r="X146" s="22"/>
    </row>
    <row r="147" spans="1:24" x14ac:dyDescent="0.3">
      <c r="B147" s="49" t="s">
        <v>256</v>
      </c>
      <c r="C147" s="49">
        <f>'BCI '!H173</f>
        <v>3571595</v>
      </c>
      <c r="D147" s="52">
        <f>Security!F78</f>
        <v>0</v>
      </c>
      <c r="E147" s="49"/>
      <c r="F147" s="49">
        <f t="shared" si="2"/>
        <v>3571595</v>
      </c>
      <c r="G147" s="52">
        <f>F147*0.19</f>
        <v>678603.05</v>
      </c>
      <c r="H147" s="52"/>
      <c r="J147" s="271">
        <f t="shared" si="4"/>
        <v>634574</v>
      </c>
      <c r="K147" s="56" t="s">
        <v>89</v>
      </c>
      <c r="L147" s="193">
        <f t="shared" si="5"/>
        <v>-634574</v>
      </c>
      <c r="M147" s="90"/>
      <c r="N147" s="20"/>
      <c r="O147" s="20"/>
      <c r="P147" s="20"/>
      <c r="Q147" s="20"/>
      <c r="R147" s="20"/>
      <c r="S147" s="20"/>
      <c r="T147" s="20"/>
      <c r="U147" s="20"/>
      <c r="V147" s="22"/>
      <c r="W147" s="22"/>
      <c r="X147" s="22"/>
    </row>
    <row r="148" spans="1:24" x14ac:dyDescent="0.3">
      <c r="B148" s="49" t="s">
        <v>50</v>
      </c>
      <c r="C148" s="49">
        <f>'BCI '!H174</f>
        <v>7032612</v>
      </c>
      <c r="D148" s="52">
        <f>Security!F79</f>
        <v>1663829</v>
      </c>
      <c r="E148" s="49"/>
      <c r="F148" s="49">
        <f t="shared" si="2"/>
        <v>8696441</v>
      </c>
      <c r="G148" s="52"/>
      <c r="H148" s="52"/>
      <c r="J148" s="271">
        <f t="shared" si="4"/>
        <v>35890</v>
      </c>
      <c r="K148" s="56" t="s">
        <v>272</v>
      </c>
      <c r="L148" s="193">
        <f t="shared" si="5"/>
        <v>-35890</v>
      </c>
      <c r="Q148" s="20"/>
      <c r="R148" s="20"/>
      <c r="S148" s="20"/>
      <c r="T148" s="20"/>
      <c r="U148" s="22"/>
      <c r="V148" s="22"/>
      <c r="W148" s="22"/>
      <c r="X148" s="22"/>
    </row>
    <row r="149" spans="1:24" x14ac:dyDescent="0.3">
      <c r="B149" s="49" t="s">
        <v>196</v>
      </c>
      <c r="C149" s="49">
        <f>'BCI '!H175</f>
        <v>11851</v>
      </c>
      <c r="D149" s="52">
        <f>Security!F80</f>
        <v>20035132</v>
      </c>
      <c r="E149" s="49"/>
      <c r="F149" s="49">
        <f t="shared" si="2"/>
        <v>20046983</v>
      </c>
      <c r="G149" s="52"/>
      <c r="H149" s="52"/>
      <c r="J149" s="271">
        <f t="shared" si="4"/>
        <v>240000</v>
      </c>
      <c r="K149" s="56" t="s">
        <v>121</v>
      </c>
      <c r="L149" s="193">
        <f t="shared" si="5"/>
        <v>-240000</v>
      </c>
      <c r="O149" s="22"/>
      <c r="Q149" s="20"/>
      <c r="R149" s="20"/>
      <c r="S149" s="20"/>
      <c r="T149" s="20"/>
      <c r="U149" s="22"/>
      <c r="V149" s="22"/>
      <c r="W149" s="22"/>
      <c r="X149" s="22"/>
    </row>
    <row r="150" spans="1:24" x14ac:dyDescent="0.3">
      <c r="B150" s="49" t="s">
        <v>197</v>
      </c>
      <c r="C150" s="49">
        <f>'BCI '!H176</f>
        <v>-27366775</v>
      </c>
      <c r="D150" s="52">
        <f>Security!F81</f>
        <v>-27173140.870000001</v>
      </c>
      <c r="E150" s="49"/>
      <c r="F150" s="49">
        <f t="shared" si="2"/>
        <v>-54539915.870000005</v>
      </c>
      <c r="G150" s="52"/>
      <c r="H150" s="52"/>
      <c r="J150" s="271">
        <f t="shared" si="4"/>
        <v>322607</v>
      </c>
      <c r="K150" s="56" t="s">
        <v>216</v>
      </c>
      <c r="L150" s="193">
        <f t="shared" si="5"/>
        <v>-322607</v>
      </c>
      <c r="N150" s="20"/>
      <c r="O150" s="22"/>
      <c r="Q150" s="20"/>
      <c r="R150" s="20"/>
      <c r="S150" s="20"/>
      <c r="T150" s="20"/>
      <c r="U150" s="22"/>
      <c r="V150" s="22"/>
      <c r="W150" s="22"/>
      <c r="X150" s="22"/>
    </row>
    <row r="151" spans="1:24" x14ac:dyDescent="0.3">
      <c r="B151" s="49" t="s">
        <v>257</v>
      </c>
      <c r="C151" s="49">
        <f>'BCI '!H177</f>
        <v>-313959</v>
      </c>
      <c r="D151" s="52">
        <f>Security!F82</f>
        <v>0</v>
      </c>
      <c r="E151" s="49"/>
      <c r="F151" s="49">
        <f t="shared" si="2"/>
        <v>-313959</v>
      </c>
      <c r="G151" s="52"/>
      <c r="H151" s="52"/>
      <c r="J151" s="76">
        <f>SUM(J142:J150)</f>
        <v>3232513</v>
      </c>
      <c r="K151" s="75"/>
      <c r="L151" s="20"/>
      <c r="N151" s="20"/>
      <c r="O151" s="22"/>
      <c r="Q151" s="20"/>
      <c r="R151" s="20"/>
      <c r="S151" s="20"/>
      <c r="T151" s="20"/>
      <c r="U151" s="22"/>
      <c r="V151" s="22"/>
      <c r="W151" s="22"/>
      <c r="X151" s="22"/>
    </row>
    <row r="152" spans="1:24" x14ac:dyDescent="0.3">
      <c r="B152" s="49" t="s">
        <v>258</v>
      </c>
      <c r="C152" s="49">
        <f>'BCI '!H178</f>
        <v>-11851</v>
      </c>
      <c r="D152" s="52">
        <f>Security!F83</f>
        <v>0</v>
      </c>
      <c r="E152" s="49"/>
      <c r="F152" s="49">
        <f t="shared" si="2"/>
        <v>-11851</v>
      </c>
      <c r="G152" s="52"/>
      <c r="H152" s="52"/>
      <c r="J152" s="20"/>
      <c r="K152" s="20"/>
      <c r="L152" s="20"/>
      <c r="N152" s="20"/>
      <c r="O152" s="22"/>
      <c r="Q152" s="20"/>
      <c r="R152" s="20"/>
      <c r="S152" s="20"/>
      <c r="T152" s="20"/>
      <c r="U152" s="22"/>
      <c r="V152" s="22"/>
      <c r="W152" s="22"/>
      <c r="X152" s="22"/>
    </row>
    <row r="153" spans="1:24" x14ac:dyDescent="0.3">
      <c r="B153" s="153" t="s">
        <v>26</v>
      </c>
      <c r="C153" s="153">
        <f>SUM(C136:C152)</f>
        <v>-1740461</v>
      </c>
      <c r="D153" s="154">
        <f>SUM(D136:D152)</f>
        <v>-1935571.870000001</v>
      </c>
      <c r="E153" s="153"/>
      <c r="F153" s="153">
        <f>SUM(F136:F152)</f>
        <v>-3676032.8700000048</v>
      </c>
      <c r="G153" s="154">
        <f>SUM(G136:G152)</f>
        <v>1657442.77</v>
      </c>
      <c r="H153" s="154"/>
      <c r="J153" s="20"/>
      <c r="K153" s="20"/>
      <c r="L153" s="20"/>
      <c r="N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3">
      <c r="B154" s="49"/>
      <c r="C154" s="49"/>
      <c r="D154" s="52"/>
      <c r="E154" s="49"/>
      <c r="F154" s="49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ht="18" x14ac:dyDescent="0.35">
      <c r="B155" s="49"/>
      <c r="C155" s="49"/>
      <c r="D155" s="52"/>
      <c r="E155" s="49"/>
      <c r="F155" s="158"/>
      <c r="G155" s="158"/>
      <c r="H155" s="159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ht="18" x14ac:dyDescent="0.35">
      <c r="A156" s="22"/>
      <c r="B156" s="49"/>
      <c r="C156" s="49"/>
      <c r="D156" s="52"/>
      <c r="E156" s="52"/>
      <c r="F156" s="158"/>
      <c r="G156" s="158"/>
      <c r="H156" s="159"/>
      <c r="K156" s="20"/>
      <c r="L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ht="18" x14ac:dyDescent="0.35">
      <c r="A157" s="22"/>
      <c r="B157" s="153" t="s">
        <v>26</v>
      </c>
      <c r="C157" s="153"/>
      <c r="D157" s="154"/>
      <c r="E157" s="32"/>
      <c r="F157" s="32"/>
      <c r="G157" s="32"/>
      <c r="H157" s="160">
        <f>SUM(H155:H156)</f>
        <v>0</v>
      </c>
      <c r="K157" s="20"/>
      <c r="L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3">
      <c r="A158" s="22"/>
      <c r="D158" s="22"/>
      <c r="K158" s="20"/>
      <c r="L158" s="20"/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3">
      <c r="D159" s="22"/>
      <c r="K159" s="20"/>
      <c r="L159" s="20"/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3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3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3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3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3">
      <c r="N164" s="20"/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3">
      <c r="N165" s="20"/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3">
      <c r="N166" s="20"/>
      <c r="O166" s="22"/>
      <c r="Q166" s="22"/>
      <c r="R166" s="22"/>
      <c r="S166" s="22"/>
      <c r="T166" s="22"/>
      <c r="U166" s="22"/>
      <c r="V166" s="22"/>
      <c r="W166" s="22"/>
      <c r="X166" s="22"/>
    </row>
    <row r="167" spans="14:24" x14ac:dyDescent="0.3">
      <c r="N167" s="20"/>
      <c r="O167" s="22"/>
      <c r="Q167" s="22"/>
      <c r="R167" s="22"/>
      <c r="S167" s="22"/>
      <c r="T167" s="22"/>
      <c r="U167" s="22"/>
      <c r="V167" s="22"/>
      <c r="W167" s="22"/>
      <c r="X167" s="22"/>
    </row>
    <row r="168" spans="14:24" x14ac:dyDescent="0.3">
      <c r="O168" s="22"/>
      <c r="Q168" s="22"/>
      <c r="R168" s="22"/>
      <c r="S168" s="22"/>
      <c r="T168" s="22"/>
      <c r="U168" s="22"/>
      <c r="V168" s="22"/>
      <c r="W168" s="22"/>
      <c r="X168" s="22"/>
    </row>
    <row r="169" spans="14:24" x14ac:dyDescent="0.3">
      <c r="O169" s="22"/>
      <c r="Q169" s="22"/>
      <c r="R169" s="22"/>
      <c r="S169" s="22"/>
      <c r="T169" s="22"/>
      <c r="U169" s="22"/>
      <c r="V169" s="22"/>
      <c r="W169" s="22"/>
      <c r="X169" s="22"/>
    </row>
    <row r="170" spans="14:24" x14ac:dyDescent="0.3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3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3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3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3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3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3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3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3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3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3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3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3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3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3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3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3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3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3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3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3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3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3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3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3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3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3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3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3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3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3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3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3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3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3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3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3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3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3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3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3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3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3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3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3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3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3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3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3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3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3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3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3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3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3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3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3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3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3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3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3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3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3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3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3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3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3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3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3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3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3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3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3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3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3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3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3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3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3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3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3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3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3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3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3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3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3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3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3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3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3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3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3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3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3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3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3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3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3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3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3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3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3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3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3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3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3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3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3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3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3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3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3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3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3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3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3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3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3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3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3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3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3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3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3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3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3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3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3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3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3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3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3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3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3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3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3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3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3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3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3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3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3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3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3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3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3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3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3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3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3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3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3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3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3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3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3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3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3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3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3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3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3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3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3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3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3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3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3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3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3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3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3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3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3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3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3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3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3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3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3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3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3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3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3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3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3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3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3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3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3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3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3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3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3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3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3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3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3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3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3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3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3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3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3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3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3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3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3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3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3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3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3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3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3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3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3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3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3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3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3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3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3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3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3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3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3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3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3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3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3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3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3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3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3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3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3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3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3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3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3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3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3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3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3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3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3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3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3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3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3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3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3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3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3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3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3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3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3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3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3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3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3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3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3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3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3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3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3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3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3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3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3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3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3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3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3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3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3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3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3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3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3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3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3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3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3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3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3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3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3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3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3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3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3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3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3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3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3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3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3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3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3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3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3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3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3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3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3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3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3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3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3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3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3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3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3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3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3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3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3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3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3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3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3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3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3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3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3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3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3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3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3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3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3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3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3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3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3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3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3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3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3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3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3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3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3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3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3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3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3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3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3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3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3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3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3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3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3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3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3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3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3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3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3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3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3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3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3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3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3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3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3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3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3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3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3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3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3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3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3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3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3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3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3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3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3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3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3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3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3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3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3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3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3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3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3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3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3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3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3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3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3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3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3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3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3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3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3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3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3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3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3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3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3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3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3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3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3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3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3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3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3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3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3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3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3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3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3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3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3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3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3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3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3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3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3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3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3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3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3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3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3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3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3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3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3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3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3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3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3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3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3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3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3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3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3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3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3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3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3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3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3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3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3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3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3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3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3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3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3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3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3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3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3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3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3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3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3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3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3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3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3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3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3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3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3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3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3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3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3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3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3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3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3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3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3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3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3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3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3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3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3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3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3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3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3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3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3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3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3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3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3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3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3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3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3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3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3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3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3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3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3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3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3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3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3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3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3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3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3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3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3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3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3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3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3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3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3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3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3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3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3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3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3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3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3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3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3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3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3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3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3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3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3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3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3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3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3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3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3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3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3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3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3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3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3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3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3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3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3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3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3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3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3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3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3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3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3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3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3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3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3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3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3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3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3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3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3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3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3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3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3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3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3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3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3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3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3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3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3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3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3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3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3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3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3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3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3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3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3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3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3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3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3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3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3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3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3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3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3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3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3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3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3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3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3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3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3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3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3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3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3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3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3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3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3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3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3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3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3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3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3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3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3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3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3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3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3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3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3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3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3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3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3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3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3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3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3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3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3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3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3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3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3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3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3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3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3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3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3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3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3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3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3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3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3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3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3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3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3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3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3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3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3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3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3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3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3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3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3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3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3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3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3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3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3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3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3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3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3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3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3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3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3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3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3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3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3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3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3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3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3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3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3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3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3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3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3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3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3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3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3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3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3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3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3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3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3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3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3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3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3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3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3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3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3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3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3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3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3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3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3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3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3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3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3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3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3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3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3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3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3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3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3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3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3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3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3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3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3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3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3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3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3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3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3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3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3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3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3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3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3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3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3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3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3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3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3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3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3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3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3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3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3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3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3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3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3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3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3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3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3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3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3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3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3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3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3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3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3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3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3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3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3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3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3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3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3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3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3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3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3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3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3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3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3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3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3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3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3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3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3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3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3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3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3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3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3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3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3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3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3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3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3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3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3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3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3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3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3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3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3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3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3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3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3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3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3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3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3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3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3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3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3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3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3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3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3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3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3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3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3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3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3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3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3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3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3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3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3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3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3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3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3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3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3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3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3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3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3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3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3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3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3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3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3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3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3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3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3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3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3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3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3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3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3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3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3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3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3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3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3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3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3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3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3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3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3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3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3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3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3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3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3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3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3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3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3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3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3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3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3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3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3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3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3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3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3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3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3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3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3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3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3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3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3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3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3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3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3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3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3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3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3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3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3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3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3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3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3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3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3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3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3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3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3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3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3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3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3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3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3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3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3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3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3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3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3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3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3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3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3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3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3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3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3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3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3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3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3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3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3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3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3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3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3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3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3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3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3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3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3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3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3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3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3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3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3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3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3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3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3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3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3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3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3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3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3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3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3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3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3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3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3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3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3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3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3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3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3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3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3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3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3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3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3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3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3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3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3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3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3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3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3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3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3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3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3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3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3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3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3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3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3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3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3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3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3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3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3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3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3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3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3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3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3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3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3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3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3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3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3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3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3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3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3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3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3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3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3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3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3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3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3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3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3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3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3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3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3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3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3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3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3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3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3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3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3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3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3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3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3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3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3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3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3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3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3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3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3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3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3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3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3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3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3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3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3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3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3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3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3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3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3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3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3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3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3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3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3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3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3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3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3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3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3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3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3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3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3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3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3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3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3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3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3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3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3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3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3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3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3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3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3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3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3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3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3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3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3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3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3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3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3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3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3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3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3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3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3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3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3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3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3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3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3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3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3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3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3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3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3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3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3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3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3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3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3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3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3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3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3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3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3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3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3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3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3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3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3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3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3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3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3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3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3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3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3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3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3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3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3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3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3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3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3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3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3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3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3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3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3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3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3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3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3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3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3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3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3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3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3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3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3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3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3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3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3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3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3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3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3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3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3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3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3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3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3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3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3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3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3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3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3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3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3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3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3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3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3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3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3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3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3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3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3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3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3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3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3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3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3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3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3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3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3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3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3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3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3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3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3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3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3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3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3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3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3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3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3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3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3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3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3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3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3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3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3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3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3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3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3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3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3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3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3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3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3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3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3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3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3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3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3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3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3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3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3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3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3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3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3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3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3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3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3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3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3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3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3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3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3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3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3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3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3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3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3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3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3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3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3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3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3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3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3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3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3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3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3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3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3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3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3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3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3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3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3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3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3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3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3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3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3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3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3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3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3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3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3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3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3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3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3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3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3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3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3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3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3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3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3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3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3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3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3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3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3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3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3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3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3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3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3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3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3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3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3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3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3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3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3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3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3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3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3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3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3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3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3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3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3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3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3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3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3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3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3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3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3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3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3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3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3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3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3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3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3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3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3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3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3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3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3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3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3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3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3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3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3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3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3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3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3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3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3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3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3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3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3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3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3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3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3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3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3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3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3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3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3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3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3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3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3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3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3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3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3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3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3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3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3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3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3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3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3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3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3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3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3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3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3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3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3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3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3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3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3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3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3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3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3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3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3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3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3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3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3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3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3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3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3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3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3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3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3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3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3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3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3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3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3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3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3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3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3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3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3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3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3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3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3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3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3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3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3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3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3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3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3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3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3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3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3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3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3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3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3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3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3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3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3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3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3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3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3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3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3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3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3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3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3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3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3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3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3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3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3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3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3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3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3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3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3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3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3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3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3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3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3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3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3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3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3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3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3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3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3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3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3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3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3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3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3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3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3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3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3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3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3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3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3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3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3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3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3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3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3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3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3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3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3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3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3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3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3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3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3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3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3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3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3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3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3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3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3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3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3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3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3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3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3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3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3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3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3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3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3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3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3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3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3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3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3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3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3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3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3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3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3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3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3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3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3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3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3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3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3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3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3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3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3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3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3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3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3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3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3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3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3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3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3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3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3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3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3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3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3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3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3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3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3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3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3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3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3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3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3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3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3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3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3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3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3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3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3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3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3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3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3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3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3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3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3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3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3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3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3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3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3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3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3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3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3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3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3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3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3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3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3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3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3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3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3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3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3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3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3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3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3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3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3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3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3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3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3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3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3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3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3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3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3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3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3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3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3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3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3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3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3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3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3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3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3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3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3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3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3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3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3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3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3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3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3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3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3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3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3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3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3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3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3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3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3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3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3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3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3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3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3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3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3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3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3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3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3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3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3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3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3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3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3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3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3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3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3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3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3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3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3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3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3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3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3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3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3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3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3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3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3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3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3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3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3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3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3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3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3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3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3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3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3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3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3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3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3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3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3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3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3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3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3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3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3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3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3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3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3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3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3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3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3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3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3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3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3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3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3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3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3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3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3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3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3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3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3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3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3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3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3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3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3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3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3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3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3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3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3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3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3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3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3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3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3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3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3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3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3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3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3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3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3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3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3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3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3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3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3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3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3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3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3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3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3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3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3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3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3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3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3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3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3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3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3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3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3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3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3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3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3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3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3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3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3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3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3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3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3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3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3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3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3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3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3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3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3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3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3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3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3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3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3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3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3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3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3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3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3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3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3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3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3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3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3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3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3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3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3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3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3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3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3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3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3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3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3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3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3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3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3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3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3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3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3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3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3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3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3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3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3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3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3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3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3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3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3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3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3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3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3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3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3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3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3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3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3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3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3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3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3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3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3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3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3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3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3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3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3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3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3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3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3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3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3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3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3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3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3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3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3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3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3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3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3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3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3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3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3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3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3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3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3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3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3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3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3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3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3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3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3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3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3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3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3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3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3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3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3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3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3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3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3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3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3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3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3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3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3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3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3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3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3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3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3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3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3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3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3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3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3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3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3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3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3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3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3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3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3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3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3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3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3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3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3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3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3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3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3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3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3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3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3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3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3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3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3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3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3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3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3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3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3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3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3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3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3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3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3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3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3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3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3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3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3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3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3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3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3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3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3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3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3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3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3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3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3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3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3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3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3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3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3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3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3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3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3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3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3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3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3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3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3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3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3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3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3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3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3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3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3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3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3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3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3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3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3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3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3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3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3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3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3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3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3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3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3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3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3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3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3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3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3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3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3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3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3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3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3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3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3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3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3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3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3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3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3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3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3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3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3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3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3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3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3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3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3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3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3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3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3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3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3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3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3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3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3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3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3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3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3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3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3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3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3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3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3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3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3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3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3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3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3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3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3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3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3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3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3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3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3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3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3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3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3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3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3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3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3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3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3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3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3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3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3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3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3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3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3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3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3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3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3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3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3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3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3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3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3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3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3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3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3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3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3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3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3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3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3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3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3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3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3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3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3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3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3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3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3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3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3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3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3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3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3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3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3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3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3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3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3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3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3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3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3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3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3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3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3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3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3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3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3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3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3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3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3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3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3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3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3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3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3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3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3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3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3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3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3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3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3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3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3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3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3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3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3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3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3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3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3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3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3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3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3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3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3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3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3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3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3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3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3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3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3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3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3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3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3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3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3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3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3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3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3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3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3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3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3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3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3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3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3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3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3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3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3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3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3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3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3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3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3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3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3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3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3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3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3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3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3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3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3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3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3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3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3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3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3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3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3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3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3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3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3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3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3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3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3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3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3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3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3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3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3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3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3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3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3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3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3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3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3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3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3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3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3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3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3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3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3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3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3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3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3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3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3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3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3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3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3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3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3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3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3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3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3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3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3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3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3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3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3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3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3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3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3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3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3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3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3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3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3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3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3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3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3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3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3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3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3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3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3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3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3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3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3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3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3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3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3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3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3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3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3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3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3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3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3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3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3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3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3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3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3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3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3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3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3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3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3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3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3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3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3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3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3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3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3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3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3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3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3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3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3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3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3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3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3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3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3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3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3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3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3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3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3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3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3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3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3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3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3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3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3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3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3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3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3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3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3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3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3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3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3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3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3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3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3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3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3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3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3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3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3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3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3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3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3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3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3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3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3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3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3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3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3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3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3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3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3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3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3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3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3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3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3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3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3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3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3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3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3">
      <c r="Q2712" s="22"/>
      <c r="R2712" s="22"/>
      <c r="S2712" s="22"/>
      <c r="T2712" s="22"/>
      <c r="U2712" s="22"/>
      <c r="V2712" s="22"/>
      <c r="W2712" s="22"/>
      <c r="X2712" s="22"/>
    </row>
    <row r="2713" spans="17:24" x14ac:dyDescent="0.3">
      <c r="Q2713" s="22"/>
      <c r="R2713" s="22"/>
      <c r="S2713" s="22"/>
      <c r="T2713" s="22"/>
      <c r="U2713" s="22"/>
      <c r="V2713" s="22"/>
      <c r="W2713" s="22"/>
      <c r="X2713" s="22"/>
    </row>
    <row r="2714" spans="17:24" x14ac:dyDescent="0.3">
      <c r="Q2714" s="22"/>
      <c r="R2714" s="22"/>
      <c r="S2714" s="22"/>
      <c r="T2714" s="22"/>
      <c r="U2714" s="22"/>
      <c r="V2714" s="22"/>
      <c r="W2714" s="22"/>
      <c r="X2714" s="22"/>
    </row>
    <row r="2715" spans="17:24" x14ac:dyDescent="0.3">
      <c r="Q2715" s="22"/>
      <c r="R2715" s="22"/>
      <c r="S2715" s="22"/>
      <c r="T2715" s="22"/>
      <c r="U2715" s="22"/>
      <c r="V2715" s="22"/>
      <c r="W2715" s="22"/>
      <c r="X2715" s="22"/>
    </row>
    <row r="2716" spans="17:24" x14ac:dyDescent="0.3">
      <c r="Q2716" s="22"/>
      <c r="R2716" s="22"/>
      <c r="S2716" s="22"/>
      <c r="T2716" s="22"/>
      <c r="U2716" s="22"/>
      <c r="V2716" s="22"/>
      <c r="W2716" s="22"/>
      <c r="X2716" s="22"/>
    </row>
  </sheetData>
  <autoFilter ref="A1:J128"/>
  <sortState ref="A2:J54">
    <sortCondition ref="A2:A54"/>
  </sortState>
  <dataValidations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EERR</vt:lpstr>
      <vt:lpstr>Oct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2018-02-12T15:04:19Z</dcterms:modified>
</cp:coreProperties>
</file>