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HOTEL PASCUAL 2018\EERR\2018\12.-Diciembre\"/>
    </mc:Choice>
  </mc:AlternateContent>
  <bookViews>
    <workbookView xWindow="0" yWindow="0" windowWidth="23040" windowHeight="9384" activeTab="4"/>
  </bookViews>
  <sheets>
    <sheet name="EERR" sheetId="11" r:id="rId1"/>
    <sheet name="Dic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  <externalReference r:id="rId11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Dic!$A$2:$Y$109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Transbank!$A$1:$S$360</definedName>
    <definedName name="Clasificación">[1]Hoja1!$A$2:$A$10</definedName>
  </definedNames>
  <calcPr calcId="152511"/>
</workbook>
</file>

<file path=xl/calcChain.xml><?xml version="1.0" encoding="utf-8"?>
<calcChain xmlns="http://schemas.openxmlformats.org/spreadsheetml/2006/main">
  <c r="J4" i="15" l="1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J65" i="15"/>
  <c r="K65" i="15"/>
  <c r="J66" i="15"/>
  <c r="K66" i="15"/>
  <c r="J67" i="15"/>
  <c r="K67" i="15"/>
  <c r="J68" i="15"/>
  <c r="K68" i="15"/>
  <c r="J69" i="15"/>
  <c r="K69" i="15"/>
  <c r="J70" i="15"/>
  <c r="K70" i="15"/>
  <c r="J71" i="15"/>
  <c r="K71" i="15"/>
  <c r="K3" i="15"/>
  <c r="J3" i="15"/>
  <c r="O112" i="23" l="1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4" i="23" l="1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315" i="23"/>
  <c r="O316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" i="23"/>
  <c r="X7" i="16"/>
  <c r="Y7" i="16" s="1"/>
  <c r="X9" i="16"/>
  <c r="Y9" i="16" s="1"/>
  <c r="X11" i="16"/>
  <c r="Y11" i="16" s="1"/>
  <c r="X14" i="16"/>
  <c r="Y14" i="16" s="1"/>
  <c r="X15" i="16"/>
  <c r="Y15" i="16" s="1"/>
  <c r="X18" i="16"/>
  <c r="Y18" i="16" s="1"/>
  <c r="X25" i="16"/>
  <c r="Y25" i="16" s="1"/>
  <c r="S32" i="16"/>
  <c r="S33" i="16"/>
  <c r="S34" i="16"/>
  <c r="S35" i="16"/>
  <c r="S36" i="16"/>
  <c r="L89" i="23"/>
  <c r="M89" i="23" s="1"/>
  <c r="W50" i="16"/>
  <c r="W40" i="16"/>
  <c r="X28" i="16" l="1"/>
  <c r="W101" i="16"/>
  <c r="W102" i="16"/>
  <c r="W103" i="16"/>
  <c r="W104" i="16"/>
  <c r="X96" i="16"/>
  <c r="X99" i="16"/>
  <c r="X69" i="16"/>
  <c r="I48" i="11" l="1"/>
  <c r="I49" i="11" s="1"/>
  <c r="J50" i="11" s="1"/>
  <c r="K49" i="11"/>
  <c r="I52" i="11"/>
  <c r="J52" i="11" s="1"/>
  <c r="I51" i="11"/>
  <c r="F52" i="11"/>
  <c r="X50" i="16" l="1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W53" i="16" l="1"/>
  <c r="W56" i="16"/>
  <c r="W57" i="16"/>
  <c r="W58" i="16"/>
  <c r="W59" i="16"/>
  <c r="W60" i="16"/>
  <c r="W61" i="16"/>
  <c r="W62" i="16"/>
  <c r="W63" i="16"/>
  <c r="W64" i="16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W81" i="16"/>
  <c r="W82" i="16"/>
  <c r="W51" i="16"/>
  <c r="W83" i="16"/>
  <c r="W55" i="16"/>
  <c r="W54" i="16"/>
  <c r="W52" i="16" l="1"/>
  <c r="X81" i="16"/>
  <c r="W84" i="16"/>
  <c r="X84" i="16"/>
  <c r="Y84" i="16" l="1"/>
  <c r="Y81" i="16"/>
  <c r="L129" i="23"/>
  <c r="L130" i="23"/>
  <c r="M130" i="23" s="1"/>
  <c r="L131" i="23"/>
  <c r="M131" i="23" s="1"/>
  <c r="L132" i="23"/>
  <c r="M132" i="23" s="1"/>
  <c r="L133" i="23"/>
  <c r="L134" i="23"/>
  <c r="M134" i="23" s="1"/>
  <c r="L135" i="23"/>
  <c r="M135" i="23" s="1"/>
  <c r="L136" i="23"/>
  <c r="M136" i="23" s="1"/>
  <c r="L137" i="23"/>
  <c r="L138" i="23"/>
  <c r="Y52" i="16" s="1"/>
  <c r="L139" i="23"/>
  <c r="M139" i="23" s="1"/>
  <c r="L140" i="23"/>
  <c r="M140" i="23" s="1"/>
  <c r="L141" i="23"/>
  <c r="M141" i="23" s="1"/>
  <c r="L142" i="23"/>
  <c r="M142" i="23" s="1"/>
  <c r="L143" i="23"/>
  <c r="M143" i="23" s="1"/>
  <c r="L144" i="23"/>
  <c r="L145" i="23"/>
  <c r="N145" i="23"/>
  <c r="L146" i="23"/>
  <c r="N146" i="23"/>
  <c r="L147" i="23"/>
  <c r="M147" i="23" s="1"/>
  <c r="N147" i="23"/>
  <c r="L148" i="23"/>
  <c r="M148" i="23" s="1"/>
  <c r="N148" i="23"/>
  <c r="L149" i="23"/>
  <c r="N149" i="23"/>
  <c r="L150" i="23"/>
  <c r="M150" i="23" s="1"/>
  <c r="N150" i="23"/>
  <c r="L151" i="23"/>
  <c r="M151" i="23" s="1"/>
  <c r="N151" i="23"/>
  <c r="L152" i="23"/>
  <c r="M152" i="23" s="1"/>
  <c r="N152" i="23"/>
  <c r="L153" i="23"/>
  <c r="N153" i="23"/>
  <c r="L154" i="23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M144" i="23" l="1"/>
  <c r="X42" i="16"/>
  <c r="M154" i="23"/>
  <c r="M146" i="23"/>
  <c r="X43" i="16"/>
  <c r="M153" i="23"/>
  <c r="M149" i="23"/>
  <c r="X44" i="16"/>
  <c r="M145" i="23"/>
  <c r="M138" i="23"/>
  <c r="M137" i="23"/>
  <c r="Y51" i="16"/>
  <c r="M133" i="23"/>
  <c r="Y50" i="16"/>
  <c r="M129" i="23"/>
  <c r="K89" i="38" l="1"/>
  <c r="K90" i="38"/>
  <c r="K91" i="38"/>
  <c r="K92" i="38"/>
  <c r="K93" i="38"/>
  <c r="K94" i="38"/>
  <c r="K95" i="38"/>
  <c r="K96" i="38"/>
  <c r="K97" i="38"/>
  <c r="K98" i="38"/>
  <c r="K99" i="38"/>
  <c r="H165" i="15" l="1"/>
  <c r="H166" i="15"/>
  <c r="H168" i="15"/>
  <c r="H169" i="15"/>
  <c r="H170" i="15"/>
  <c r="H171" i="15"/>
  <c r="H172" i="15"/>
  <c r="H173" i="15"/>
  <c r="H174" i="15"/>
  <c r="H175" i="15"/>
  <c r="H176" i="15"/>
  <c r="H177" i="15"/>
  <c r="H119" i="16" s="1"/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J65" i="16" l="1"/>
  <c r="L27" i="38" l="1"/>
  <c r="L28" i="38"/>
  <c r="L29" i="38"/>
  <c r="N29" i="38" s="1"/>
  <c r="O29" i="38" s="1"/>
  <c r="L30" i="38"/>
  <c r="N30" i="38" s="1"/>
  <c r="O30" i="38" s="1"/>
  <c r="L31" i="38"/>
  <c r="N31" i="38" s="1"/>
  <c r="O31" i="38" s="1"/>
  <c r="L32" i="38"/>
  <c r="L33" i="38"/>
  <c r="N33" i="38" s="1"/>
  <c r="O33" i="38" s="1"/>
  <c r="L34" i="38"/>
  <c r="N34" i="38" s="1"/>
  <c r="O34" i="38" s="1"/>
  <c r="L35" i="38"/>
  <c r="L36" i="38"/>
  <c r="L37" i="38"/>
  <c r="N37" i="38" s="1"/>
  <c r="O37" i="38" s="1"/>
  <c r="L38" i="38"/>
  <c r="N38" i="38" s="1"/>
  <c r="O38" i="38" s="1"/>
  <c r="P38" i="38" s="1"/>
  <c r="L39" i="38"/>
  <c r="L40" i="38"/>
  <c r="L41" i="38"/>
  <c r="N41" i="38" s="1"/>
  <c r="O41" i="38" s="1"/>
  <c r="L42" i="38"/>
  <c r="N42" i="38" s="1"/>
  <c r="O42" i="38" s="1"/>
  <c r="L43" i="38"/>
  <c r="L44" i="38"/>
  <c r="L45" i="38"/>
  <c r="N45" i="38" s="1"/>
  <c r="O45" i="38" s="1"/>
  <c r="L46" i="38"/>
  <c r="N46" i="38" s="1"/>
  <c r="O46" i="38" s="1"/>
  <c r="L47" i="38"/>
  <c r="L48" i="38"/>
  <c r="L49" i="38"/>
  <c r="N49" i="38" s="1"/>
  <c r="O49" i="38" s="1"/>
  <c r="L50" i="38"/>
  <c r="N50" i="38" s="1"/>
  <c r="O50" i="38" s="1"/>
  <c r="L51" i="38"/>
  <c r="L52" i="38"/>
  <c r="L53" i="38"/>
  <c r="N53" i="38" s="1"/>
  <c r="O53" i="38" s="1"/>
  <c r="L54" i="38"/>
  <c r="N54" i="38" s="1"/>
  <c r="O54" i="38" s="1"/>
  <c r="L55" i="38"/>
  <c r="L56" i="38"/>
  <c r="L57" i="38"/>
  <c r="N57" i="38" s="1"/>
  <c r="O57" i="38" s="1"/>
  <c r="L58" i="38"/>
  <c r="N58" i="38" s="1"/>
  <c r="O58" i="38" s="1"/>
  <c r="L59" i="38"/>
  <c r="L60" i="38"/>
  <c r="L61" i="38"/>
  <c r="N61" i="38" s="1"/>
  <c r="O61" i="38" s="1"/>
  <c r="L62" i="38"/>
  <c r="N62" i="38" s="1"/>
  <c r="O62" i="38" s="1"/>
  <c r="L63" i="38"/>
  <c r="L64" i="38"/>
  <c r="L65" i="38"/>
  <c r="N65" i="38" s="1"/>
  <c r="O65" i="38" s="1"/>
  <c r="L66" i="38"/>
  <c r="N66" i="38" s="1"/>
  <c r="O66" i="38" s="1"/>
  <c r="L67" i="38"/>
  <c r="L68" i="38"/>
  <c r="L69" i="38"/>
  <c r="N69" i="38" s="1"/>
  <c r="O69" i="38" s="1"/>
  <c r="L70" i="38"/>
  <c r="N70" i="38" s="1"/>
  <c r="O70" i="38" s="1"/>
  <c r="L71" i="38"/>
  <c r="L72" i="38"/>
  <c r="L73" i="38"/>
  <c r="N73" i="38" s="1"/>
  <c r="O73" i="38" s="1"/>
  <c r="L74" i="38"/>
  <c r="N74" i="38" s="1"/>
  <c r="O74" i="38" s="1"/>
  <c r="L75" i="38"/>
  <c r="L76" i="38"/>
  <c r="L77" i="38"/>
  <c r="N77" i="38" s="1"/>
  <c r="O77" i="38" s="1"/>
  <c r="L78" i="38"/>
  <c r="N78" i="38" s="1"/>
  <c r="O78" i="38" s="1"/>
  <c r="L79" i="38"/>
  <c r="L80" i="38"/>
  <c r="L81" i="38"/>
  <c r="N81" i="38" s="1"/>
  <c r="O81" i="38" s="1"/>
  <c r="P81" i="38" s="1"/>
  <c r="L82" i="38"/>
  <c r="N82" i="38" s="1"/>
  <c r="O82" i="38" s="1"/>
  <c r="P82" i="38" s="1"/>
  <c r="L83" i="38"/>
  <c r="L84" i="38"/>
  <c r="L85" i="38"/>
  <c r="N85" i="38" s="1"/>
  <c r="O85" i="38" s="1"/>
  <c r="P85" i="38" s="1"/>
  <c r="L86" i="38"/>
  <c r="N86" i="38" s="1"/>
  <c r="O86" i="38" s="1"/>
  <c r="P86" i="38" s="1"/>
  <c r="L87" i="38"/>
  <c r="L88" i="38"/>
  <c r="L89" i="38"/>
  <c r="N89" i="38" s="1"/>
  <c r="O89" i="38" s="1"/>
  <c r="P89" i="38" s="1"/>
  <c r="L90" i="38"/>
  <c r="N90" i="38" s="1"/>
  <c r="O90" i="38" s="1"/>
  <c r="P90" i="38" s="1"/>
  <c r="L91" i="38"/>
  <c r="L92" i="38"/>
  <c r="W80" i="16" l="1"/>
  <c r="P74" i="38"/>
  <c r="W79" i="16"/>
  <c r="W45" i="16"/>
  <c r="P78" i="38"/>
  <c r="W44" i="16"/>
  <c r="P70" i="38"/>
  <c r="W41" i="16"/>
  <c r="P66" i="38"/>
  <c r="W38" i="16"/>
  <c r="P62" i="38"/>
  <c r="W35" i="16"/>
  <c r="P58" i="38"/>
  <c r="W34" i="16"/>
  <c r="P54" i="38"/>
  <c r="W30" i="16"/>
  <c r="P50" i="38"/>
  <c r="W27" i="16"/>
  <c r="P46" i="38"/>
  <c r="W92" i="16"/>
  <c r="P42" i="38"/>
  <c r="W21" i="16"/>
  <c r="P34" i="38"/>
  <c r="W86" i="16"/>
  <c r="P30" i="38"/>
  <c r="W100" i="16"/>
  <c r="P77" i="38"/>
  <c r="W99" i="16"/>
  <c r="P73" i="38"/>
  <c r="W78" i="16"/>
  <c r="P69" i="38"/>
  <c r="W77" i="16"/>
  <c r="P65" i="38"/>
  <c r="W37" i="16"/>
  <c r="P61" i="38"/>
  <c r="W94" i="16"/>
  <c r="P57" i="38"/>
  <c r="W33" i="16"/>
  <c r="P53" i="38"/>
  <c r="W29" i="16"/>
  <c r="P49" i="38"/>
  <c r="W26" i="16"/>
  <c r="P45" i="38"/>
  <c r="W91" i="16"/>
  <c r="P41" i="38"/>
  <c r="W73" i="16"/>
  <c r="P37" i="38"/>
  <c r="W19" i="16"/>
  <c r="P33" i="38"/>
  <c r="W17" i="16"/>
  <c r="P29" i="38"/>
  <c r="W18" i="16"/>
  <c r="P31" i="38"/>
  <c r="M84" i="38"/>
  <c r="N84" i="38"/>
  <c r="O84" i="38" s="1"/>
  <c r="P84" i="38" s="1"/>
  <c r="M80" i="38"/>
  <c r="N80" i="38"/>
  <c r="O80" i="38" s="1"/>
  <c r="M76" i="38"/>
  <c r="N76" i="38"/>
  <c r="O76" i="38" s="1"/>
  <c r="M72" i="38"/>
  <c r="N72" i="38"/>
  <c r="O72" i="38" s="1"/>
  <c r="M68" i="38"/>
  <c r="N68" i="38"/>
  <c r="O68" i="38" s="1"/>
  <c r="M64" i="38"/>
  <c r="N64" i="38"/>
  <c r="O64" i="38" s="1"/>
  <c r="M60" i="38"/>
  <c r="N60" i="38"/>
  <c r="O60" i="38" s="1"/>
  <c r="M56" i="38"/>
  <c r="N56" i="38"/>
  <c r="O56" i="38" s="1"/>
  <c r="M52" i="38"/>
  <c r="N52" i="38"/>
  <c r="O52" i="38" s="1"/>
  <c r="M48" i="38"/>
  <c r="N48" i="38"/>
  <c r="O48" i="38" s="1"/>
  <c r="M44" i="38"/>
  <c r="N44" i="38"/>
  <c r="O44" i="38" s="1"/>
  <c r="M40" i="38"/>
  <c r="N40" i="38"/>
  <c r="O40" i="38" s="1"/>
  <c r="M36" i="38"/>
  <c r="N36" i="38"/>
  <c r="O36" i="38" s="1"/>
  <c r="M32" i="38"/>
  <c r="N32" i="38"/>
  <c r="O32" i="38" s="1"/>
  <c r="M28" i="38"/>
  <c r="N28" i="38"/>
  <c r="O28" i="38" s="1"/>
  <c r="M92" i="38"/>
  <c r="N92" i="38"/>
  <c r="O92" i="38" s="1"/>
  <c r="P92" i="38" s="1"/>
  <c r="M88" i="38"/>
  <c r="N88" i="38"/>
  <c r="O88" i="38" s="1"/>
  <c r="P88" i="38" s="1"/>
  <c r="M91" i="38"/>
  <c r="N91" i="38"/>
  <c r="O91" i="38" s="1"/>
  <c r="P91" i="38" s="1"/>
  <c r="M87" i="38"/>
  <c r="N87" i="38"/>
  <c r="O87" i="38" s="1"/>
  <c r="P87" i="38" s="1"/>
  <c r="M83" i="38"/>
  <c r="N83" i="38"/>
  <c r="O83" i="38" s="1"/>
  <c r="P83" i="38" s="1"/>
  <c r="M79" i="38"/>
  <c r="N79" i="38"/>
  <c r="O79" i="38" s="1"/>
  <c r="M75" i="38"/>
  <c r="N75" i="38"/>
  <c r="O75" i="38" s="1"/>
  <c r="M71" i="38"/>
  <c r="N71" i="38"/>
  <c r="O71" i="38" s="1"/>
  <c r="M67" i="38"/>
  <c r="N67" i="38"/>
  <c r="O67" i="38" s="1"/>
  <c r="M63" i="38"/>
  <c r="N63" i="38"/>
  <c r="O63" i="38" s="1"/>
  <c r="M59" i="38"/>
  <c r="N59" i="38"/>
  <c r="O59" i="38" s="1"/>
  <c r="W49" i="16" s="1"/>
  <c r="M55" i="38"/>
  <c r="N55" i="38"/>
  <c r="O55" i="38" s="1"/>
  <c r="M51" i="38"/>
  <c r="N51" i="38"/>
  <c r="O51" i="38" s="1"/>
  <c r="M47" i="38"/>
  <c r="N47" i="38"/>
  <c r="O47" i="38" s="1"/>
  <c r="M43" i="38"/>
  <c r="N43" i="38"/>
  <c r="O43" i="38" s="1"/>
  <c r="M39" i="38"/>
  <c r="N39" i="38"/>
  <c r="O39" i="38" s="1"/>
  <c r="M35" i="38"/>
  <c r="N35" i="38"/>
  <c r="O35" i="38" s="1"/>
  <c r="M27" i="38"/>
  <c r="N27" i="38"/>
  <c r="O27" i="38" s="1"/>
  <c r="M30" i="38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P28" i="38" l="1"/>
  <c r="W72" i="16"/>
  <c r="W15" i="16"/>
  <c r="P27" i="38"/>
  <c r="W24" i="16"/>
  <c r="P39" i="38"/>
  <c r="W75" i="16"/>
  <c r="P47" i="38"/>
  <c r="W32" i="16"/>
  <c r="P55" i="38"/>
  <c r="W36" i="16"/>
  <c r="P63" i="38"/>
  <c r="W42" i="16"/>
  <c r="P71" i="38"/>
  <c r="W46" i="16"/>
  <c r="P79" i="38"/>
  <c r="W22" i="16"/>
  <c r="P36" i="38"/>
  <c r="W74" i="16"/>
  <c r="P44" i="38"/>
  <c r="W31" i="16"/>
  <c r="P52" i="38"/>
  <c r="W95" i="16"/>
  <c r="P60" i="38"/>
  <c r="W97" i="16"/>
  <c r="P68" i="38"/>
  <c r="W47" i="16"/>
  <c r="P76" i="38"/>
  <c r="W20" i="16"/>
  <c r="P35" i="38"/>
  <c r="W25" i="16"/>
  <c r="P43" i="38"/>
  <c r="W76" i="16"/>
  <c r="P51" i="38"/>
  <c r="P59" i="38"/>
  <c r="W39" i="16"/>
  <c r="P67" i="38"/>
  <c r="W98" i="16"/>
  <c r="P75" i="38"/>
  <c r="W90" i="16"/>
  <c r="P32" i="38"/>
  <c r="W23" i="16"/>
  <c r="P40" i="38"/>
  <c r="W28" i="16"/>
  <c r="P48" i="38"/>
  <c r="W93" i="16"/>
  <c r="P56" i="38"/>
  <c r="W96" i="16"/>
  <c r="P64" i="38"/>
  <c r="W43" i="16"/>
  <c r="P72" i="38"/>
  <c r="W48" i="16"/>
  <c r="P80" i="38"/>
  <c r="F149" i="15"/>
  <c r="F150" i="15"/>
  <c r="H167" i="15" s="1"/>
  <c r="F151" i="15"/>
  <c r="K5" i="38" l="1"/>
  <c r="I136" i="14" l="1"/>
  <c r="D76" i="14"/>
  <c r="F51" i="11" l="1"/>
  <c r="L52" i="11"/>
  <c r="L51" i="11"/>
  <c r="S73" i="16" l="1"/>
  <c r="T73" i="16"/>
  <c r="S74" i="16"/>
  <c r="T74" i="16"/>
  <c r="S75" i="16"/>
  <c r="T75" i="16"/>
  <c r="S76" i="16"/>
  <c r="T76" i="16"/>
  <c r="V73" i="16" l="1"/>
  <c r="U74" i="16"/>
  <c r="V76" i="16"/>
  <c r="V74" i="16"/>
  <c r="U73" i="16"/>
  <c r="U76" i="16"/>
  <c r="U75" i="16"/>
  <c r="V75" i="16"/>
  <c r="L6" i="38" l="1"/>
  <c r="N6" i="38" s="1"/>
  <c r="O6" i="38" s="1"/>
  <c r="L7" i="38"/>
  <c r="N7" i="38" s="1"/>
  <c r="O7" i="38" s="1"/>
  <c r="L8" i="38"/>
  <c r="N8" i="38" s="1"/>
  <c r="O8" i="38" s="1"/>
  <c r="L9" i="38"/>
  <c r="N9" i="38" s="1"/>
  <c r="O9" i="38" s="1"/>
  <c r="L10" i="38"/>
  <c r="N10" i="38" s="1"/>
  <c r="O10" i="38" s="1"/>
  <c r="L11" i="38"/>
  <c r="N11" i="38" s="1"/>
  <c r="O11" i="38" s="1"/>
  <c r="L12" i="38"/>
  <c r="N12" i="38" s="1"/>
  <c r="O12" i="38" s="1"/>
  <c r="L13" i="38"/>
  <c r="N13" i="38" s="1"/>
  <c r="O13" i="38" s="1"/>
  <c r="L14" i="38"/>
  <c r="N14" i="38" s="1"/>
  <c r="O14" i="38" s="1"/>
  <c r="L15" i="38"/>
  <c r="N15" i="38" s="1"/>
  <c r="O15" i="38" s="1"/>
  <c r="L16" i="38"/>
  <c r="N16" i="38" s="1"/>
  <c r="O16" i="38" s="1"/>
  <c r="L17" i="38"/>
  <c r="N17" i="38" s="1"/>
  <c r="O17" i="38" s="1"/>
  <c r="L18" i="38"/>
  <c r="N18" i="38" s="1"/>
  <c r="O18" i="38" s="1"/>
  <c r="L19" i="38"/>
  <c r="N19" i="38" s="1"/>
  <c r="O19" i="38" s="1"/>
  <c r="L20" i="38"/>
  <c r="N20" i="38" s="1"/>
  <c r="O20" i="38" s="1"/>
  <c r="L21" i="38"/>
  <c r="N21" i="38" s="1"/>
  <c r="O21" i="38" s="1"/>
  <c r="L22" i="38"/>
  <c r="N22" i="38" s="1"/>
  <c r="O22" i="38" s="1"/>
  <c r="L23" i="38"/>
  <c r="N23" i="38" s="1"/>
  <c r="O23" i="38" s="1"/>
  <c r="L24" i="38"/>
  <c r="N24" i="38" s="1"/>
  <c r="O24" i="38" s="1"/>
  <c r="L25" i="38"/>
  <c r="N25" i="38" s="1"/>
  <c r="O25" i="38" s="1"/>
  <c r="L26" i="38"/>
  <c r="N26" i="38" s="1"/>
  <c r="O26" i="38" s="1"/>
  <c r="L93" i="38"/>
  <c r="N93" i="38" s="1"/>
  <c r="O93" i="38" s="1"/>
  <c r="P93" i="38" s="1"/>
  <c r="L94" i="38"/>
  <c r="N94" i="38" s="1"/>
  <c r="O94" i="38" s="1"/>
  <c r="P94" i="38" s="1"/>
  <c r="L95" i="38"/>
  <c r="N95" i="38" s="1"/>
  <c r="O95" i="38" s="1"/>
  <c r="P95" i="38" s="1"/>
  <c r="L96" i="38"/>
  <c r="N96" i="38" s="1"/>
  <c r="O96" i="38" s="1"/>
  <c r="P96" i="38" s="1"/>
  <c r="L97" i="38"/>
  <c r="N97" i="38" s="1"/>
  <c r="O97" i="38" s="1"/>
  <c r="P97" i="38" s="1"/>
  <c r="L98" i="38"/>
  <c r="N98" i="38" s="1"/>
  <c r="O98" i="38" s="1"/>
  <c r="P98" i="38" s="1"/>
  <c r="L99" i="38"/>
  <c r="N99" i="38" s="1"/>
  <c r="O99" i="38" s="1"/>
  <c r="P99" i="38" s="1"/>
  <c r="W14" i="16" l="1"/>
  <c r="P25" i="38"/>
  <c r="W13" i="16"/>
  <c r="P21" i="38"/>
  <c r="W12" i="16"/>
  <c r="P17" i="38"/>
  <c r="W68" i="16"/>
  <c r="P13" i="38"/>
  <c r="W6" i="16"/>
  <c r="P9" i="38"/>
  <c r="W70" i="16"/>
  <c r="P24" i="38"/>
  <c r="W89" i="16"/>
  <c r="P20" i="38"/>
  <c r="W10" i="16"/>
  <c r="P16" i="38"/>
  <c r="W7" i="16"/>
  <c r="P12" i="38"/>
  <c r="W3" i="16"/>
  <c r="P8" i="38"/>
  <c r="W71" i="16"/>
  <c r="P23" i="38"/>
  <c r="W88" i="16"/>
  <c r="P19" i="38"/>
  <c r="W9" i="16"/>
  <c r="P15" i="38"/>
  <c r="W87" i="16"/>
  <c r="P11" i="38"/>
  <c r="W66" i="16"/>
  <c r="P7" i="38"/>
  <c r="W16" i="16"/>
  <c r="P26" i="38"/>
  <c r="W69" i="16"/>
  <c r="P22" i="38"/>
  <c r="W11" i="16"/>
  <c r="P18" i="38"/>
  <c r="W8" i="16"/>
  <c r="P14" i="38"/>
  <c r="W67" i="16"/>
  <c r="P10" i="38"/>
  <c r="W5" i="16"/>
  <c r="P6" i="38"/>
  <c r="M6" i="38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S87" i="16"/>
  <c r="T87" i="16"/>
  <c r="S88" i="16"/>
  <c r="T88" i="16"/>
  <c r="S89" i="16"/>
  <c r="T89" i="16"/>
  <c r="S90" i="16"/>
  <c r="T90" i="16"/>
  <c r="S91" i="16"/>
  <c r="T91" i="16"/>
  <c r="S92" i="16"/>
  <c r="T92" i="16"/>
  <c r="S93" i="16"/>
  <c r="T93" i="16"/>
  <c r="S94" i="16"/>
  <c r="T94" i="16"/>
  <c r="S95" i="16"/>
  <c r="T95" i="16"/>
  <c r="S96" i="16"/>
  <c r="T96" i="16"/>
  <c r="S97" i="16"/>
  <c r="T97" i="16"/>
  <c r="S98" i="16"/>
  <c r="T98" i="16"/>
  <c r="S99" i="16"/>
  <c r="T99" i="16"/>
  <c r="S100" i="16"/>
  <c r="T100" i="16"/>
  <c r="S104" i="16"/>
  <c r="T104" i="16"/>
  <c r="S105" i="16"/>
  <c r="T105" i="16"/>
  <c r="S106" i="16"/>
  <c r="T106" i="16"/>
  <c r="W106" i="16"/>
  <c r="X106" i="16"/>
  <c r="S107" i="16"/>
  <c r="T107" i="16"/>
  <c r="W107" i="16"/>
  <c r="X107" i="16"/>
  <c r="S108" i="16"/>
  <c r="T108" i="16"/>
  <c r="W108" i="16"/>
  <c r="X108" i="16"/>
  <c r="S67" i="16"/>
  <c r="T67" i="16"/>
  <c r="S68" i="16"/>
  <c r="T68" i="16"/>
  <c r="S69" i="16"/>
  <c r="T69" i="16"/>
  <c r="S70" i="16"/>
  <c r="T70" i="16"/>
  <c r="S71" i="16"/>
  <c r="T71" i="16"/>
  <c r="S72" i="16"/>
  <c r="T72" i="16"/>
  <c r="S77" i="16"/>
  <c r="T77" i="16"/>
  <c r="S78" i="16"/>
  <c r="T78" i="16"/>
  <c r="S79" i="16"/>
  <c r="T79" i="16"/>
  <c r="S80" i="16"/>
  <c r="T80" i="16"/>
  <c r="S81" i="16"/>
  <c r="T81" i="16"/>
  <c r="S82" i="16"/>
  <c r="T82" i="16"/>
  <c r="S83" i="16"/>
  <c r="T83" i="16"/>
  <c r="S84" i="16"/>
  <c r="T84" i="16"/>
  <c r="S3" i="16"/>
  <c r="T3" i="16"/>
  <c r="S4" i="16"/>
  <c r="T4" i="16"/>
  <c r="S5" i="16"/>
  <c r="T5" i="16"/>
  <c r="S6" i="16"/>
  <c r="T6" i="16"/>
  <c r="S7" i="16"/>
  <c r="T7" i="16"/>
  <c r="S8" i="16"/>
  <c r="T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T18" i="16"/>
  <c r="S19" i="16"/>
  <c r="T19" i="16"/>
  <c r="S20" i="16"/>
  <c r="T20" i="16"/>
  <c r="S21" i="16"/>
  <c r="T21" i="16"/>
  <c r="S22" i="16"/>
  <c r="T22" i="16"/>
  <c r="S23" i="16"/>
  <c r="T23" i="16"/>
  <c r="S24" i="16"/>
  <c r="T24" i="16"/>
  <c r="S25" i="16"/>
  <c r="T25" i="16"/>
  <c r="S26" i="16"/>
  <c r="T26" i="16"/>
  <c r="S27" i="16"/>
  <c r="T27" i="16"/>
  <c r="S28" i="16"/>
  <c r="T28" i="16"/>
  <c r="S29" i="16"/>
  <c r="T29" i="16"/>
  <c r="S30" i="16"/>
  <c r="T30" i="16"/>
  <c r="S31" i="16"/>
  <c r="T31" i="16"/>
  <c r="T32" i="16"/>
  <c r="T33" i="16"/>
  <c r="T34" i="16"/>
  <c r="T35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Y60" i="16"/>
  <c r="S61" i="16"/>
  <c r="T61" i="16"/>
  <c r="Y61" i="16"/>
  <c r="S62" i="16"/>
  <c r="T62" i="16"/>
  <c r="Y62" i="16"/>
  <c r="S63" i="16"/>
  <c r="T63" i="16"/>
  <c r="Y63" i="16"/>
  <c r="S64" i="16"/>
  <c r="T64" i="16"/>
  <c r="Y64" i="16"/>
  <c r="K65" i="16"/>
  <c r="L65" i="16"/>
  <c r="M65" i="16"/>
  <c r="N65" i="16"/>
  <c r="O65" i="16"/>
  <c r="P65" i="16"/>
  <c r="Y108" i="16" l="1"/>
  <c r="Y107" i="16"/>
  <c r="Y106" i="16"/>
  <c r="V100" i="16"/>
  <c r="U77" i="16"/>
  <c r="V23" i="16"/>
  <c r="U39" i="16"/>
  <c r="U83" i="16"/>
  <c r="U81" i="16"/>
  <c r="V40" i="16"/>
  <c r="U63" i="16"/>
  <c r="V84" i="16"/>
  <c r="Z84" i="16" s="1"/>
  <c r="V82" i="16"/>
  <c r="U80" i="16"/>
  <c r="V107" i="16"/>
  <c r="Z107" i="16" s="1"/>
  <c r="V104" i="16"/>
  <c r="U88" i="16"/>
  <c r="V53" i="16"/>
  <c r="Z53" i="16" s="1"/>
  <c r="U96" i="16"/>
  <c r="V44" i="16"/>
  <c r="U3" i="16"/>
  <c r="U47" i="16"/>
  <c r="V32" i="16"/>
  <c r="V26" i="16"/>
  <c r="V18" i="16"/>
  <c r="U93" i="16"/>
  <c r="V88" i="16"/>
  <c r="U87" i="16"/>
  <c r="V68" i="16"/>
  <c r="V16" i="16"/>
  <c r="U9" i="16"/>
  <c r="U5" i="16"/>
  <c r="U12" i="16"/>
  <c r="U71" i="16"/>
  <c r="U67" i="16"/>
  <c r="V63" i="16"/>
  <c r="Z63" i="16" s="1"/>
  <c r="V54" i="16"/>
  <c r="V57" i="16"/>
  <c r="Z57" i="16" s="1"/>
  <c r="V62" i="16"/>
  <c r="Z62" i="16" s="1"/>
  <c r="V56" i="16"/>
  <c r="Z56" i="16" s="1"/>
  <c r="V49" i="16"/>
  <c r="V69" i="16"/>
  <c r="Z69" i="16" s="1"/>
  <c r="U95" i="16"/>
  <c r="U98" i="16"/>
  <c r="U94" i="16"/>
  <c r="U90" i="16"/>
  <c r="U40" i="16"/>
  <c r="U57" i="16"/>
  <c r="U52" i="16"/>
  <c r="U48" i="16"/>
  <c r="U45" i="16"/>
  <c r="U27" i="16"/>
  <c r="U19" i="16"/>
  <c r="U15" i="16"/>
  <c r="U10" i="16"/>
  <c r="V6" i="16"/>
  <c r="U31" i="16"/>
  <c r="U17" i="16"/>
  <c r="V37" i="16"/>
  <c r="N144" i="23" s="1"/>
  <c r="U68" i="16"/>
  <c r="U108" i="16"/>
  <c r="U106" i="16"/>
  <c r="V99" i="16"/>
  <c r="V95" i="16"/>
  <c r="V91" i="16"/>
  <c r="U64" i="16"/>
  <c r="U51" i="16"/>
  <c r="V33" i="16"/>
  <c r="U30" i="16"/>
  <c r="V28" i="16"/>
  <c r="N89" i="23" s="1"/>
  <c r="U25" i="16"/>
  <c r="U21" i="16"/>
  <c r="V47" i="16"/>
  <c r="N136" i="23" s="1"/>
  <c r="V43" i="16"/>
  <c r="U36" i="16"/>
  <c r="V29" i="16"/>
  <c r="V24" i="16"/>
  <c r="V17" i="16"/>
  <c r="U14" i="16"/>
  <c r="U61" i="16"/>
  <c r="V58" i="16"/>
  <c r="Z58" i="16" s="1"/>
  <c r="U55" i="16"/>
  <c r="U7" i="16"/>
  <c r="U62" i="16"/>
  <c r="V60" i="16"/>
  <c r="Z60" i="16" s="1"/>
  <c r="U53" i="16"/>
  <c r="V39" i="16"/>
  <c r="V35" i="16"/>
  <c r="U32" i="16"/>
  <c r="V13" i="16"/>
  <c r="V98" i="16"/>
  <c r="V59" i="16"/>
  <c r="Z59" i="16" s="1"/>
  <c r="U56" i="16"/>
  <c r="U46" i="16"/>
  <c r="V42" i="16"/>
  <c r="Z42" i="16" s="1"/>
  <c r="V38" i="16"/>
  <c r="V8" i="16"/>
  <c r="V4" i="16"/>
  <c r="V81" i="16"/>
  <c r="Z81" i="16" s="1"/>
  <c r="U70" i="16"/>
  <c r="U104" i="16"/>
  <c r="V89" i="16"/>
  <c r="V31" i="16"/>
  <c r="U26" i="16"/>
  <c r="V22" i="16"/>
  <c r="U72" i="16"/>
  <c r="U69" i="16"/>
  <c r="U92" i="16"/>
  <c r="V27" i="16"/>
  <c r="U24" i="16"/>
  <c r="V20" i="16"/>
  <c r="V14" i="16"/>
  <c r="Z14" i="16" s="1"/>
  <c r="V10" i="16"/>
  <c r="V7" i="16"/>
  <c r="U97" i="16"/>
  <c r="V94" i="16"/>
  <c r="V90" i="16"/>
  <c r="U54" i="16"/>
  <c r="V70" i="16"/>
  <c r="V96" i="16"/>
  <c r="Z96" i="16" s="1"/>
  <c r="U79" i="16"/>
  <c r="V77" i="16"/>
  <c r="U105" i="16"/>
  <c r="U100" i="16"/>
  <c r="V93" i="16"/>
  <c r="U60" i="16"/>
  <c r="V41" i="16"/>
  <c r="U38" i="16"/>
  <c r="V64" i="16"/>
  <c r="Z64" i="16" s="1"/>
  <c r="U37" i="16"/>
  <c r="U33" i="16"/>
  <c r="V19" i="16"/>
  <c r="U13" i="16"/>
  <c r="U6" i="16"/>
  <c r="V50" i="16"/>
  <c r="Z50" i="16" s="1"/>
  <c r="U44" i="16"/>
  <c r="V34" i="16"/>
  <c r="N135" i="23" s="1"/>
  <c r="U23" i="16"/>
  <c r="U59" i="16"/>
  <c r="V61" i="16"/>
  <c r="Z61" i="16" s="1"/>
  <c r="U49" i="16"/>
  <c r="U43" i="16"/>
  <c r="V36" i="16"/>
  <c r="V30" i="16"/>
  <c r="U22" i="16"/>
  <c r="U16" i="16"/>
  <c r="V12" i="16"/>
  <c r="V9" i="16"/>
  <c r="Z9" i="16" s="1"/>
  <c r="V5" i="16"/>
  <c r="U84" i="16"/>
  <c r="U82" i="16"/>
  <c r="V80" i="16"/>
  <c r="V72" i="16"/>
  <c r="U107" i="16"/>
  <c r="U99" i="16"/>
  <c r="V92" i="16"/>
  <c r="U89" i="16"/>
  <c r="V55" i="16"/>
  <c r="V52" i="16"/>
  <c r="Z52" i="16" s="1"/>
  <c r="V46" i="16"/>
  <c r="V25" i="16"/>
  <c r="V21" i="16"/>
  <c r="U18" i="16"/>
  <c r="V15" i="16"/>
  <c r="V51" i="16"/>
  <c r="Z51" i="16" s="1"/>
  <c r="V48" i="16"/>
  <c r="V45" i="16"/>
  <c r="U41" i="16"/>
  <c r="U35" i="16"/>
  <c r="U29" i="16"/>
  <c r="U11" i="16"/>
  <c r="U8" i="16"/>
  <c r="U4" i="16"/>
  <c r="V83" i="16"/>
  <c r="U78" i="16"/>
  <c r="V71" i="16"/>
  <c r="V108" i="16"/>
  <c r="Z108" i="16" s="1"/>
  <c r="V106" i="16"/>
  <c r="Z106" i="16" s="1"/>
  <c r="U91" i="16"/>
  <c r="V87" i="16"/>
  <c r="V105" i="16"/>
  <c r="V97" i="16"/>
  <c r="V78" i="16"/>
  <c r="V79" i="16"/>
  <c r="V67" i="16"/>
  <c r="U58" i="16"/>
  <c r="U50" i="16"/>
  <c r="U42" i="16"/>
  <c r="U34" i="16"/>
  <c r="U28" i="16"/>
  <c r="U20" i="16"/>
  <c r="V11" i="16"/>
  <c r="V3" i="16"/>
  <c r="K100" i="38"/>
  <c r="L5" i="38"/>
  <c r="N5" i="38" s="1"/>
  <c r="O5" i="38" s="1"/>
  <c r="W105" i="16"/>
  <c r="W4" i="16" l="1"/>
  <c r="O100" i="38"/>
  <c r="E4" i="11" s="1"/>
  <c r="P5" i="38"/>
  <c r="Z99" i="16"/>
  <c r="N143" i="23"/>
  <c r="N139" i="23"/>
  <c r="N134" i="23"/>
  <c r="N130" i="23"/>
  <c r="N142" i="23"/>
  <c r="Z54" i="16"/>
  <c r="N141" i="23"/>
  <c r="Z55" i="16"/>
  <c r="N140" i="23"/>
  <c r="N129" i="23"/>
  <c r="N137" i="23"/>
  <c r="N138" i="23"/>
  <c r="N133" i="23"/>
  <c r="N131" i="23"/>
  <c r="N132" i="23"/>
  <c r="P100" i="38" l="1"/>
  <c r="J85" i="16" l="1"/>
  <c r="E5" i="11" l="1"/>
  <c r="M5" i="38"/>
  <c r="L3" i="23"/>
  <c r="L4" i="23"/>
  <c r="L5" i="23"/>
  <c r="X3" i="16" s="1"/>
  <c r="Y3" i="16" s="1"/>
  <c r="L6" i="23"/>
  <c r="X4" i="16" s="1"/>
  <c r="Y4" i="16" s="1"/>
  <c r="L7" i="23"/>
  <c r="L8" i="23"/>
  <c r="X67" i="16" s="1"/>
  <c r="Z67" i="16" s="1"/>
  <c r="L9" i="23"/>
  <c r="L10" i="23"/>
  <c r="L11" i="23"/>
  <c r="X80" i="16" s="1"/>
  <c r="Z80" i="16" s="1"/>
  <c r="L12" i="23"/>
  <c r="L13" i="23"/>
  <c r="Y54" i="16" s="1"/>
  <c r="L14" i="23"/>
  <c r="X46" i="16" s="1"/>
  <c r="L15" i="23"/>
  <c r="X100" i="16" s="1"/>
  <c r="Z100" i="16" s="1"/>
  <c r="L16" i="23"/>
  <c r="L17" i="23"/>
  <c r="L18" i="23"/>
  <c r="X45" i="16" s="1"/>
  <c r="L19" i="23"/>
  <c r="L20" i="23"/>
  <c r="L21" i="23"/>
  <c r="L22" i="23"/>
  <c r="X97" i="16" s="1"/>
  <c r="Z97" i="16" s="1"/>
  <c r="L23" i="23"/>
  <c r="X8" i="16" s="1"/>
  <c r="Y8" i="16" s="1"/>
  <c r="L24" i="23"/>
  <c r="L25" i="23"/>
  <c r="L26" i="23"/>
  <c r="L27" i="23"/>
  <c r="L28" i="23"/>
  <c r="L29" i="23"/>
  <c r="L30" i="23"/>
  <c r="X12" i="16" s="1"/>
  <c r="Y12" i="16" s="1"/>
  <c r="L31" i="23"/>
  <c r="L32" i="23"/>
  <c r="Z7" i="16" s="1"/>
  <c r="L33" i="23"/>
  <c r="L34" i="23"/>
  <c r="L35" i="23"/>
  <c r="X48" i="16" s="1"/>
  <c r="L36" i="23"/>
  <c r="L37" i="23"/>
  <c r="L38" i="23"/>
  <c r="X13" i="16" s="1"/>
  <c r="Y13" i="16" s="1"/>
  <c r="L39" i="23"/>
  <c r="X71" i="16" s="1"/>
  <c r="Z71" i="16" s="1"/>
  <c r="L40" i="23"/>
  <c r="L41" i="23"/>
  <c r="X91" i="16" s="1"/>
  <c r="Z91" i="16" s="1"/>
  <c r="L42" i="23"/>
  <c r="L43" i="23"/>
  <c r="Z11" i="16" s="1"/>
  <c r="L44" i="23"/>
  <c r="X70" i="16" s="1"/>
  <c r="Z70" i="16" s="1"/>
  <c r="L45" i="23"/>
  <c r="L46" i="23"/>
  <c r="L47" i="23"/>
  <c r="L48" i="23"/>
  <c r="L49" i="23"/>
  <c r="L50" i="23"/>
  <c r="L51" i="23"/>
  <c r="L52" i="23"/>
  <c r="L53" i="23"/>
  <c r="X16" i="16" s="1"/>
  <c r="Y16" i="16" s="1"/>
  <c r="L54" i="23"/>
  <c r="X83" i="16" s="1"/>
  <c r="L55" i="23"/>
  <c r="X21" i="16" s="1"/>
  <c r="Y21" i="16" s="1"/>
  <c r="L56" i="23"/>
  <c r="L57" i="23"/>
  <c r="L58" i="23"/>
  <c r="L59" i="23"/>
  <c r="Z15" i="16" s="1"/>
  <c r="L60" i="23"/>
  <c r="L61" i="23"/>
  <c r="L62" i="23"/>
  <c r="X19" i="16" s="1"/>
  <c r="Y19" i="16" s="1"/>
  <c r="L63" i="23"/>
  <c r="L64" i="23"/>
  <c r="L65" i="23"/>
  <c r="L66" i="23"/>
  <c r="L67" i="23"/>
  <c r="L68" i="23"/>
  <c r="L69" i="23"/>
  <c r="Z25" i="16" s="1"/>
  <c r="L70" i="23"/>
  <c r="L71" i="23"/>
  <c r="L72" i="23"/>
  <c r="L73" i="23"/>
  <c r="L74" i="23"/>
  <c r="L75" i="23"/>
  <c r="L76" i="23"/>
  <c r="L77" i="23"/>
  <c r="X24" i="16" s="1"/>
  <c r="Y24" i="16" s="1"/>
  <c r="L78" i="23"/>
  <c r="L79" i="23"/>
  <c r="X23" i="16" s="1"/>
  <c r="Y23" i="16" s="1"/>
  <c r="L80" i="23"/>
  <c r="L81" i="23"/>
  <c r="L82" i="23"/>
  <c r="L83" i="23"/>
  <c r="L84" i="23"/>
  <c r="L85" i="23"/>
  <c r="L86" i="23"/>
  <c r="L87" i="23"/>
  <c r="L88" i="23"/>
  <c r="X27" i="16" s="1"/>
  <c r="Y27" i="16" s="1"/>
  <c r="L90" i="23"/>
  <c r="L91" i="23"/>
  <c r="L92" i="23"/>
  <c r="X32" i="16" s="1"/>
  <c r="Z32" i="16" s="1"/>
  <c r="L93" i="23"/>
  <c r="L94" i="23"/>
  <c r="L95" i="23"/>
  <c r="L96" i="23"/>
  <c r="X31" i="16" s="1"/>
  <c r="Z31" i="16" s="1"/>
  <c r="L97" i="23"/>
  <c r="X76" i="16" s="1"/>
  <c r="L98" i="23"/>
  <c r="L99" i="23"/>
  <c r="L100" i="23"/>
  <c r="L101" i="23"/>
  <c r="L102" i="23"/>
  <c r="L103" i="23"/>
  <c r="X35" i="16" s="1"/>
  <c r="Z35" i="16" s="1"/>
  <c r="L104" i="23"/>
  <c r="L105" i="23"/>
  <c r="L106" i="23"/>
  <c r="X38" i="16" s="1"/>
  <c r="Z38" i="16" s="1"/>
  <c r="L107" i="23"/>
  <c r="L108" i="23"/>
  <c r="L109" i="23"/>
  <c r="L110" i="23"/>
  <c r="L111" i="23"/>
  <c r="L112" i="23"/>
  <c r="L113" i="23"/>
  <c r="X39" i="16" s="1"/>
  <c r="Z39" i="16" s="1"/>
  <c r="L114" i="23"/>
  <c r="L115" i="23"/>
  <c r="L116" i="23"/>
  <c r="L117" i="23"/>
  <c r="L118" i="23"/>
  <c r="L119" i="23"/>
  <c r="L120" i="23"/>
  <c r="L121" i="23"/>
  <c r="L122" i="23"/>
  <c r="Y42" i="16"/>
  <c r="L123" i="23"/>
  <c r="L124" i="23"/>
  <c r="L125" i="23"/>
  <c r="L126" i="23"/>
  <c r="L127" i="23"/>
  <c r="L12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5" i="23"/>
  <c r="L206" i="23"/>
  <c r="L207" i="23"/>
  <c r="L208" i="23"/>
  <c r="Z24" i="16" l="1"/>
  <c r="Z23" i="16"/>
  <c r="X36" i="16"/>
  <c r="Z36" i="16" s="1"/>
  <c r="X101" i="16"/>
  <c r="Z101" i="16" s="1"/>
  <c r="X26" i="16"/>
  <c r="Y26" i="16" s="1"/>
  <c r="X20" i="16"/>
  <c r="Y20" i="16" s="1"/>
  <c r="X10" i="16"/>
  <c r="Y10" i="16" s="1"/>
  <c r="Z44" i="16"/>
  <c r="X47" i="16"/>
  <c r="Z47" i="16" s="1"/>
  <c r="X68" i="16"/>
  <c r="Z68" i="16" s="1"/>
  <c r="X5" i="16"/>
  <c r="Y5" i="16" s="1"/>
  <c r="Z13" i="16"/>
  <c r="X49" i="16"/>
  <c r="Z49" i="16" s="1"/>
  <c r="Z28" i="16"/>
  <c r="X22" i="16"/>
  <c r="Y22" i="16" s="1"/>
  <c r="X17" i="16"/>
  <c r="Y17" i="16" s="1"/>
  <c r="Z4" i="16"/>
  <c r="X6" i="16"/>
  <c r="Y6" i="16" s="1"/>
  <c r="Z19" i="16"/>
  <c r="Z3" i="16"/>
  <c r="X93" i="16"/>
  <c r="Z93" i="16" s="1"/>
  <c r="X94" i="16"/>
  <c r="Z94" i="16" s="1"/>
  <c r="X79" i="16"/>
  <c r="Z79" i="16" s="1"/>
  <c r="X88" i="16"/>
  <c r="Z88" i="16" s="1"/>
  <c r="X102" i="16"/>
  <c r="Z102" i="16" s="1"/>
  <c r="X75" i="16"/>
  <c r="Z75" i="16" s="1"/>
  <c r="Z16" i="16"/>
  <c r="Z12" i="16"/>
  <c r="X40" i="16"/>
  <c r="Y55" i="16"/>
  <c r="X87" i="16"/>
  <c r="Z87" i="16" s="1"/>
  <c r="X86" i="16"/>
  <c r="Y76" i="16"/>
  <c r="Z76" i="16"/>
  <c r="X30" i="16"/>
  <c r="Z30" i="16" s="1"/>
  <c r="X90" i="16"/>
  <c r="Z90" i="16" s="1"/>
  <c r="Y53" i="16"/>
  <c r="X66" i="16"/>
  <c r="X37" i="16"/>
  <c r="Z37" i="16" s="1"/>
  <c r="Y99" i="16"/>
  <c r="X98" i="16"/>
  <c r="Z98" i="16" s="1"/>
  <c r="Z27" i="16"/>
  <c r="Z21" i="16"/>
  <c r="X92" i="16"/>
  <c r="Z92" i="16" s="1"/>
  <c r="X89" i="16"/>
  <c r="Z89" i="16" s="1"/>
  <c r="X78" i="16"/>
  <c r="Z78" i="16" s="1"/>
  <c r="Y80" i="16"/>
  <c r="Y39" i="16"/>
  <c r="Y83" i="16"/>
  <c r="Z83" i="16"/>
  <c r="X103" i="16"/>
  <c r="X82" i="16"/>
  <c r="X95" i="16"/>
  <c r="X73" i="16"/>
  <c r="X72" i="16"/>
  <c r="X74" i="16"/>
  <c r="Y44" i="16"/>
  <c r="Y32" i="16"/>
  <c r="X34" i="16"/>
  <c r="X41" i="16"/>
  <c r="Y38" i="16"/>
  <c r="Y35" i="16"/>
  <c r="Y100" i="16"/>
  <c r="X33" i="16"/>
  <c r="X29" i="16"/>
  <c r="Y31" i="16"/>
  <c r="Y70" i="16"/>
  <c r="Y67" i="16"/>
  <c r="Y71" i="16"/>
  <c r="Y69" i="16"/>
  <c r="Y28" i="16"/>
  <c r="X104" i="16"/>
  <c r="Y97" i="16"/>
  <c r="Y96" i="16"/>
  <c r="X105" i="16"/>
  <c r="Y58" i="16"/>
  <c r="Y91" i="16"/>
  <c r="Y56" i="16"/>
  <c r="Y57" i="16"/>
  <c r="Y59" i="16"/>
  <c r="W109" i="16"/>
  <c r="W85" i="16"/>
  <c r="W65" i="16"/>
  <c r="Y101" i="16" l="1"/>
  <c r="Z22" i="16"/>
  <c r="Y47" i="16"/>
  <c r="Z26" i="16"/>
  <c r="Y49" i="16"/>
  <c r="Y36" i="16"/>
  <c r="Z20" i="16"/>
  <c r="Y68" i="16"/>
  <c r="Z10" i="16"/>
  <c r="Z6" i="16"/>
  <c r="Z5" i="16"/>
  <c r="Y92" i="16"/>
  <c r="Y30" i="16"/>
  <c r="Y90" i="16"/>
  <c r="Y94" i="16"/>
  <c r="Y89" i="16"/>
  <c r="Y98" i="16"/>
  <c r="Y93" i="16"/>
  <c r="Y79" i="16"/>
  <c r="Y102" i="16"/>
  <c r="Y37" i="16"/>
  <c r="Y88" i="16"/>
  <c r="Y78" i="16"/>
  <c r="Y75" i="16"/>
  <c r="Y40" i="16"/>
  <c r="Z40" i="16"/>
  <c r="Y87" i="16"/>
  <c r="Z17" i="16"/>
  <c r="Y43" i="16"/>
  <c r="Z43" i="16"/>
  <c r="Y45" i="16"/>
  <c r="Z45" i="16"/>
  <c r="Y104" i="16"/>
  <c r="Z104" i="16"/>
  <c r="Y74" i="16"/>
  <c r="Z74" i="16"/>
  <c r="Y82" i="16"/>
  <c r="Z82" i="16"/>
  <c r="Y29" i="16"/>
  <c r="Z29" i="16"/>
  <c r="Y41" i="16"/>
  <c r="Z41" i="16"/>
  <c r="Y72" i="16"/>
  <c r="Z72" i="16"/>
  <c r="Y103" i="16"/>
  <c r="Z103" i="16"/>
  <c r="Z8" i="16"/>
  <c r="Y105" i="16"/>
  <c r="Z105" i="16"/>
  <c r="Y34" i="16"/>
  <c r="Z34" i="16"/>
  <c r="Y48" i="16"/>
  <c r="Z48" i="16"/>
  <c r="Y33" i="16"/>
  <c r="Z33" i="16"/>
  <c r="Z18" i="16"/>
  <c r="Y46" i="16"/>
  <c r="Z46" i="16"/>
  <c r="Y95" i="16"/>
  <c r="Z95" i="16"/>
  <c r="Y73" i="16"/>
  <c r="Z73" i="16"/>
  <c r="W113" i="16"/>
  <c r="S86" i="16"/>
  <c r="T86" i="16"/>
  <c r="U86" i="16" l="1"/>
  <c r="L108" i="15" l="1"/>
  <c r="L109" i="15"/>
  <c r="L113" i="15"/>
  <c r="L114" i="15"/>
  <c r="L115" i="15"/>
  <c r="L116" i="15"/>
  <c r="J80" i="15"/>
  <c r="K80" i="15"/>
  <c r="J109" i="16" l="1"/>
  <c r="K109" i="16"/>
  <c r="L109" i="16"/>
  <c r="M109" i="16"/>
  <c r="N109" i="16"/>
  <c r="O109" i="16"/>
  <c r="P109" i="16"/>
  <c r="N126" i="23" l="1"/>
  <c r="M126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1" i="23"/>
  <c r="M97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19" i="23"/>
  <c r="M123" i="23"/>
  <c r="M124" i="23"/>
  <c r="M125" i="23"/>
  <c r="N125" i="23"/>
  <c r="M127" i="23"/>
  <c r="N127" i="23"/>
  <c r="M12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46" i="23" l="1"/>
  <c r="M38" i="23"/>
  <c r="M17" i="23"/>
  <c r="M87" i="23"/>
  <c r="M71" i="23"/>
  <c r="M45" i="23"/>
  <c r="M122" i="23"/>
  <c r="M114" i="23"/>
  <c r="M95" i="23"/>
  <c r="M86" i="23"/>
  <c r="M70" i="23"/>
  <c r="M94" i="23"/>
  <c r="M27" i="23"/>
  <c r="M121" i="23"/>
  <c r="M118" i="23"/>
  <c r="M100" i="23"/>
  <c r="M83" i="23"/>
  <c r="M67" i="23"/>
  <c r="M57" i="23"/>
  <c r="M49" i="23"/>
  <c r="M120" i="23"/>
  <c r="M98" i="23"/>
  <c r="M82" i="23"/>
  <c r="M53" i="23"/>
  <c r="M119" i="23"/>
  <c r="M102" i="23"/>
  <c r="M52" i="23"/>
  <c r="M28" i="23"/>
  <c r="M101" i="23"/>
  <c r="M51" i="23"/>
  <c r="M5" i="23"/>
  <c r="M50" i="23"/>
  <c r="M117" i="23"/>
  <c r="M99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92" i="23"/>
  <c r="M59" i="23"/>
  <c r="M77" i="23"/>
  <c r="M65" i="23"/>
  <c r="M43" i="23"/>
  <c r="M14" i="23"/>
  <c r="M6" i="23"/>
  <c r="M93" i="23"/>
  <c r="M58" i="23"/>
  <c r="M34" i="23"/>
  <c r="M26" i="23"/>
  <c r="M20" i="23"/>
  <c r="M74" i="23"/>
  <c r="M64" i="23"/>
  <c r="M25" i="23"/>
  <c r="M4" i="23"/>
  <c r="M90" i="23"/>
  <c r="M81" i="23"/>
  <c r="M63" i="23"/>
  <c r="M10" i="23"/>
  <c r="M3" i="23"/>
  <c r="M88" i="23"/>
  <c r="M80" i="23"/>
  <c r="M66" i="23"/>
  <c r="M30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6" i="23"/>
  <c r="M21" i="23"/>
  <c r="M84" i="23"/>
  <c r="M33" i="23"/>
  <c r="N202" i="23" l="1"/>
  <c r="N203" i="23"/>
  <c r="N204" i="23"/>
  <c r="N205" i="23"/>
  <c r="N206" i="23"/>
  <c r="N207" i="23"/>
  <c r="N208" i="23"/>
  <c r="N61" i="23" l="1"/>
  <c r="N94" i="23"/>
  <c r="N83" i="23"/>
  <c r="N85" i="23"/>
  <c r="N15" i="23"/>
  <c r="N81" i="23"/>
  <c r="N122" i="23"/>
  <c r="N118" i="23"/>
  <c r="N52" i="23"/>
  <c r="N43" i="23"/>
  <c r="N96" i="23"/>
  <c r="N99" i="23"/>
  <c r="N78" i="23"/>
  <c r="N77" i="23"/>
  <c r="N55" i="23"/>
  <c r="N109" i="23" l="1"/>
  <c r="N116" i="23"/>
  <c r="N29" i="23"/>
  <c r="N60" i="23"/>
  <c r="N53" i="23"/>
  <c r="N87" i="23"/>
  <c r="N80" i="23"/>
  <c r="N79" i="23"/>
  <c r="N38" i="23"/>
  <c r="N82" i="23"/>
  <c r="N54" i="23"/>
  <c r="N63" i="23"/>
  <c r="N9" i="23"/>
  <c r="N46" i="23"/>
  <c r="N86" i="23"/>
  <c r="N37" i="23"/>
  <c r="N114" i="23"/>
  <c r="N56" i="23"/>
  <c r="N92" i="23"/>
  <c r="N97" i="23"/>
  <c r="N123" i="23"/>
  <c r="N25" i="23"/>
  <c r="N103" i="23"/>
  <c r="N57" i="23"/>
  <c r="N10" i="23"/>
  <c r="N95" i="23"/>
  <c r="N124" i="23"/>
  <c r="N24" i="23"/>
  <c r="N104" i="23"/>
  <c r="N84" i="23"/>
  <c r="N36" i="23"/>
  <c r="N48" i="23"/>
  <c r="N93" i="23"/>
  <c r="N112" i="23"/>
  <c r="N47" i="23"/>
  <c r="N98" i="23"/>
  <c r="N90" i="23"/>
  <c r="N34" i="23"/>
  <c r="N59" i="23"/>
  <c r="N101" i="23"/>
  <c r="N69" i="23"/>
  <c r="N42" i="23"/>
  <c r="N67" i="23"/>
  <c r="N71" i="23"/>
  <c r="N68" i="23"/>
  <c r="N105" i="23"/>
  <c r="N111" i="23"/>
  <c r="N102" i="23"/>
  <c r="V125" i="16" l="1"/>
  <c r="F5" i="37" l="1"/>
  <c r="F6" i="37" s="1"/>
  <c r="F7" i="37" s="1"/>
  <c r="AV14" i="14"/>
  <c r="N70" i="23" l="1"/>
  <c r="N28" i="23" l="1"/>
  <c r="N128" i="23"/>
  <c r="N44" i="23"/>
  <c r="G49" i="11" l="1"/>
  <c r="G50" i="11"/>
  <c r="G51" i="11"/>
  <c r="G52" i="11"/>
  <c r="Q342" i="23" l="1"/>
  <c r="Q343" i="23"/>
  <c r="Q344" i="23"/>
  <c r="Q345" i="23"/>
  <c r="Q346" i="23"/>
  <c r="Q347" i="23"/>
  <c r="L404" i="23" l="1"/>
  <c r="M404" i="23" s="1"/>
  <c r="N404" i="23"/>
  <c r="L405" i="23"/>
  <c r="M405" i="23" s="1"/>
  <c r="N405" i="23"/>
  <c r="L406" i="23"/>
  <c r="M406" i="23" s="1"/>
  <c r="N406" i="23"/>
  <c r="L407" i="23"/>
  <c r="M407" i="23" s="1"/>
  <c r="N407" i="23"/>
  <c r="I408" i="23"/>
  <c r="J408" i="23"/>
  <c r="N408" i="23"/>
  <c r="S66" i="16"/>
  <c r="T66" i="16"/>
  <c r="S85" i="16" l="1"/>
  <c r="U66" i="16"/>
  <c r="V66" i="16"/>
  <c r="Z66" i="16" s="1"/>
  <c r="L408" i="23"/>
  <c r="M408" i="23" s="1"/>
  <c r="N21" i="23" l="1"/>
  <c r="N22" i="23"/>
  <c r="N58" i="23"/>
  <c r="N35" i="23"/>
  <c r="N121" i="23"/>
  <c r="N30" i="23"/>
  <c r="N45" i="23"/>
  <c r="N88" i="23"/>
  <c r="D53" i="11"/>
  <c r="D54" i="11" s="1"/>
  <c r="F84" i="8" l="1"/>
  <c r="M205" i="23" l="1"/>
  <c r="M206" i="23"/>
  <c r="M207" i="23"/>
  <c r="M208" i="23"/>
  <c r="N74" i="23" l="1"/>
  <c r="N100" i="23"/>
  <c r="N73" i="23"/>
  <c r="L2" i="23"/>
  <c r="X77" i="16" s="1"/>
  <c r="I202" i="23"/>
  <c r="J202" i="23"/>
  <c r="J415" i="23" s="1"/>
  <c r="Y77" i="16" l="1"/>
  <c r="Z77" i="16"/>
  <c r="Y86" i="16"/>
  <c r="Y128" i="16" s="1"/>
  <c r="Y129" i="16" s="1"/>
  <c r="L202" i="23"/>
  <c r="N106" i="23"/>
  <c r="N31" i="23"/>
  <c r="N51" i="23"/>
  <c r="N16" i="23"/>
  <c r="N75" i="23"/>
  <c r="N20" i="23"/>
  <c r="N17" i="23"/>
  <c r="N39" i="23"/>
  <c r="N76" i="23"/>
  <c r="N64" i="23"/>
  <c r="N41" i="23"/>
  <c r="N62" i="23"/>
  <c r="I415" i="23"/>
  <c r="I203" i="23"/>
  <c r="L203" i="23" s="1"/>
  <c r="M2" i="23"/>
  <c r="Y66" i="16" l="1"/>
  <c r="M202" i="23"/>
  <c r="I204" i="23"/>
  <c r="L204" i="23" s="1"/>
  <c r="M203" i="23"/>
  <c r="M204" i="23" l="1"/>
  <c r="L41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C146" i="14"/>
  <c r="H161" i="15"/>
  <c r="H178" i="15" l="1"/>
  <c r="G119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G159" i="15"/>
  <c r="H1" i="8"/>
  <c r="F159" i="15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X65" i="16" l="1"/>
  <c r="H136" i="14" l="1"/>
  <c r="J136" i="14"/>
  <c r="AI14" i="14"/>
  <c r="R203" i="23"/>
  <c r="L149" i="14" l="1"/>
  <c r="L150" i="14"/>
  <c r="L151" i="14"/>
  <c r="L152" i="14"/>
  <c r="L153" i="14"/>
  <c r="L154" i="14"/>
  <c r="L155" i="14"/>
  <c r="L156" i="14"/>
  <c r="L148" i="14"/>
  <c r="X109" i="16" l="1"/>
  <c r="X85" i="16"/>
  <c r="K85" i="16" l="1"/>
  <c r="L85" i="16"/>
  <c r="M85" i="16"/>
  <c r="N85" i="16"/>
  <c r="O85" i="16"/>
  <c r="P85" i="16"/>
  <c r="Q85" i="16"/>
  <c r="R85" i="16"/>
  <c r="N91" i="23" l="1"/>
  <c r="N40" i="23"/>
  <c r="Q113" i="16" l="1"/>
  <c r="R113" i="16"/>
  <c r="T109" i="16" l="1"/>
  <c r="T85" i="16"/>
  <c r="U85" i="16" s="1"/>
  <c r="S109" i="16"/>
  <c r="V86" i="16"/>
  <c r="T65" i="16"/>
  <c r="S65" i="16"/>
  <c r="Z86" i="16" l="1"/>
  <c r="N11" i="23"/>
  <c r="N32" i="23"/>
  <c r="N18" i="23"/>
  <c r="N12" i="23"/>
  <c r="N8" i="23"/>
  <c r="N3" i="23"/>
  <c r="N4" i="23"/>
  <c r="N2" i="23"/>
  <c r="N49" i="23"/>
  <c r="N50" i="23"/>
  <c r="N33" i="23"/>
  <c r="N6" i="23"/>
  <c r="N72" i="23"/>
  <c r="N23" i="23"/>
  <c r="N13" i="23"/>
  <c r="N5" i="23"/>
  <c r="N19" i="23"/>
  <c r="N26" i="23"/>
  <c r="N120" i="23"/>
  <c r="N27" i="23"/>
  <c r="V85" i="16"/>
  <c r="Z85" i="16" s="1"/>
  <c r="V109" i="16"/>
  <c r="X113" i="16"/>
  <c r="U65" i="16"/>
  <c r="V65" i="16"/>
  <c r="Z65" i="16" s="1"/>
  <c r="N14" i="23" l="1"/>
  <c r="U110" i="16" l="1"/>
  <c r="N112" i="16"/>
  <c r="N113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Y122" i="16" l="1"/>
  <c r="T111" i="16" l="1"/>
  <c r="J112" i="16"/>
  <c r="K112" i="16"/>
  <c r="K113" i="16" s="1"/>
  <c r="L112" i="16"/>
  <c r="L113" i="16" s="1"/>
  <c r="M112" i="16"/>
  <c r="M113" i="16" s="1"/>
  <c r="N114" i="16"/>
  <c r="O112" i="16"/>
  <c r="O113" i="16" s="1"/>
  <c r="P112" i="16"/>
  <c r="P113" i="16" s="1"/>
  <c r="P114" i="16" s="1"/>
  <c r="H113" i="16"/>
  <c r="I113" i="16"/>
  <c r="Q159" i="23" l="1"/>
  <c r="R159" i="23" s="1"/>
  <c r="L115" i="16"/>
  <c r="L114" i="16"/>
  <c r="M114" i="16"/>
  <c r="J122" i="16" s="1"/>
  <c r="J113" i="16"/>
  <c r="J115" i="16" s="1"/>
  <c r="O114" i="16"/>
  <c r="U111" i="16"/>
  <c r="K114" i="16"/>
  <c r="F130" i="16"/>
  <c r="T112" i="16"/>
  <c r="S112" i="16"/>
  <c r="X111" i="16"/>
  <c r="L412" i="23" l="1"/>
  <c r="D4" i="11"/>
  <c r="D5" i="11" s="1"/>
  <c r="Y111" i="16"/>
  <c r="J119" i="16"/>
  <c r="U109" i="16"/>
  <c r="T113" i="16"/>
  <c r="S113" i="16"/>
  <c r="T114" i="16" l="1"/>
  <c r="T118" i="16"/>
  <c r="S114" i="16"/>
  <c r="S118" i="16"/>
  <c r="V113" i="16"/>
  <c r="U113" i="16"/>
  <c r="U114" i="16" s="1"/>
  <c r="V114" i="16" l="1"/>
  <c r="Y117" i="16"/>
  <c r="I127" i="16" l="1"/>
  <c r="I124" i="16"/>
  <c r="C53" i="11" l="1"/>
  <c r="C12" i="11" l="1"/>
  <c r="C10" i="11"/>
  <c r="E53" i="11" l="1"/>
  <c r="C9" i="11" l="1"/>
  <c r="K126" i="16" l="1"/>
  <c r="K117" i="16"/>
  <c r="C13" i="11" l="1"/>
  <c r="C8" i="11" s="1"/>
  <c r="C38" i="11" s="1"/>
  <c r="D39" i="11" l="1"/>
  <c r="C42" i="11" s="1"/>
  <c r="C43" i="11"/>
  <c r="C41" i="11"/>
  <c r="J129" i="16"/>
  <c r="K121" i="16" l="1"/>
  <c r="J120" i="16" l="1"/>
  <c r="J123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K127" i="16"/>
  <c r="K129" i="16" s="1"/>
  <c r="S115" i="16"/>
  <c r="S116" i="16" s="1"/>
  <c r="J126" i="16"/>
  <c r="K120" i="16"/>
  <c r="K119" i="16" l="1"/>
  <c r="K123" i="16" s="1"/>
  <c r="W114" i="16"/>
  <c r="T116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I128" i="16" l="1"/>
  <c r="I129" i="16" s="1"/>
  <c r="I125" i="16"/>
  <c r="I122" i="16" l="1"/>
  <c r="I123" i="16" s="1"/>
  <c r="I126" i="16"/>
</calcChain>
</file>

<file path=xl/sharedStrings.xml><?xml version="1.0" encoding="utf-8"?>
<sst xmlns="http://schemas.openxmlformats.org/spreadsheetml/2006/main" count="4714" uniqueCount="1570">
  <si>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</si>
  <si>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</si>
  <si>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</si>
  <si>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</si>
  <si>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</si>
  <si>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</si>
  <si>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</si>
  <si>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</si>
  <si>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</si>
  <si>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</si>
  <si>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</si>
  <si>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</si>
  <si>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</si>
  <si>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</si>
  <si>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</si>
  <si>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</si>
  <si>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</si>
  <si>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</si>
  <si>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</si>
  <si>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</si>
  <si>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</si>
  <si>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</si>
  <si>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</si>
  <si>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</si>
  <si>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</si>
  <si>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</si>
  <si>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</si>
  <si>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</si>
  <si>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</si>
  <si>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</si>
  <si>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</si>
  <si>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</si>
  <si>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</si>
  <si>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</si>
  <si>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</si>
  <si>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</si>
  <si>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</si>
  <si>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</si>
  <si>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</si>
  <si>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</si>
  <si>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</si>
  <si>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</si>
  <si>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</si>
  <si>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</si>
  <si>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</si>
  <si>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</si>
  <si>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</si>
  <si>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</si>
  <si>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</si>
  <si>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</si>
  <si>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</si>
  <si>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</si>
  <si>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</si>
  <si>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</si>
  <si>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</si>
  <si>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</si>
  <si>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</si>
  <si>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</si>
  <si>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</si>
  <si>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</si>
  <si>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</si>
  <si>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</si>
  <si>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</si>
  <si>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</si>
  <si>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</si>
  <si>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</si>
  <si>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</si>
  <si>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</si>
  <si>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</si>
  <si>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</si>
  <si>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</si>
  <si>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</si>
  <si>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</si>
  <si>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</si>
  <si>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</si>
  <si>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</si>
  <si>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</si>
  <si>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</si>
  <si>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</si>
  <si>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</si>
  <si>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</si>
  <si>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</si>
  <si>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</si>
  <si>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</si>
  <si>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</si>
  <si>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</si>
  <si>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</si>
  <si>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</si>
  <si>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</si>
  <si>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</si>
  <si>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</si>
  <si>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</si>
  <si>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</si>
  <si>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</si>
  <si>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</si>
  <si>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</si>
  <si>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</si>
  <si>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</si>
  <si>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</si>
  <si>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</si>
  <si>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</si>
  <si>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</si>
  <si>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</si>
  <si>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</si>
  <si>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</si>
  <si>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</si>
  <si>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</si>
  <si>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</si>
  <si>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</si>
  <si>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</si>
  <si>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</si>
  <si>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</si>
  <si>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</si>
  <si>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</si>
  <si>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</si>
  <si>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</si>
  <si>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</si>
  <si>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</si>
  <si>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</si>
  <si>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</si>
  <si>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</si>
  <si>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Nº transacción</t>
  </si>
  <si>
    <t>Tipo transacción</t>
  </si>
  <si>
    <t>Destinatario</t>
  </si>
  <si>
    <t>Cuenta destino</t>
  </si>
  <si>
    <t>Banco destino</t>
  </si>
  <si>
    <t>Monto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</si>
  <si>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</si>
  <si>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</si>
  <si>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</si>
  <si>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</si>
  <si>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</si>
  <si>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</si>
  <si>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</si>
  <si>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</si>
  <si>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</si>
  <si>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</si>
  <si>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</si>
  <si>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</si>
  <si>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</si>
  <si>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</si>
  <si>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</si>
  <si>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</si>
  <si>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</si>
  <si>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</si>
  <si>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</si>
  <si>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</si>
  <si>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</si>
  <si>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</si>
  <si>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</si>
  <si>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</si>
  <si>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</si>
  <si>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</si>
  <si>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</si>
  <si>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</si>
  <si>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</si>
  <si>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</si>
  <si>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</si>
  <si>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</si>
  <si>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</si>
  <si>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</si>
  <si>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</si>
  <si>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</si>
  <si>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</si>
  <si>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</si>
  <si>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</si>
  <si>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</si>
  <si>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</si>
  <si>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</si>
  <si>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</si>
  <si>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</si>
  <si>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</si>
  <si>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</si>
  <si>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</si>
  <si>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</si>
  <si>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</si>
  <si>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</si>
  <si>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</si>
  <si>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</si>
  <si>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</si>
  <si>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</si>
  <si>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</si>
  <si>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</si>
  <si>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</si>
  <si>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</si>
  <si>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</si>
  <si>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</si>
  <si>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</si>
  <si>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</si>
  <si>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</si>
  <si>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</si>
  <si>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</si>
  <si>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</si>
  <si>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</si>
  <si>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</si>
  <si>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</si>
  <si>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</si>
  <si>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</si>
  <si>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</si>
  <si>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</si>
  <si>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</si>
  <si>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</si>
  <si>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</si>
  <si>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</si>
  <si>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</si>
  <si>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</si>
  <si>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</si>
  <si>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</si>
  <si>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</si>
  <si>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</si>
  <si>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</si>
  <si>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</si>
  <si>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</si>
  <si>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</si>
  <si>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</si>
  <si>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</si>
  <si>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</si>
  <si>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</si>
  <si>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</si>
  <si>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</si>
  <si>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</si>
  <si>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</si>
  <si>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</si>
  <si>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</si>
  <si>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</si>
  <si>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</si>
  <si>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</si>
  <si>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</si>
  <si>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</si>
  <si>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</si>
  <si>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</si>
  <si>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</si>
  <si>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</si>
  <si>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</si>
  <si>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</si>
  <si>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</si>
  <si>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</si>
  <si>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</si>
  <si>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</si>
  <si>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</si>
  <si>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</si>
  <si>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</si>
  <si>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</si>
  <si>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</si>
  <si>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</si>
  <si>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</si>
  <si>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</si>
  <si>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</si>
  <si>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</si>
  <si>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</si>
  <si>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</si>
  <si>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</si>
  <si>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AGRO</t>
  </si>
  <si>
    <t>MALL</t>
  </si>
  <si>
    <t>BKNG</t>
  </si>
  <si>
    <t>10770215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</si>
  <si>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</si>
  <si>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</si>
  <si>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</si>
  <si>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</si>
  <si>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</si>
  <si>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</si>
  <si>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</si>
  <si>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</si>
  <si>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</si>
  <si>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</si>
  <si>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</si>
  <si>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</si>
  <si>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</si>
  <si>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</si>
  <si>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</si>
  <si>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</si>
  <si>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</si>
  <si>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</si>
  <si>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</si>
  <si>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</si>
  <si>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</si>
  <si>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</si>
  <si>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</si>
  <si>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</si>
  <si>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</si>
  <si>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</si>
  <si>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</si>
  <si>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16.189.852-K</t>
  </si>
  <si>
    <t>16189852</t>
  </si>
  <si>
    <t xml:space="preserve">Norma Gavia                                  </t>
  </si>
  <si>
    <t>LIDER</t>
  </si>
  <si>
    <t>dolares deteriorados, deposito en pesos el 30 de abril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</si>
  <si>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</si>
  <si>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</si>
  <si>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</si>
  <si>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</si>
  <si>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</si>
  <si>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</si>
  <si>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</si>
  <si>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</si>
  <si>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</si>
  <si>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</si>
  <si>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</si>
  <si>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</si>
  <si>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</si>
  <si>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</si>
  <si>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</si>
  <si>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</si>
  <si>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</si>
  <si>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</si>
  <si>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</si>
  <si>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69</t>
  </si>
  <si>
    <t>PARKING AGRO</t>
  </si>
  <si>
    <t>96.982.330-6</t>
  </si>
  <si>
    <t>21066477</t>
  </si>
  <si>
    <t xml:space="preserve">CESPA Ltda                                   </t>
  </si>
  <si>
    <t>72.809.800-7</t>
  </si>
  <si>
    <t>54003610</t>
  </si>
  <si>
    <t xml:space="preserve">Comite de Agua San Pedro de Atacama          </t>
  </si>
  <si>
    <t>Comb. Calefacción</t>
  </si>
  <si>
    <t>SODIMAC</t>
  </si>
  <si>
    <t>VALIMPORT</t>
  </si>
  <si>
    <t>BERTITA</t>
  </si>
  <si>
    <t>11</t>
  </si>
  <si>
    <t>NORTEVERDE</t>
  </si>
  <si>
    <t>PARKING CENTRO</t>
  </si>
  <si>
    <t>CENTRO</t>
  </si>
  <si>
    <t>12</t>
  </si>
  <si>
    <t>92</t>
  </si>
  <si>
    <t>52</t>
  </si>
  <si>
    <t>515590XXXXXXX8124</t>
  </si>
  <si>
    <t>Entel</t>
  </si>
  <si>
    <t>SITEMINDER</t>
  </si>
  <si>
    <t>WWW.HOTELOGIX.COM</t>
  </si>
  <si>
    <t>GOOGLE *GSUITE_PASC</t>
  </si>
  <si>
    <t>deposito 27 de  sept</t>
  </si>
  <si>
    <t>525303XXXXXXX4738</t>
  </si>
  <si>
    <t>521892XXXXXXX4968</t>
  </si>
  <si>
    <t>521892XXXXXXX6411</t>
  </si>
  <si>
    <t>409152XXXXXXX7937</t>
  </si>
  <si>
    <t>440066XXXXXXX6960</t>
  </si>
  <si>
    <t>Anulación $</t>
  </si>
  <si>
    <t>489396XXXXXXX2403</t>
  </si>
  <si>
    <t>375301XXXXXX4009</t>
  </si>
  <si>
    <t>24</t>
  </si>
  <si>
    <t>491767XXXXXXX6123</t>
  </si>
  <si>
    <t>546452XXXXXXX4835</t>
  </si>
  <si>
    <t>474843XXXXXXX7059</t>
  </si>
  <si>
    <t>414720XXXXXXX2341</t>
  </si>
  <si>
    <t>514868XXXXXXX5306</t>
  </si>
  <si>
    <t>19</t>
  </si>
  <si>
    <t>552490XXXXXXX6034</t>
  </si>
  <si>
    <t>377169XXXXXX2003</t>
  </si>
  <si>
    <t>515590XXXXXXX5294</t>
  </si>
  <si>
    <t>545198XXXXXXX8207</t>
  </si>
  <si>
    <t>429667XXXXXXX0533</t>
  </si>
  <si>
    <t>374930XXXXXX1001</t>
  </si>
  <si>
    <t>474843XXXXXXX4312</t>
  </si>
  <si>
    <t>414720XXXXXXX6769</t>
  </si>
  <si>
    <t>414720XXXXXXX8865</t>
  </si>
  <si>
    <t>414720XXXXXXX2498</t>
  </si>
  <si>
    <t>544637XXXXXXX3033</t>
  </si>
  <si>
    <t>414720XXXXXXX1239</t>
  </si>
  <si>
    <t>553636XXXXXXX8097</t>
  </si>
  <si>
    <t>518791XXXXXXX3634</t>
  </si>
  <si>
    <t>414720XXXXXXX4415</t>
  </si>
  <si>
    <t>426684XXXXXXX9726</t>
  </si>
  <si>
    <t>521892XXXXXXX7381</t>
  </si>
  <si>
    <t>25.614.845-5</t>
  </si>
  <si>
    <t>25614845</t>
  </si>
  <si>
    <t xml:space="preserve">Sioly Cabezas                                </t>
  </si>
  <si>
    <t>DEV. CB VIAJES 1</t>
  </si>
  <si>
    <t>PC FACTORY</t>
  </si>
  <si>
    <t>PETROBRAS</t>
  </si>
  <si>
    <t>ECA</t>
  </si>
  <si>
    <t>Abono Por Transf De Fondos Autoservicio</t>
  </si>
  <si>
    <t>HNOS. VELIZ</t>
  </si>
  <si>
    <t>GUANTES QUIRURJICOS</t>
  </si>
  <si>
    <t>TUMISA</t>
  </si>
  <si>
    <t>Retiros Acumulados 2018-Angelica</t>
  </si>
  <si>
    <t>Retiros Acumulados 2018-Maria</t>
  </si>
  <si>
    <t>Retiros Acumulados 2018-Sergio</t>
  </si>
  <si>
    <t>Retiros Acumulados 2018-Carlos</t>
  </si>
  <si>
    <t>01/11/2018 16:12</t>
  </si>
  <si>
    <t>846314</t>
  </si>
  <si>
    <t>01/11/2018 16:24</t>
  </si>
  <si>
    <t>436150</t>
  </si>
  <si>
    <t>01/11/2018 17:13</t>
  </si>
  <si>
    <t>876551</t>
  </si>
  <si>
    <t>01/11/2018 19:38</t>
  </si>
  <si>
    <t>01243D</t>
  </si>
  <si>
    <t>02/11/2018 12:03</t>
  </si>
  <si>
    <t>085555</t>
  </si>
  <si>
    <t>03/11/2018 11:01</t>
  </si>
  <si>
    <t>H48942</t>
  </si>
  <si>
    <t>03/11/2018 12:03</t>
  </si>
  <si>
    <t>525303XXXXXXX7782</t>
  </si>
  <si>
    <t>H20321</t>
  </si>
  <si>
    <t>03/11/2018 12:53</t>
  </si>
  <si>
    <t>627887</t>
  </si>
  <si>
    <t>03/11/2018 13:51</t>
  </si>
  <si>
    <t>521892XXXXXXX0692</t>
  </si>
  <si>
    <t>259262</t>
  </si>
  <si>
    <t>03/11/2018 13:57</t>
  </si>
  <si>
    <t>521892XXXXXXX6312</t>
  </si>
  <si>
    <t>166533</t>
  </si>
  <si>
    <t>03/11/2018 14:08</t>
  </si>
  <si>
    <t>422093XXXXXXX0720</t>
  </si>
  <si>
    <t>317113</t>
  </si>
  <si>
    <t>03/11/2018 14:11</t>
  </si>
  <si>
    <t>492107XXXXXXX6016</t>
  </si>
  <si>
    <t>052533</t>
  </si>
  <si>
    <t>03/11/2018 14:14</t>
  </si>
  <si>
    <t>522840XXXXXXX9374</t>
  </si>
  <si>
    <t>173570</t>
  </si>
  <si>
    <t>03/11/2018 14:19</t>
  </si>
  <si>
    <t>515590XXXXXXX0046</t>
  </si>
  <si>
    <t>232759</t>
  </si>
  <si>
    <t>03/11/2018 14:20</t>
  </si>
  <si>
    <t>514868XXXXXXX1727</t>
  </si>
  <si>
    <t>003021</t>
  </si>
  <si>
    <t>03/11/2018 14:21</t>
  </si>
  <si>
    <t>553153XXXXXXX2474</t>
  </si>
  <si>
    <t>814944</t>
  </si>
  <si>
    <t>461158XXXXXXX4001</t>
  </si>
  <si>
    <t>513604</t>
  </si>
  <si>
    <t>03/11/2018 14:27</t>
  </si>
  <si>
    <t>453222XXXXXXX7982</t>
  </si>
  <si>
    <t>366604</t>
  </si>
  <si>
    <t>03/11/2018 15:04</t>
  </si>
  <si>
    <t>074667</t>
  </si>
  <si>
    <t>04/11/2018 10:56</t>
  </si>
  <si>
    <t>DB</t>
  </si>
  <si>
    <t>477041XXXXXXX7746</t>
  </si>
  <si>
    <t>-</t>
  </si>
  <si>
    <t>000794</t>
  </si>
  <si>
    <t>04/11/2018 16:29</t>
  </si>
  <si>
    <t>459434</t>
  </si>
  <si>
    <t>05/11/2018 11:48</t>
  </si>
  <si>
    <t>528689XXXXXXX1924</t>
  </si>
  <si>
    <t>342594</t>
  </si>
  <si>
    <t>05/11/2018 14:10</t>
  </si>
  <si>
    <t>460342XXXXXXX2460</t>
  </si>
  <si>
    <t>395395</t>
  </si>
  <si>
    <t>05/11/2018 14:13</t>
  </si>
  <si>
    <t>498000XXXXXXX2170</t>
  </si>
  <si>
    <t>004303</t>
  </si>
  <si>
    <t>05/11/2018 14:18</t>
  </si>
  <si>
    <t>459992XXXXXXX9012</t>
  </si>
  <si>
    <t>183373</t>
  </si>
  <si>
    <t>05/11/2018 14:21</t>
  </si>
  <si>
    <t>451163XXXXXXX1004</t>
  </si>
  <si>
    <t>214550</t>
  </si>
  <si>
    <t>05/11/2018 16:45</t>
  </si>
  <si>
    <t>552128XXXXXXX3306</t>
  </si>
  <si>
    <t>049529</t>
  </si>
  <si>
    <t>05/11/2018 17:15</t>
  </si>
  <si>
    <t>026519</t>
  </si>
  <si>
    <t>05/11/2018 18:28</t>
  </si>
  <si>
    <t>286542</t>
  </si>
  <si>
    <t>05/11/2018 22:27</t>
  </si>
  <si>
    <t>515590XXXXXXX0614</t>
  </si>
  <si>
    <t>305850</t>
  </si>
  <si>
    <t>06/11/2018 08:49</t>
  </si>
  <si>
    <t>539853XXXXXXX2450</t>
  </si>
  <si>
    <t>646353</t>
  </si>
  <si>
    <t>06/11/2018 12:17</t>
  </si>
  <si>
    <t>611572</t>
  </si>
  <si>
    <t>07/11/2018 14:01</t>
  </si>
  <si>
    <t>542974XXXXXXX2986</t>
  </si>
  <si>
    <t>074265</t>
  </si>
  <si>
    <t>07/11/2018 14:03</t>
  </si>
  <si>
    <t>548984XXXXXXX1399</t>
  </si>
  <si>
    <t>078448</t>
  </si>
  <si>
    <t>07/11/2018 14:05</t>
  </si>
  <si>
    <t>453960XXXXXXX7026</t>
  </si>
  <si>
    <t>640372</t>
  </si>
  <si>
    <t>07/11/2018 14:09</t>
  </si>
  <si>
    <t>535120XXXXXXX4016</t>
  </si>
  <si>
    <t>923658</t>
  </si>
  <si>
    <t>07/11/2018 16:25</t>
  </si>
  <si>
    <t>529930XXXXXXX6258</t>
  </si>
  <si>
    <t>H04128</t>
  </si>
  <si>
    <t>08/11/2018 14:12</t>
  </si>
  <si>
    <t>00887S</t>
  </si>
  <si>
    <t>08/11/2018 14:20</t>
  </si>
  <si>
    <t>420767XXXXXXX3266</t>
  </si>
  <si>
    <t>002312</t>
  </si>
  <si>
    <t>08/11/2018 14:49</t>
  </si>
  <si>
    <t>08/11/2018 16:00</t>
  </si>
  <si>
    <t>00113I</t>
  </si>
  <si>
    <t>08/11/2018 16:28</t>
  </si>
  <si>
    <t>520953XXXXXXX4696</t>
  </si>
  <si>
    <t>067373</t>
  </si>
  <si>
    <t>08/11/2018 20:11</t>
  </si>
  <si>
    <t>09/11/2018 10:57</t>
  </si>
  <si>
    <t>521892XXXXXXX3018</t>
  </si>
  <si>
    <t>313965</t>
  </si>
  <si>
    <t>09/11/2018 10:58</t>
  </si>
  <si>
    <t>291439</t>
  </si>
  <si>
    <t>09/11/2018 18:35</t>
  </si>
  <si>
    <t>014707</t>
  </si>
  <si>
    <t>09/11/2018 21:05</t>
  </si>
  <si>
    <t>525303XXXXXXX5789</t>
  </si>
  <si>
    <t>H35757</t>
  </si>
  <si>
    <t>10/11/2018 11:32</t>
  </si>
  <si>
    <t>524597XXXXXXX0384</t>
  </si>
  <si>
    <t>538083</t>
  </si>
  <si>
    <t>10/11/2018 13:02</t>
  </si>
  <si>
    <t>09364S</t>
  </si>
  <si>
    <t>10/11/2018 14:39</t>
  </si>
  <si>
    <t>552145XXXXXXX1271</t>
  </si>
  <si>
    <t>050207</t>
  </si>
  <si>
    <t>10/11/2018 15:15</t>
  </si>
  <si>
    <t>683858</t>
  </si>
  <si>
    <t>10/11/2018 17:07</t>
  </si>
  <si>
    <t>03580I</t>
  </si>
  <si>
    <t>11/11/2018 18:41</t>
  </si>
  <si>
    <t>457142XXXXXXX5293</t>
  </si>
  <si>
    <t>224500</t>
  </si>
  <si>
    <t>11/11/2018 18:44</t>
  </si>
  <si>
    <t>457153XXXXXXX3101</t>
  </si>
  <si>
    <t>224744</t>
  </si>
  <si>
    <t>11/11/2018 18:46</t>
  </si>
  <si>
    <t>557892XXXXXXX5578</t>
  </si>
  <si>
    <t>852875</t>
  </si>
  <si>
    <t>11/11/2018 18:47</t>
  </si>
  <si>
    <t>457144XXXXXXX9789</t>
  </si>
  <si>
    <t>225101</t>
  </si>
  <si>
    <t>12/11/2018 11:07</t>
  </si>
  <si>
    <t>498407XXXXXXX3386</t>
  </si>
  <si>
    <t>654793</t>
  </si>
  <si>
    <t>12/11/2018 18:53</t>
  </si>
  <si>
    <t>531002XXXXXXX6681</t>
  </si>
  <si>
    <t>056712</t>
  </si>
  <si>
    <t>13/11/2018 13:00</t>
  </si>
  <si>
    <t>552037XXXXXXX8287</t>
  </si>
  <si>
    <t>675236</t>
  </si>
  <si>
    <t>14/11/2018 11:01</t>
  </si>
  <si>
    <t>490172XXXXXXX9442</t>
  </si>
  <si>
    <t>013772</t>
  </si>
  <si>
    <t>14/11/2018 18:20</t>
  </si>
  <si>
    <t>222357</t>
  </si>
  <si>
    <t>15/11/2018 08:26</t>
  </si>
  <si>
    <t>15/11/2018 11:30</t>
  </si>
  <si>
    <t>334758</t>
  </si>
  <si>
    <t>15/11/2018 16:21</t>
  </si>
  <si>
    <t>374917XXXXXX1007</t>
  </si>
  <si>
    <t>68</t>
  </si>
  <si>
    <t>15/11/2018 16:34</t>
  </si>
  <si>
    <t>515590XXXXXXX0887</t>
  </si>
  <si>
    <t>380062</t>
  </si>
  <si>
    <t>15/11/2018 19:31</t>
  </si>
  <si>
    <t>493000XXXXXXX5053</t>
  </si>
  <si>
    <t>351164</t>
  </si>
  <si>
    <t>15/11/2018 20:04</t>
  </si>
  <si>
    <t>497563XXXXXXX3621</t>
  </si>
  <si>
    <t>623378</t>
  </si>
  <si>
    <t>15/11/2018 20:06</t>
  </si>
  <si>
    <t>549167XXXXXXX0777</t>
  </si>
  <si>
    <t>092176</t>
  </si>
  <si>
    <t>15/11/2018 20:13</t>
  </si>
  <si>
    <t>544434XXXXXXX2378</t>
  </si>
  <si>
    <t>T20654</t>
  </si>
  <si>
    <t>16/11/2018 15:27</t>
  </si>
  <si>
    <t>541555XXXXXXX8687</t>
  </si>
  <si>
    <t>088731</t>
  </si>
  <si>
    <t>17/11/2018 13:25</t>
  </si>
  <si>
    <t>506136</t>
  </si>
  <si>
    <t>17/11/2018 13:47</t>
  </si>
  <si>
    <t>448165XXXXXXX1885</t>
  </si>
  <si>
    <t>315167</t>
  </si>
  <si>
    <t>17/11/2018 14:38</t>
  </si>
  <si>
    <t>518941XXXXXXX3274</t>
  </si>
  <si>
    <t>041591</t>
  </si>
  <si>
    <t>17/11/2018 14:40</t>
  </si>
  <si>
    <t>549167XXXXXXX2061</t>
  </si>
  <si>
    <t>052721</t>
  </si>
  <si>
    <t>18/11/2018 13:21</t>
  </si>
  <si>
    <t>498406XXXXXXX1278</t>
  </si>
  <si>
    <t>042100</t>
  </si>
  <si>
    <t>18/11/2018 13:22</t>
  </si>
  <si>
    <t>522840XXXXXXX3978</t>
  </si>
  <si>
    <t>222675</t>
  </si>
  <si>
    <t>19/11/2018 09:19</t>
  </si>
  <si>
    <t>19/11/2018 10:16</t>
  </si>
  <si>
    <t>451368XXXXXXX9650</t>
  </si>
  <si>
    <t>000898</t>
  </si>
  <si>
    <t>19/11/2018 11:03</t>
  </si>
  <si>
    <t>056603</t>
  </si>
  <si>
    <t>19/11/2018 11:08</t>
  </si>
  <si>
    <t>515590XXXXXXX8491</t>
  </si>
  <si>
    <t>084865</t>
  </si>
  <si>
    <t>19/11/2018 13:46</t>
  </si>
  <si>
    <t>08750I</t>
  </si>
  <si>
    <t>440066XXXXXXX6873</t>
  </si>
  <si>
    <t>01886D</t>
  </si>
  <si>
    <t>19/11/2018 15:26</t>
  </si>
  <si>
    <t>01104I</t>
  </si>
  <si>
    <t>19/11/2018 15:42</t>
  </si>
  <si>
    <t>06794C</t>
  </si>
  <si>
    <t>19/11/2018 19:41</t>
  </si>
  <si>
    <t>554576XXXXXXX9562</t>
  </si>
  <si>
    <t>525458</t>
  </si>
  <si>
    <t>19/11/2018 21:40</t>
  </si>
  <si>
    <t>416028XXXXXXX6759</t>
  </si>
  <si>
    <t>141925</t>
  </si>
  <si>
    <t>19/11/2018 21:43</t>
  </si>
  <si>
    <t>142072</t>
  </si>
  <si>
    <t>20/11/2018 08:20</t>
  </si>
  <si>
    <t>763947</t>
  </si>
  <si>
    <t>20/11/2018 09:23</t>
  </si>
  <si>
    <t>498407XXXXXXX6816</t>
  </si>
  <si>
    <t>760151</t>
  </si>
  <si>
    <t>20/11/2018 12:07</t>
  </si>
  <si>
    <t>557435XXXXXXX2419</t>
  </si>
  <si>
    <t>184898</t>
  </si>
  <si>
    <t>20/11/2018 14:30</t>
  </si>
  <si>
    <t>450307XXXXXXX4937</t>
  </si>
  <si>
    <t>095686</t>
  </si>
  <si>
    <t>20/11/2018 14:31</t>
  </si>
  <si>
    <t>04251A</t>
  </si>
  <si>
    <t>20/11/2018 19:33</t>
  </si>
  <si>
    <t>00278I</t>
  </si>
  <si>
    <t>20/11/2018 19:35</t>
  </si>
  <si>
    <t>376089XXXXXX1007</t>
  </si>
  <si>
    <t>21/11/2018 14:27</t>
  </si>
  <si>
    <t>549162XXXXXXX2402</t>
  </si>
  <si>
    <t>195721</t>
  </si>
  <si>
    <t>21/11/2018 14:36</t>
  </si>
  <si>
    <t>492113XXXXXXX4495</t>
  </si>
  <si>
    <t>674058</t>
  </si>
  <si>
    <t>21/11/2018 14:38</t>
  </si>
  <si>
    <t>518868XXXXXXX9044</t>
  </si>
  <si>
    <t>060438</t>
  </si>
  <si>
    <t>21/11/2018 17:30</t>
  </si>
  <si>
    <t>018920</t>
  </si>
  <si>
    <t>22/11/2018 16:04</t>
  </si>
  <si>
    <t>922215</t>
  </si>
  <si>
    <t>22/11/2018 16:51</t>
  </si>
  <si>
    <t>377064XXXXXX6761</t>
  </si>
  <si>
    <t>65</t>
  </si>
  <si>
    <t>22/11/2018 19:44</t>
  </si>
  <si>
    <t>494359XXXXXXX0225</t>
  </si>
  <si>
    <t>988995</t>
  </si>
  <si>
    <t>22/11/2018 20:35</t>
  </si>
  <si>
    <t>377662XXXXXX7556</t>
  </si>
  <si>
    <t>18</t>
  </si>
  <si>
    <t>22/11/2018 20:37</t>
  </si>
  <si>
    <t>414720XXXXXXX3397</t>
  </si>
  <si>
    <t>01725I</t>
  </si>
  <si>
    <t>22/11/2018 20:38</t>
  </si>
  <si>
    <t>408586XXXXXXX4179</t>
  </si>
  <si>
    <t>055688</t>
  </si>
  <si>
    <t>23/11/2018 08:50</t>
  </si>
  <si>
    <t>553096XXXXXXX0066</t>
  </si>
  <si>
    <t>448113</t>
  </si>
  <si>
    <t>553636XXXXXXX2867</t>
  </si>
  <si>
    <t>030482</t>
  </si>
  <si>
    <t>23/11/2018 10:04</t>
  </si>
  <si>
    <t>062660</t>
  </si>
  <si>
    <t>23/11/2018 11:50</t>
  </si>
  <si>
    <t>372810XXXXXX2004</t>
  </si>
  <si>
    <t>23/11/2018 13:46</t>
  </si>
  <si>
    <t>514945XXXXXXX6255</t>
  </si>
  <si>
    <t>077202</t>
  </si>
  <si>
    <t>24/11/2018 09:22</t>
  </si>
  <si>
    <t>414720XXXXXXX8338</t>
  </si>
  <si>
    <t>07182I</t>
  </si>
  <si>
    <t>24/11/2018 09:25</t>
  </si>
  <si>
    <t>525610XXXXXXX2636</t>
  </si>
  <si>
    <t>H01166</t>
  </si>
  <si>
    <t>24/11/2018 09:27</t>
  </si>
  <si>
    <t>623342</t>
  </si>
  <si>
    <t>24/11/2018 09:28</t>
  </si>
  <si>
    <t>402167XXXXXXX7049</t>
  </si>
  <si>
    <t>006479</t>
  </si>
  <si>
    <t>24/11/2018 09:30</t>
  </si>
  <si>
    <t>453819XXXXXXX1011</t>
  </si>
  <si>
    <t>474011</t>
  </si>
  <si>
    <t>24/11/2018 11:12</t>
  </si>
  <si>
    <t>37</t>
  </si>
  <si>
    <t>25/11/2018 10:55</t>
  </si>
  <si>
    <t>798780</t>
  </si>
  <si>
    <t>25/11/2018 18:24</t>
  </si>
  <si>
    <t>T89476</t>
  </si>
  <si>
    <t>26/11/2018 08:40</t>
  </si>
  <si>
    <t>20</t>
  </si>
  <si>
    <t>26/11/2018 10:57</t>
  </si>
  <si>
    <t>521892XXXXXXX5514</t>
  </si>
  <si>
    <t>101588</t>
  </si>
  <si>
    <t>450198XXXXXXX2430</t>
  </si>
  <si>
    <t>055831</t>
  </si>
  <si>
    <t>26/11/2018 19:22</t>
  </si>
  <si>
    <t>378798XXXXXX1002</t>
  </si>
  <si>
    <t>34</t>
  </si>
  <si>
    <t>26/11/2018 19:24</t>
  </si>
  <si>
    <t>540477XXXXXXX0938</t>
  </si>
  <si>
    <t>257232</t>
  </si>
  <si>
    <t>26/11/2018 21:16</t>
  </si>
  <si>
    <t>059195</t>
  </si>
  <si>
    <t>26/11/2018 22:01</t>
  </si>
  <si>
    <t>453747XXXXXXX9011</t>
  </si>
  <si>
    <t>479946</t>
  </si>
  <si>
    <t>26/11/2018 22:03</t>
  </si>
  <si>
    <t>482618</t>
  </si>
  <si>
    <t>27/11/2018 08:40</t>
  </si>
  <si>
    <t>414720XXXXXXX2462</t>
  </si>
  <si>
    <t>03492C</t>
  </si>
  <si>
    <t>27/11/2018 10:26</t>
  </si>
  <si>
    <t>01024A</t>
  </si>
  <si>
    <t>27/11/2018 12:49</t>
  </si>
  <si>
    <t>978066</t>
  </si>
  <si>
    <t>28/11/2018 14:18</t>
  </si>
  <si>
    <t>540926XXXXXXX9029</t>
  </si>
  <si>
    <t>301269</t>
  </si>
  <si>
    <t>28/11/2018 14:19</t>
  </si>
  <si>
    <t>540804XXXXXXX8000</t>
  </si>
  <si>
    <t>T04734</t>
  </si>
  <si>
    <t>28/11/2018 14:22</t>
  </si>
  <si>
    <t>414720XXXXXXX8069</t>
  </si>
  <si>
    <t>06994I</t>
  </si>
  <si>
    <t>30/11/2018 07:14</t>
  </si>
  <si>
    <t>529930XXXXXXX6826</t>
  </si>
  <si>
    <t>H96413</t>
  </si>
  <si>
    <t>30/11/2018 10:59</t>
  </si>
  <si>
    <t>532930XXXXXXX7120</t>
  </si>
  <si>
    <t>T31231</t>
  </si>
  <si>
    <t>30/11/2018 11:00</t>
  </si>
  <si>
    <t>377854XXXXXX1001</t>
  </si>
  <si>
    <t>01053C</t>
  </si>
  <si>
    <t>30/11/2018 11:01</t>
  </si>
  <si>
    <t>422061XXXXXXX1580</t>
  </si>
  <si>
    <t>023060</t>
  </si>
  <si>
    <t>30/11/2018 11:02</t>
  </si>
  <si>
    <t>522832XXXXXXX1226</t>
  </si>
  <si>
    <t>735411</t>
  </si>
  <si>
    <t>30/11/2018 14:14</t>
  </si>
  <si>
    <t>041103</t>
  </si>
  <si>
    <t>30/11/2018 14:46</t>
  </si>
  <si>
    <t>476663XXXXXXX0016</t>
  </si>
  <si>
    <t>208821</t>
  </si>
  <si>
    <t>30/11/2018 20:18</t>
  </si>
  <si>
    <t>552486XXXXXXX8295</t>
  </si>
  <si>
    <t>05800Z</t>
  </si>
  <si>
    <t>30/11/2018 20:27</t>
  </si>
  <si>
    <t>414720XXXXXXX5497</t>
  </si>
  <si>
    <t>04670I</t>
  </si>
  <si>
    <t>30/11/2018 20:29</t>
  </si>
  <si>
    <t>414720XXXXXXX7841</t>
  </si>
  <si>
    <t>00696I</t>
  </si>
  <si>
    <t>30/11/2018 20:32</t>
  </si>
  <si>
    <t>510197XXXXXXX8563</t>
  </si>
  <si>
    <t>939044</t>
  </si>
  <si>
    <t>30/11/2018 20:34</t>
  </si>
  <si>
    <t>451461XXXXXXX9688</t>
  </si>
  <si>
    <t>704529</t>
  </si>
  <si>
    <t>30/11/2018 20:36</t>
  </si>
  <si>
    <t>514945XXXXXXX8915</t>
  </si>
  <si>
    <t>013177</t>
  </si>
  <si>
    <t>30/11/2018 22:30</t>
  </si>
  <si>
    <t>375707XXXXXX2006</t>
  </si>
  <si>
    <t>30/11/2018 22:42</t>
  </si>
  <si>
    <t>480904XXXXXXX0625</t>
  </si>
  <si>
    <t>015490</t>
  </si>
  <si>
    <t>Pago1</t>
  </si>
  <si>
    <t>Pago2</t>
  </si>
  <si>
    <t>Pago3</t>
  </si>
  <si>
    <t>transbank</t>
  </si>
  <si>
    <t>05/11/2018</t>
  </si>
  <si>
    <t>07/11/2018</t>
  </si>
  <si>
    <t>08/11/2018</t>
  </si>
  <si>
    <t>12/11/2018</t>
  </si>
  <si>
    <t>15/11/2018</t>
  </si>
  <si>
    <t>16/11/2018</t>
  </si>
  <si>
    <t>19/11/2018</t>
  </si>
  <si>
    <t>20/11/2018</t>
  </si>
  <si>
    <t>21/11/2018</t>
  </si>
  <si>
    <t>27/11/2018</t>
  </si>
  <si>
    <t>28/11/2018</t>
  </si>
  <si>
    <t>29/11/2018</t>
  </si>
  <si>
    <t>975172031</t>
  </si>
  <si>
    <t xml:space="preserve">Carlos Moscoso                               </t>
  </si>
  <si>
    <t>25.558.629-7</t>
  </si>
  <si>
    <t>25558629</t>
  </si>
  <si>
    <t xml:space="preserve">Edmilson Misericordia                        </t>
  </si>
  <si>
    <t>76.572.506-2</t>
  </si>
  <si>
    <t>70792372</t>
  </si>
  <si>
    <t xml:space="preserve">Panaderia La Franchuteria                    </t>
  </si>
  <si>
    <t>LAN COM SANTIAGO</t>
  </si>
  <si>
    <t>TRANSVIP MOVIL CALAMA</t>
  </si>
  <si>
    <t>ABONO POR PAGO A COMERCIO POR TARJETA D</t>
  </si>
  <si>
    <t>TRANSFERENCIA A BICE PARA Sergio Zamora</t>
  </si>
  <si>
    <t>TRANSFERENCIA A Banco Santander PARA Francisco Bobadilla Sil</t>
  </si>
  <si>
    <t>COMER. SAKHSHI</t>
  </si>
  <si>
    <t>22/11/2018</t>
  </si>
  <si>
    <t>PLASTILUZ</t>
  </si>
  <si>
    <t>23/11/2018</t>
  </si>
  <si>
    <t>26/11/2018</t>
  </si>
  <si>
    <t>LETREROS</t>
  </si>
  <si>
    <t>09/11/2018</t>
  </si>
  <si>
    <t xml:space="preserve">PAN DESAYUNO </t>
  </si>
  <si>
    <t>BOLSAS PLASTICAS</t>
  </si>
  <si>
    <t>AGUAS AGRO</t>
  </si>
  <si>
    <t>HNOS VELIZ</t>
  </si>
  <si>
    <t>PAL Y TOMATE</t>
  </si>
  <si>
    <t>ALMACÉN</t>
  </si>
  <si>
    <t>FRUTILLAS</t>
  </si>
  <si>
    <t>CAMION CELESTE</t>
  </si>
  <si>
    <t>LECHE</t>
  </si>
  <si>
    <t>PILAS</t>
  </si>
  <si>
    <t>TOMATES</t>
  </si>
  <si>
    <t>ARROZ MIRAFLORES</t>
  </si>
  <si>
    <t>MALLL</t>
  </si>
  <si>
    <t>HUEVOS BANDEJA</t>
  </si>
  <si>
    <t>LAVADO CAMIONETA</t>
  </si>
  <si>
    <t>CARWAHSPA</t>
  </si>
  <si>
    <t>SAL</t>
  </si>
  <si>
    <t>CLIPS</t>
  </si>
  <si>
    <t>BAZAR</t>
  </si>
  <si>
    <t>JUGOS SNACKS + PASTEL PAX</t>
  </si>
  <si>
    <t>TACKEI</t>
  </si>
  <si>
    <t xml:space="preserve">DILUYENTE </t>
  </si>
  <si>
    <t xml:space="preserve">FERRETERIA </t>
  </si>
  <si>
    <t>4 BOLSAS DE OMO</t>
  </si>
  <si>
    <t>MANTEQUILLA</t>
  </si>
  <si>
    <t>BIDONES DE AGUA</t>
  </si>
  <si>
    <t>AGUA JUTURI</t>
  </si>
  <si>
    <t>TRABAJO EN BREA JOSE LUIS</t>
  </si>
  <si>
    <t>JOSE LUIS</t>
  </si>
  <si>
    <t>S/B</t>
  </si>
  <si>
    <t>01-11-2018</t>
  </si>
  <si>
    <t>Sistema Solar</t>
  </si>
  <si>
    <t>AGUSTINA ANSON FERNANDEZ</t>
  </si>
  <si>
    <t>IZABELLA ANTUNES</t>
  </si>
  <si>
    <t>CRISTIANE FRANCIONI</t>
  </si>
  <si>
    <t>GERT DE RISSEAU</t>
  </si>
  <si>
    <t>GUSTAVO SILVA</t>
  </si>
  <si>
    <t>MARIA BANDEIRA</t>
  </si>
  <si>
    <t>PEDRO PASCUAL</t>
  </si>
  <si>
    <t>INES ECHAVERRIA</t>
  </si>
  <si>
    <t>LAURA MARIA EVANGELISTA</t>
  </si>
  <si>
    <t>CLAUDIO BORTOLLI</t>
  </si>
  <si>
    <t>DEBORAH PANTOJA</t>
  </si>
  <si>
    <t>LUIGI BORGHINI</t>
  </si>
  <si>
    <t>PAULA PARENTE</t>
  </si>
  <si>
    <t>JOSE MIGUEL PÉREZ OYARZÚN</t>
  </si>
  <si>
    <t>PEDRO FERNANDES</t>
  </si>
  <si>
    <t xml:space="preserve">IGOR DI BEO </t>
  </si>
  <si>
    <t>LYGIA ALMEIDA DO SANTOS</t>
  </si>
  <si>
    <t>MONICA CAPPA</t>
  </si>
  <si>
    <t>SILVANA BOTINHA DE MELO</t>
  </si>
  <si>
    <t>MARCUS GUALBERTO</t>
  </si>
  <si>
    <t>URS JAGGI</t>
  </si>
  <si>
    <t>LARA GERTNER</t>
  </si>
  <si>
    <t>JULIO FROCHTENGARTEN</t>
  </si>
  <si>
    <t>MAYA MARIANNE</t>
  </si>
  <si>
    <t>RICARDO CERNIC</t>
  </si>
  <si>
    <t>PAULA FREITAS</t>
  </si>
  <si>
    <t>KAREN NESLER</t>
  </si>
  <si>
    <t>SHEYNAZ BASSA</t>
  </si>
  <si>
    <t>GIUSSEPPE RICCI</t>
  </si>
  <si>
    <t>CHOW BORIS POK LEUNG</t>
  </si>
  <si>
    <t>VARUN GEHANI</t>
  </si>
  <si>
    <t>PEDRO PERACINI</t>
  </si>
  <si>
    <t>DUCKWOO JUNG</t>
  </si>
  <si>
    <t>PATRICK DRAKE</t>
  </si>
  <si>
    <t>NO SHOW</t>
  </si>
  <si>
    <t>ALICIA LEBRIJA</t>
  </si>
  <si>
    <t>FELIPE SANCHEZ</t>
  </si>
  <si>
    <t>ANA CAROLINA FULLEN</t>
  </si>
  <si>
    <t>JOHN CULLEY</t>
  </si>
  <si>
    <t>ALEXANDRE FREIXA</t>
  </si>
  <si>
    <t>VIVECA MOURA</t>
  </si>
  <si>
    <t>CRISTINA TABORDA</t>
  </si>
  <si>
    <t>JEREMY MARTIN</t>
  </si>
  <si>
    <t>RICARDO GRESATI</t>
  </si>
  <si>
    <t>BRUNO RINALDI</t>
  </si>
  <si>
    <t>MARCO PICCININI</t>
  </si>
  <si>
    <t>PEDRO DUCOMMUN</t>
  </si>
  <si>
    <t xml:space="preserve">RAFAEL BARBOSA </t>
  </si>
  <si>
    <t xml:space="preserve">RAFAEL ROSENO </t>
  </si>
  <si>
    <t>GABRIEL HAKEL</t>
  </si>
  <si>
    <t>ELISE RUTHERFUR</t>
  </si>
  <si>
    <t>BETTY YU</t>
  </si>
  <si>
    <t>MARGARET PARISI</t>
  </si>
  <si>
    <t>CHASE PARISI</t>
  </si>
  <si>
    <t>ALLISON KOBLICK</t>
  </si>
  <si>
    <t>EXEDIA</t>
  </si>
  <si>
    <t>KANAKO HATAFUJI</t>
  </si>
  <si>
    <t>SUSAN DIETERICH</t>
  </si>
  <si>
    <t>MATTHEW VAN ZETTEN</t>
  </si>
  <si>
    <t xml:space="preserve">MARC LABRIET </t>
  </si>
  <si>
    <t>CHAO WEI CHEN</t>
  </si>
  <si>
    <t>BRENDA RIDDICK</t>
  </si>
  <si>
    <t>TY RIDDICK</t>
  </si>
  <si>
    <t>PETER HUONKER</t>
  </si>
  <si>
    <t>ERIK RESPINI</t>
  </si>
  <si>
    <t>PEDRO RAFAEL GUIMARAES</t>
  </si>
  <si>
    <t>THIAGO TERGOLINO</t>
  </si>
  <si>
    <t>DU WANG</t>
  </si>
  <si>
    <t>SIMON HELMORE</t>
  </si>
  <si>
    <t>Izabella Antunes Pimenta</t>
  </si>
  <si>
    <t>Cristiane Francioni Leonardo Francioni</t>
  </si>
  <si>
    <t>BRUNO RINALDI BOTELHO</t>
  </si>
  <si>
    <t>Agustina Anson Fernandez</t>
  </si>
  <si>
    <t>Gert De Risseau</t>
  </si>
  <si>
    <t>Marco Piccinini</t>
  </si>
  <si>
    <t>gustavo silva</t>
  </si>
  <si>
    <t>Pedro Ducommun</t>
  </si>
  <si>
    <t>Maria Bandeira/Maria Bandeira</t>
  </si>
  <si>
    <t>Pedro Pascual</t>
  </si>
  <si>
    <t>INES ECHEVARRIA</t>
  </si>
  <si>
    <t>Laura Maria Evangelista Lemos</t>
  </si>
  <si>
    <t>Allison Koblick</t>
  </si>
  <si>
    <t>Susan Dieterich</t>
  </si>
  <si>
    <t>Claudio Bortolli</t>
  </si>
  <si>
    <t>Deborah Pantoja</t>
  </si>
  <si>
    <t>Rafael Roseno Barbosa</t>
  </si>
  <si>
    <t>Rafael Barbosa</t>
  </si>
  <si>
    <t>Paula Parente Cantuaria Ramos</t>
  </si>
  <si>
    <t>Borghini Luigi</t>
  </si>
  <si>
    <t>Jose Miguel PEREZ OYARZUN</t>
  </si>
  <si>
    <t>Pedro Fernandes</t>
  </si>
  <si>
    <t>Matthew Van Zetten</t>
  </si>
  <si>
    <t>Igor Di Beo</t>
  </si>
  <si>
    <t>LEONARDO YANO E RICARDO YANO/LYGIA MARIA ALMEIDA DOS SANTOS E KENZO RICARDO CATELAN YANO</t>
  </si>
  <si>
    <t>monica cappa/Marina Cappa Santoni</t>
  </si>
  <si>
    <t>Thomas Brandeis</t>
  </si>
  <si>
    <t>marcus gualberto</t>
  </si>
  <si>
    <t>silvana botinha de melo melo</t>
  </si>
  <si>
    <t>Marc Labriet</t>
  </si>
  <si>
    <t>Chao Wei Chen</t>
  </si>
  <si>
    <t>Urs Jaggi</t>
  </si>
  <si>
    <t>Elise Rutherfurd</t>
  </si>
  <si>
    <t>Lara Gertner</t>
  </si>
  <si>
    <t>Julio Frochtengarten</t>
  </si>
  <si>
    <t>Betty Yu</t>
  </si>
  <si>
    <t>MAYA MARIANNE KNUESEL</t>
  </si>
  <si>
    <t>Ricardo Cernic</t>
  </si>
  <si>
    <t>Paula Freitas</t>
  </si>
  <si>
    <t>Sheynaz Bassa</t>
  </si>
  <si>
    <t>giuseppe ricci/giuseppe ricci</t>
  </si>
  <si>
    <t>Karen Nesler</t>
  </si>
  <si>
    <t>Brenda Riddick</t>
  </si>
  <si>
    <t>Ty Riddick</t>
  </si>
  <si>
    <t>Patrick Drake</t>
  </si>
  <si>
    <t>Peter Huonker</t>
  </si>
  <si>
    <t>Pedro Henrique Peracini Cardoso</t>
  </si>
  <si>
    <t>duckwoo jung</t>
  </si>
  <si>
    <t>Varun Gehani</t>
  </si>
  <si>
    <t>Erik Respini</t>
  </si>
  <si>
    <t>Grant Parisi/Margaret Parisi</t>
  </si>
  <si>
    <t>Felipe Sanchez</t>
  </si>
  <si>
    <t>PEDRO RAFAEL N. GUIMARAES</t>
  </si>
  <si>
    <t>Chase Parisi</t>
  </si>
  <si>
    <t>Alexandre Akira Freixa Okamoto</t>
  </si>
  <si>
    <t>Ana Carolina Fullen</t>
  </si>
  <si>
    <t>John Culley</t>
  </si>
  <si>
    <t>Du Wang</t>
  </si>
  <si>
    <t>Thiago Tergolino</t>
  </si>
  <si>
    <t>Jeremy Martin</t>
  </si>
  <si>
    <t>Simon Helmore</t>
  </si>
  <si>
    <t>Viveca Moura de Farias</t>
  </si>
  <si>
    <t>Cristina Taborda</t>
  </si>
  <si>
    <t>Ricardo Gresati</t>
  </si>
  <si>
    <t>01/12/2018 11:45</t>
  </si>
  <si>
    <t>414720XXXXXXX3910</t>
  </si>
  <si>
    <t>08661I</t>
  </si>
  <si>
    <t>Anulación USD$</t>
  </si>
  <si>
    <t>01/12/2018 16:33</t>
  </si>
  <si>
    <t>094130</t>
  </si>
  <si>
    <t>01/12/2018 18:40</t>
  </si>
  <si>
    <t>535120XXXXXXX6048</t>
  </si>
  <si>
    <t>436007</t>
  </si>
  <si>
    <t>01/12/2018 22:50</t>
  </si>
  <si>
    <t>422061XXXXXXX0636</t>
  </si>
  <si>
    <t>503963</t>
  </si>
  <si>
    <t>02/12/2018 10:22</t>
  </si>
  <si>
    <t>422061XXXXXXX3151</t>
  </si>
  <si>
    <t>225148</t>
  </si>
  <si>
    <t>02/12/2018 18:00</t>
  </si>
  <si>
    <t>375239XXXXXX1006</t>
  </si>
  <si>
    <t>02/12/2018 18:32</t>
  </si>
  <si>
    <t>281211</t>
  </si>
  <si>
    <t>03/12/2018 11:25</t>
  </si>
  <si>
    <t>498000XXXXXXX9194</t>
  </si>
  <si>
    <t>001812</t>
  </si>
  <si>
    <t>03/12/2018 14:15</t>
  </si>
  <si>
    <t>414720XXXXXXX3533</t>
  </si>
  <si>
    <t>06247I</t>
  </si>
  <si>
    <t>03/12/2018 14:16</t>
  </si>
  <si>
    <t>02181I</t>
  </si>
  <si>
    <t>03/12/2018 14:19</t>
  </si>
  <si>
    <t>375281XXXXXX5003</t>
  </si>
  <si>
    <t>72</t>
  </si>
  <si>
    <t>03/12/2018 14:21</t>
  </si>
  <si>
    <t>406655XXXXXXX9887</t>
  </si>
  <si>
    <t>620594</t>
  </si>
  <si>
    <t>03/12/2018 14:23</t>
  </si>
  <si>
    <t>414720XXXXXXX4348</t>
  </si>
  <si>
    <t>02242I</t>
  </si>
  <si>
    <t>03/12/2018 14:26</t>
  </si>
  <si>
    <t>457015XXXXXXX5499</t>
  </si>
  <si>
    <t>926148</t>
  </si>
  <si>
    <t>03/12/2018 14:27</t>
  </si>
  <si>
    <t>379375XXXXXX1007</t>
  </si>
  <si>
    <t>40</t>
  </si>
  <si>
    <t>03/12/2018 16:23</t>
  </si>
  <si>
    <t>498401XXXXXXX7437</t>
  </si>
  <si>
    <t>782818</t>
  </si>
  <si>
    <t>03/12/2018 18:24</t>
  </si>
  <si>
    <t>525303XXXXXXX9949</t>
  </si>
  <si>
    <t>T63695</t>
  </si>
  <si>
    <t>04/12/2018 09:30</t>
  </si>
  <si>
    <t>376418XXXXXX6003</t>
  </si>
  <si>
    <t>76</t>
  </si>
  <si>
    <t>04/12/2018 09:58</t>
  </si>
  <si>
    <t>539832XXXXXXX5415</t>
  </si>
  <si>
    <t>395942</t>
  </si>
  <si>
    <t>04/12/2018 11:19</t>
  </si>
  <si>
    <t>498408XXXXXXX4108</t>
  </si>
  <si>
    <t>064852</t>
  </si>
  <si>
    <t>04/12/2018 12:48</t>
  </si>
  <si>
    <t>526227XXXXXXX8288</t>
  </si>
  <si>
    <t>866471</t>
  </si>
  <si>
    <t>05/12/2018 14:02</t>
  </si>
  <si>
    <t>450881XXXXXXX8348</t>
  </si>
  <si>
    <t>911125</t>
  </si>
  <si>
    <t>05/12/2018 14:04</t>
  </si>
  <si>
    <t>375687XXXXXX3008</t>
  </si>
  <si>
    <t>88</t>
  </si>
  <si>
    <t>05/12/2018 14:10</t>
  </si>
  <si>
    <t>374912XXXXXX4000</t>
  </si>
  <si>
    <t>15</t>
  </si>
  <si>
    <t>05/12/2018 14:57</t>
  </si>
  <si>
    <t>485720XXXXXXX5261</t>
  </si>
  <si>
    <t>771898</t>
  </si>
  <si>
    <t>05/12/2018 21:02</t>
  </si>
  <si>
    <t>031163</t>
  </si>
  <si>
    <t>06/12/2018 17:19</t>
  </si>
  <si>
    <t>00439I</t>
  </si>
  <si>
    <t>07/12/2018 09:48</t>
  </si>
  <si>
    <t>055185</t>
  </si>
  <si>
    <t>07/12/2018 11:43</t>
  </si>
  <si>
    <t>414720XXXXXXX4094</t>
  </si>
  <si>
    <t>02754D</t>
  </si>
  <si>
    <t>07/12/2018 11:44</t>
  </si>
  <si>
    <t>548724XXXXXXX6276</t>
  </si>
  <si>
    <t>089035</t>
  </si>
  <si>
    <t>07/12/2018 11:46</t>
  </si>
  <si>
    <t>550209XXXXXXX5923</t>
  </si>
  <si>
    <t>OYF834</t>
  </si>
  <si>
    <t>07/12/2018 11:48</t>
  </si>
  <si>
    <t>553636XXXXXXX3305</t>
  </si>
  <si>
    <t>021794</t>
  </si>
  <si>
    <t>07/12/2018 13:54</t>
  </si>
  <si>
    <t>491573XXXXXXX7496</t>
  </si>
  <si>
    <t>052033</t>
  </si>
  <si>
    <t>07/12/2018 14:38</t>
  </si>
  <si>
    <t>536143XXXXXXX4796</t>
  </si>
  <si>
    <t>021262</t>
  </si>
  <si>
    <t>07/12/2018 17:15</t>
  </si>
  <si>
    <t>426684XXXXXXX8825</t>
  </si>
  <si>
    <t>08012B</t>
  </si>
  <si>
    <t>07/12/2018 21:24</t>
  </si>
  <si>
    <t>422061XXXXXXX3055</t>
  </si>
  <si>
    <t>255350</t>
  </si>
  <si>
    <t>08/12/2018 11:11</t>
  </si>
  <si>
    <t>971513</t>
  </si>
  <si>
    <t>08/12/2018 11:13</t>
  </si>
  <si>
    <t>522832XXXXXXX3050</t>
  </si>
  <si>
    <t>381468</t>
  </si>
  <si>
    <t>08/12/2018 11:14</t>
  </si>
  <si>
    <t>522832XXXXXXX9346</t>
  </si>
  <si>
    <t>391819</t>
  </si>
  <si>
    <t>08/12/2018 14:17</t>
  </si>
  <si>
    <t>498408XXXXXXX7410</t>
  </si>
  <si>
    <t>768954</t>
  </si>
  <si>
    <t>08/12/2018 14:19</t>
  </si>
  <si>
    <t>459384XXXXXXX4060</t>
  </si>
  <si>
    <t>322361</t>
  </si>
  <si>
    <t>08/12/2018 14:21</t>
  </si>
  <si>
    <t>490829XXXXXXX4013</t>
  </si>
  <si>
    <t>071605</t>
  </si>
  <si>
    <t>08/12/2018 14:23</t>
  </si>
  <si>
    <t>497278XXXXXXX4771</t>
  </si>
  <si>
    <t>045255</t>
  </si>
  <si>
    <t>09/12/2018 15:10</t>
  </si>
  <si>
    <t>376667XXXXXX6005</t>
  </si>
  <si>
    <t>10/12/2018 09:43</t>
  </si>
  <si>
    <t>371783XXXXXX3003</t>
  </si>
  <si>
    <t>38</t>
  </si>
  <si>
    <t>10/12/2018 09:56</t>
  </si>
  <si>
    <t>423925XXXXXXX0268</t>
  </si>
  <si>
    <t>808712</t>
  </si>
  <si>
    <t>10/12/2018 09:57</t>
  </si>
  <si>
    <t>422061XXXXXXX9900</t>
  </si>
  <si>
    <t>583957</t>
  </si>
  <si>
    <t>10/12/2018 11:49</t>
  </si>
  <si>
    <t>414720XXXXXXX9800</t>
  </si>
  <si>
    <t>01538I</t>
  </si>
  <si>
    <t>10/12/2018 11:51</t>
  </si>
  <si>
    <t>06959Z</t>
  </si>
  <si>
    <t>10/12/2018 11:54</t>
  </si>
  <si>
    <t>06537Z</t>
  </si>
  <si>
    <t>10/12/2018 16:23</t>
  </si>
  <si>
    <t>498407XXXXXXX5364</t>
  </si>
  <si>
    <t>062778</t>
  </si>
  <si>
    <t>10/12/2018 17:18</t>
  </si>
  <si>
    <t>608861</t>
  </si>
  <si>
    <t>11/12/2018 12:11</t>
  </si>
  <si>
    <t>552289XXXXXXX1247</t>
  </si>
  <si>
    <t>010245</t>
  </si>
  <si>
    <t>11/12/2018 16:36</t>
  </si>
  <si>
    <t>12/12/2018 14:14</t>
  </si>
  <si>
    <t>431947XXXXXXX3521</t>
  </si>
  <si>
    <t>497695</t>
  </si>
  <si>
    <t>12/12/2018 14:15</t>
  </si>
  <si>
    <t>426354XXXXXXX1153</t>
  </si>
  <si>
    <t>418531</t>
  </si>
  <si>
    <t>12/12/2018 14:36</t>
  </si>
  <si>
    <t>452088XXXXXXX8951</t>
  </si>
  <si>
    <t>02322I</t>
  </si>
  <si>
    <t>13/12/2018 11:39</t>
  </si>
  <si>
    <t>549703XXXXXXX0932</t>
  </si>
  <si>
    <t>030032</t>
  </si>
  <si>
    <t>13/12/2018 11:42</t>
  </si>
  <si>
    <t>998593</t>
  </si>
  <si>
    <t>14/12/2018 10:01</t>
  </si>
  <si>
    <t>522840XXXXXXX6464</t>
  </si>
  <si>
    <t>023974</t>
  </si>
  <si>
    <t>14/12/2018 11:13</t>
  </si>
  <si>
    <t>264337</t>
  </si>
  <si>
    <t>14/12/2018 12:05</t>
  </si>
  <si>
    <t>552490XXXXXXX2520</t>
  </si>
  <si>
    <t>09795S</t>
  </si>
  <si>
    <t>14/12/2018 12:06</t>
  </si>
  <si>
    <t>522832XXXXXXX9365</t>
  </si>
  <si>
    <t>692434</t>
  </si>
  <si>
    <t>14/12/2018 12:07</t>
  </si>
  <si>
    <t>965091</t>
  </si>
  <si>
    <t>14/12/2018 12:08</t>
  </si>
  <si>
    <t>410039XXXXXXX7757</t>
  </si>
  <si>
    <t>12091D</t>
  </si>
  <si>
    <t>497783XXXXXXX0481</t>
  </si>
  <si>
    <t>157326</t>
  </si>
  <si>
    <t>14/12/2018 12:09</t>
  </si>
  <si>
    <t>550209XXXXXXX0152</t>
  </si>
  <si>
    <t>I1RKUI</t>
  </si>
  <si>
    <t>14/12/2018 13:15</t>
  </si>
  <si>
    <t>434956XXXXXXX6704</t>
  </si>
  <si>
    <t>14/12/2018 13:16</t>
  </si>
  <si>
    <t>489396XXXXXXX1704</t>
  </si>
  <si>
    <t>025800</t>
  </si>
  <si>
    <t>14/12/2018 18:42</t>
  </si>
  <si>
    <t>H35226</t>
  </si>
  <si>
    <t>15/12/2018 13:49</t>
  </si>
  <si>
    <t>009582</t>
  </si>
  <si>
    <t>15/12/2018 19:52</t>
  </si>
  <si>
    <t>062252</t>
  </si>
  <si>
    <t>16/12/2018 11:05</t>
  </si>
  <si>
    <t>421847XXXXXXX7924</t>
  </si>
  <si>
    <t>094351</t>
  </si>
  <si>
    <t>16/12/2018 17:54</t>
  </si>
  <si>
    <t>546616XXXXXXX0301</t>
  </si>
  <si>
    <t>35778P</t>
  </si>
  <si>
    <t>17/12/2018 09:15</t>
  </si>
  <si>
    <t>733045</t>
  </si>
  <si>
    <t>17/12/2018 11:37</t>
  </si>
  <si>
    <t>431196XXXXXXX2263</t>
  </si>
  <si>
    <t>017199</t>
  </si>
  <si>
    <t>17/12/2018 16:34</t>
  </si>
  <si>
    <t>017121</t>
  </si>
  <si>
    <t>19/12/2018 08:27</t>
  </si>
  <si>
    <t>589738XXXXXXX4428</t>
  </si>
  <si>
    <t>B50693</t>
  </si>
  <si>
    <t>19/12/2018 08:53</t>
  </si>
  <si>
    <t>001123</t>
  </si>
  <si>
    <t>19/12/2018 12:05</t>
  </si>
  <si>
    <t>062737</t>
  </si>
  <si>
    <t>19/12/2018 14:30</t>
  </si>
  <si>
    <t>455600XXXXXXX5752</t>
  </si>
  <si>
    <t>126080</t>
  </si>
  <si>
    <t>19/12/2018 14:32</t>
  </si>
  <si>
    <t>371785XXXXXX2000</t>
  </si>
  <si>
    <t>17</t>
  </si>
  <si>
    <t>20/12/2018 11:23</t>
  </si>
  <si>
    <t>050124</t>
  </si>
  <si>
    <t>21/12/2018 09:00</t>
  </si>
  <si>
    <t>06023I</t>
  </si>
  <si>
    <t>21/12/2018 10:45</t>
  </si>
  <si>
    <t>090590</t>
  </si>
  <si>
    <t>484457</t>
  </si>
  <si>
    <t>22/12/2018 08:41</t>
  </si>
  <si>
    <t>548724XXXXXXX6654</t>
  </si>
  <si>
    <t>030834</t>
  </si>
  <si>
    <t>22/12/2018 08:43</t>
  </si>
  <si>
    <t>529930XXXXXXX2728</t>
  </si>
  <si>
    <t>T75966</t>
  </si>
  <si>
    <t>22/12/2018 08:50</t>
  </si>
  <si>
    <t>550129XXXXXXX0528</t>
  </si>
  <si>
    <t>050982</t>
  </si>
  <si>
    <t>22/12/2018 08:53</t>
  </si>
  <si>
    <t>411049XXXXXXX7569</t>
  </si>
  <si>
    <t>070601</t>
  </si>
  <si>
    <t>22/12/2018 09:00</t>
  </si>
  <si>
    <t>062301</t>
  </si>
  <si>
    <t>22/12/2018 10:17</t>
  </si>
  <si>
    <t>375301XXXXXX1000</t>
  </si>
  <si>
    <t>51</t>
  </si>
  <si>
    <t>22/12/2018 10:29</t>
  </si>
  <si>
    <t>961460</t>
  </si>
  <si>
    <t>22/12/2018 10:30</t>
  </si>
  <si>
    <t>478675</t>
  </si>
  <si>
    <t>22/12/2018 11:08</t>
  </si>
  <si>
    <t>440066XXXXXXX2979</t>
  </si>
  <si>
    <t>08912D</t>
  </si>
  <si>
    <t>22/12/2018 11:14</t>
  </si>
  <si>
    <t>422061XXXXXXX7753</t>
  </si>
  <si>
    <t>152865</t>
  </si>
  <si>
    <t>22/12/2018 11:15</t>
  </si>
  <si>
    <t>171565</t>
  </si>
  <si>
    <t>22/12/2018 11:18</t>
  </si>
  <si>
    <t>415275XXXXXXX6118</t>
  </si>
  <si>
    <t>013868</t>
  </si>
  <si>
    <t>22/12/2018 15:55</t>
  </si>
  <si>
    <t>974425</t>
  </si>
  <si>
    <t>22/12/2018 15:57</t>
  </si>
  <si>
    <t>977922</t>
  </si>
  <si>
    <t>22/12/2018 17:20</t>
  </si>
  <si>
    <t>549167XXXXXXX0172</t>
  </si>
  <si>
    <t>089345</t>
  </si>
  <si>
    <t>22/12/2018 17:33</t>
  </si>
  <si>
    <t>059907</t>
  </si>
  <si>
    <t>23/12/2018 09:52</t>
  </si>
  <si>
    <t>00286I</t>
  </si>
  <si>
    <t>23/12/2018 16:15</t>
  </si>
  <si>
    <t>472697</t>
  </si>
  <si>
    <t>23/12/2018 18:58</t>
  </si>
  <si>
    <t>375209XXXXXX1004</t>
  </si>
  <si>
    <t>78</t>
  </si>
  <si>
    <t>24/12/2018 14:57</t>
  </si>
  <si>
    <t>431289</t>
  </si>
  <si>
    <t>24/12/2018 14:58</t>
  </si>
  <si>
    <t>432749</t>
  </si>
  <si>
    <t>25/12/2018 09:10</t>
  </si>
  <si>
    <t>923850</t>
  </si>
  <si>
    <t>25/12/2018 10:56</t>
  </si>
  <si>
    <t>516310XXXXXXX1880</t>
  </si>
  <si>
    <t>R75255</t>
  </si>
  <si>
    <t>25/12/2018 10:59</t>
  </si>
  <si>
    <t>516220XXXXXXX7957</t>
  </si>
  <si>
    <t>4KQNFR</t>
  </si>
  <si>
    <t>25/12/2018 11:03</t>
  </si>
  <si>
    <t>490172XXXXXXX7892</t>
  </si>
  <si>
    <t>062808</t>
  </si>
  <si>
    <t>25/12/2018 11:06</t>
  </si>
  <si>
    <t>553636XXXXXXX0174</t>
  </si>
  <si>
    <t>066184</t>
  </si>
  <si>
    <t>26/12/2018 14:05</t>
  </si>
  <si>
    <t>09237C</t>
  </si>
  <si>
    <t>26/12/2018 14:35</t>
  </si>
  <si>
    <t>541590XXXXXXX7430</t>
  </si>
  <si>
    <t>09446Z</t>
  </si>
  <si>
    <t>27/12/2018 13:48</t>
  </si>
  <si>
    <t>552561XXXXXXX8447</t>
  </si>
  <si>
    <t>578581</t>
  </si>
  <si>
    <t>27/12/2018 13:59</t>
  </si>
  <si>
    <t>451461XXXXXXX7050</t>
  </si>
  <si>
    <t>752402</t>
  </si>
  <si>
    <t>27/12/2018 18:13</t>
  </si>
  <si>
    <t>03372I</t>
  </si>
  <si>
    <t>28/12/2018 09:55</t>
  </si>
  <si>
    <t>550209XXXXXXX7548</t>
  </si>
  <si>
    <t>WM1A0R</t>
  </si>
  <si>
    <t>28/12/2018 11:10</t>
  </si>
  <si>
    <t>963081</t>
  </si>
  <si>
    <t>28/12/2018 14:11</t>
  </si>
  <si>
    <t>552041XXXXXXX5060</t>
  </si>
  <si>
    <t>865610</t>
  </si>
  <si>
    <t>29/12/2018 13:06</t>
  </si>
  <si>
    <t>450878XXXXXXX4760</t>
  </si>
  <si>
    <t>766112</t>
  </si>
  <si>
    <t>30/12/2018 15:15</t>
  </si>
  <si>
    <t>522832XXXXXXX8921</t>
  </si>
  <si>
    <t>661740</t>
  </si>
  <si>
    <t>21/12/2018 22:13</t>
  </si>
  <si>
    <t>540445XXXXXXX5679</t>
  </si>
  <si>
    <t>036210</t>
  </si>
  <si>
    <t>03/01/2019 18:04</t>
  </si>
  <si>
    <t>524206XXXXXXX2576</t>
  </si>
  <si>
    <t>299030</t>
  </si>
  <si>
    <t>03/01/2019 18:05</t>
  </si>
  <si>
    <t>410039XXXXXXX6729</t>
  </si>
  <si>
    <t>05631D</t>
  </si>
  <si>
    <t>04/01/2019 13:20</t>
  </si>
  <si>
    <t>471213XXXXXXX6937</t>
  </si>
  <si>
    <t>004275</t>
  </si>
  <si>
    <t>04/01/2019 14:07</t>
  </si>
  <si>
    <t>425944XXXXXXX3470</t>
  </si>
  <si>
    <t>630098</t>
  </si>
  <si>
    <t>04/01/2019 14:18</t>
  </si>
  <si>
    <t>553636XXXXXXX2518</t>
  </si>
  <si>
    <t>007500</t>
  </si>
  <si>
    <t>04/01/2019 14:21</t>
  </si>
  <si>
    <t>522688XXXXXXX9753</t>
  </si>
  <si>
    <t>WODYJ7</t>
  </si>
  <si>
    <t>04/01/2019 14:34</t>
  </si>
  <si>
    <t>433668XXXXXXX5201</t>
  </si>
  <si>
    <t>309296</t>
  </si>
  <si>
    <t>04/01/2019 14:41</t>
  </si>
  <si>
    <t>372587XXXXXX5000</t>
  </si>
  <si>
    <t>56</t>
  </si>
  <si>
    <t>04/01/2019 14:42</t>
  </si>
  <si>
    <t>04/01/2019 20:24</t>
  </si>
  <si>
    <t>414720XXXXXXX6939</t>
  </si>
  <si>
    <t>08389I</t>
  </si>
  <si>
    <t>05/01/2019 09:57</t>
  </si>
  <si>
    <t>377259XXXXXX2008</t>
  </si>
  <si>
    <t>05/01/2019 17:33</t>
  </si>
  <si>
    <t>454313XXXXXXX3320</t>
  </si>
  <si>
    <t>147055</t>
  </si>
  <si>
    <t>05/01/2019 20:01</t>
  </si>
  <si>
    <t>534265</t>
  </si>
  <si>
    <t>05/01/2019 20:19</t>
  </si>
  <si>
    <t>03224D</t>
  </si>
  <si>
    <t>05/01/2019 22:47</t>
  </si>
  <si>
    <t>083478</t>
  </si>
  <si>
    <t xml:space="preserve">28/12/2018  </t>
  </si>
  <si>
    <t>438857XXXXXXX4214</t>
  </si>
  <si>
    <t>455701XXXXXXX8304</t>
  </si>
  <si>
    <t>546657XXXXXXX1718</t>
  </si>
  <si>
    <t>29/12/2018 11:22</t>
  </si>
  <si>
    <t>515590XXXXXXX8269</t>
  </si>
  <si>
    <t>29/12/2018 14:51</t>
  </si>
  <si>
    <t>29/12/2018 16:11</t>
  </si>
  <si>
    <t>376449XXXXXX8008</t>
  </si>
  <si>
    <t>29/12/2018 16:12</t>
  </si>
  <si>
    <t>29/12/2018 16:54</t>
  </si>
  <si>
    <t>30/12/2018 14:02</t>
  </si>
  <si>
    <t>406095XXXXXXX7842</t>
  </si>
  <si>
    <t>30/12/2018 14:03</t>
  </si>
  <si>
    <t>517805XXXXXXX9151</t>
  </si>
  <si>
    <t>30/12/2018 14:32</t>
  </si>
  <si>
    <t>377662XXXXXX2881</t>
  </si>
  <si>
    <t>31/12/2018 12:26</t>
  </si>
  <si>
    <t>516292XXXXXXX6132</t>
  </si>
  <si>
    <t>31/12/2018 13:08</t>
  </si>
  <si>
    <t>31/12/2018 20:29</t>
  </si>
  <si>
    <t>526219XXXXXXX2326</t>
  </si>
  <si>
    <t>31/12/2018 20:30</t>
  </si>
  <si>
    <t>30975279</t>
  </si>
  <si>
    <t>31/12/2018 20:31</t>
  </si>
  <si>
    <t>30975280</t>
  </si>
  <si>
    <t>405071XXXXXXX5074</t>
  </si>
  <si>
    <t>31/12/2018 20:32</t>
  </si>
  <si>
    <t>30975281</t>
  </si>
  <si>
    <t>31/12/2018 20:33</t>
  </si>
  <si>
    <t>30975282</t>
  </si>
  <si>
    <t>375240XXXXXX1000</t>
  </si>
  <si>
    <t>31/12/2018 20:34</t>
  </si>
  <si>
    <t>30975283</t>
  </si>
  <si>
    <t>31/12/2018 20:35</t>
  </si>
  <si>
    <t>30975284</t>
  </si>
  <si>
    <t>559139XXXXXXX6664</t>
  </si>
  <si>
    <t>31/12/2018 20:36</t>
  </si>
  <si>
    <t>30975285</t>
  </si>
  <si>
    <t>457232XXXXXXX7783</t>
  </si>
  <si>
    <t>31/12/2018 20:37</t>
  </si>
  <si>
    <t>30975286</t>
  </si>
  <si>
    <t>553096XXXXXXX0477</t>
  </si>
  <si>
    <t>31/12/2018 20:38</t>
  </si>
  <si>
    <t>30975287</t>
  </si>
  <si>
    <t>04960Z</t>
  </si>
  <si>
    <t>01729D</t>
  </si>
  <si>
    <t>676603</t>
  </si>
  <si>
    <t>62</t>
  </si>
  <si>
    <t>04029B</t>
  </si>
  <si>
    <t>240072</t>
  </si>
  <si>
    <t>57</t>
  </si>
  <si>
    <t>63</t>
  </si>
  <si>
    <t>64</t>
  </si>
  <si>
    <t>H62043</t>
  </si>
  <si>
    <t>00516D</t>
  </si>
  <si>
    <t>06486P</t>
  </si>
  <si>
    <t>0NSQ26</t>
  </si>
  <si>
    <t>T32918</t>
  </si>
  <si>
    <t>488405</t>
  </si>
  <si>
    <t>78215D</t>
  </si>
  <si>
    <t>003729</t>
  </si>
  <si>
    <t>043201</t>
  </si>
  <si>
    <t>70</t>
  </si>
  <si>
    <t>788344</t>
  </si>
  <si>
    <t>539463</t>
  </si>
  <si>
    <t>336745</t>
  </si>
  <si>
    <t>48</t>
  </si>
  <si>
    <t>03/12/2018</t>
  </si>
  <si>
    <t>04/12/2018</t>
  </si>
  <si>
    <t>06/12/2018</t>
  </si>
  <si>
    <t>10/12/2018</t>
  </si>
  <si>
    <t>11/12/2018</t>
  </si>
  <si>
    <t>13/12/2018</t>
  </si>
  <si>
    <t>14/12/2018</t>
  </si>
  <si>
    <t>17/12/2018</t>
  </si>
  <si>
    <t>18/12/2018</t>
  </si>
  <si>
    <t>19/12/2018</t>
  </si>
  <si>
    <t>21/12/2018</t>
  </si>
  <si>
    <t>26/12/2018</t>
  </si>
  <si>
    <t>5553295</t>
  </si>
  <si>
    <t>5553294</t>
  </si>
  <si>
    <t>27/12/2018</t>
  </si>
  <si>
    <t>28/12/2018</t>
  </si>
  <si>
    <t>61992480</t>
  </si>
  <si>
    <t>15.013.795-0</t>
  </si>
  <si>
    <t>2162467720</t>
  </si>
  <si>
    <t xml:space="preserve">PILAR CUEVAS CUEVAS                          </t>
  </si>
  <si>
    <t>Reparacion Camioneta Colorado</t>
  </si>
  <si>
    <t>61938391</t>
  </si>
  <si>
    <t>Sueldo Dic  18</t>
  </si>
  <si>
    <t>61938104</t>
  </si>
  <si>
    <t>61938120</t>
  </si>
  <si>
    <t>61938227</t>
  </si>
  <si>
    <t>61938276</t>
  </si>
  <si>
    <t>61938210</t>
  </si>
  <si>
    <t>61938192</t>
  </si>
  <si>
    <t>61938253</t>
  </si>
  <si>
    <t>61938170</t>
  </si>
  <si>
    <t>61938133</t>
  </si>
  <si>
    <t>61938426</t>
  </si>
  <si>
    <t>61938410</t>
  </si>
  <si>
    <t>61938376</t>
  </si>
  <si>
    <t>24.814.519-6</t>
  </si>
  <si>
    <t>24814519</t>
  </si>
  <si>
    <t xml:space="preserve">Marcela Camata                               </t>
  </si>
  <si>
    <t>61938570</t>
  </si>
  <si>
    <t>61938593</t>
  </si>
  <si>
    <t>24.400.280-3</t>
  </si>
  <si>
    <t>24400280</t>
  </si>
  <si>
    <t xml:space="preserve">Maria Lanza                                  </t>
  </si>
  <si>
    <t>61938445</t>
  </si>
  <si>
    <t>16.339.235-6</t>
  </si>
  <si>
    <t>16339235</t>
  </si>
  <si>
    <t xml:space="preserve">Diego Maldonado                              </t>
  </si>
  <si>
    <t>61938584</t>
  </si>
  <si>
    <t>23.704.059-7</t>
  </si>
  <si>
    <t>23704059</t>
  </si>
  <si>
    <t xml:space="preserve">Karina Mendoza                               </t>
  </si>
  <si>
    <t>61921785</t>
  </si>
  <si>
    <t>Fact 10117</t>
  </si>
  <si>
    <t>61921747</t>
  </si>
  <si>
    <t>Fact 15201</t>
  </si>
  <si>
    <t>61771872</t>
  </si>
  <si>
    <t>Fact 1888</t>
  </si>
  <si>
    <t>61651412</t>
  </si>
  <si>
    <t>Servicios contables</t>
  </si>
  <si>
    <t>15/12/2018</t>
  </si>
  <si>
    <t>61554765</t>
  </si>
  <si>
    <t>61554739</t>
  </si>
  <si>
    <t>12/12/2018</t>
  </si>
  <si>
    <t>61415592</t>
  </si>
  <si>
    <t>factura 183055215</t>
  </si>
  <si>
    <t>61415383</t>
  </si>
  <si>
    <t>76.248.923-6</t>
  </si>
  <si>
    <t xml:space="preserve">BANCO ITAU                         </t>
  </si>
  <si>
    <t>212890774</t>
  </si>
  <si>
    <t xml:space="preserve">Pagos y Servicios Astropay Ltda              </t>
  </si>
  <si>
    <t>1533564401</t>
  </si>
  <si>
    <t>61412561</t>
  </si>
  <si>
    <t>Aguinaldo dic18</t>
  </si>
  <si>
    <t>61412548</t>
  </si>
  <si>
    <t>61412602</t>
  </si>
  <si>
    <t>61412581</t>
  </si>
  <si>
    <t>61412495</t>
  </si>
  <si>
    <t>61412480</t>
  </si>
  <si>
    <t>61412532</t>
  </si>
  <si>
    <t>61412506</t>
  </si>
  <si>
    <t>61158682</t>
  </si>
  <si>
    <t>77.893.570-8</t>
  </si>
  <si>
    <t>62273704</t>
  </si>
  <si>
    <t xml:space="preserve">Horus Promotion &amp; Marketing Ltda             </t>
  </si>
  <si>
    <t>presup 12358</t>
  </si>
  <si>
    <t>61043859</t>
  </si>
  <si>
    <t>12.608.003-4</t>
  </si>
  <si>
    <t>29741416</t>
  </si>
  <si>
    <t xml:space="preserve">RICHARD SORIANO                              </t>
  </si>
  <si>
    <t>fact 489, 561</t>
  </si>
  <si>
    <t>61037758</t>
  </si>
  <si>
    <t>76.173.509-8</t>
  </si>
  <si>
    <t>66653927</t>
  </si>
  <si>
    <t xml:space="preserve">Nieva Soft EIRL                              </t>
  </si>
  <si>
    <t>fact 10507,10610,10666, 10791</t>
  </si>
  <si>
    <t>61037773</t>
  </si>
  <si>
    <t>96.591.760-8</t>
  </si>
  <si>
    <t xml:space="preserve">BANCO DE CHILE-EDWARDS             </t>
  </si>
  <si>
    <t>1787215104</t>
  </si>
  <si>
    <t xml:space="preserve">Truly Nolen Chile SA                         </t>
  </si>
  <si>
    <t>fact 200851</t>
  </si>
  <si>
    <t>61037814</t>
  </si>
  <si>
    <t>Fact 636646</t>
  </si>
  <si>
    <t>61037730</t>
  </si>
  <si>
    <t>96.604.460-8</t>
  </si>
  <si>
    <t>9800727</t>
  </si>
  <si>
    <t xml:space="preserve">ECOLAB                                       </t>
  </si>
  <si>
    <t>fact 1391966</t>
  </si>
  <si>
    <t>61037795</t>
  </si>
  <si>
    <t>Fact 1841</t>
  </si>
  <si>
    <t>60993832</t>
  </si>
  <si>
    <t>1911 88577626</t>
  </si>
  <si>
    <t>TAXI M-436 SANTIAGO</t>
  </si>
  <si>
    <t>SANTIAGO</t>
  </si>
  <si>
    <t>1911 88693683</t>
  </si>
  <si>
    <t>1911 88760673</t>
  </si>
  <si>
    <t>CKUNNA S.P. DE ATAC</t>
  </si>
  <si>
    <t>S.P. DE ATA</t>
  </si>
  <si>
    <t>1911 88181517</t>
  </si>
  <si>
    <t>17/11/2018</t>
  </si>
  <si>
    <t>1911 88054068</t>
  </si>
  <si>
    <t>1911 88944622</t>
  </si>
  <si>
    <t>RESTAURANT CHILOE S.P. DE ATAC</t>
  </si>
  <si>
    <t>1911 88400516</t>
  </si>
  <si>
    <t>18/11/2018</t>
  </si>
  <si>
    <t>MAXXIMIZA S A SANTIAGO</t>
  </si>
  <si>
    <t>0911 00000000</t>
  </si>
  <si>
    <t>2111 00000000</t>
  </si>
  <si>
    <t>2111 00000010</t>
  </si>
  <si>
    <t>DEV. CB RESTO 5</t>
  </si>
  <si>
    <t>2811 00000000</t>
  </si>
  <si>
    <t>0312 00000000</t>
  </si>
  <si>
    <t>0412 00000010</t>
  </si>
  <si>
    <t>0412 00000000</t>
  </si>
  <si>
    <t>28-12-2018</t>
  </si>
  <si>
    <t>TRANSFERENCIA DE FONDO</t>
  </si>
  <si>
    <t>1083</t>
  </si>
  <si>
    <t>27-12-2018</t>
  </si>
  <si>
    <t>17-12-2018</t>
  </si>
  <si>
    <t>14-12-2018</t>
  </si>
  <si>
    <t>10-12-2018</t>
  </si>
  <si>
    <t>05-12-2018</t>
  </si>
  <si>
    <t>03-12-2018</t>
  </si>
  <si>
    <t>1199000109</t>
  </si>
  <si>
    <t>10770462</t>
  </si>
  <si>
    <t>10770934</t>
  </si>
  <si>
    <t>1288438113</t>
  </si>
  <si>
    <t>10770052</t>
  </si>
  <si>
    <t>10770167</t>
  </si>
  <si>
    <t>10770264</t>
  </si>
  <si>
    <t>10770862</t>
  </si>
  <si>
    <t>10770307</t>
  </si>
  <si>
    <t>boleta ta</t>
  </si>
  <si>
    <t>1012 24492158342637306383040</t>
  </si>
  <si>
    <t>2712 24492158360637224123475</t>
  </si>
  <si>
    <t>0201 24692169001100442178581</t>
  </si>
  <si>
    <t>Compra divisas</t>
  </si>
  <si>
    <t>FR Angelica</t>
  </si>
  <si>
    <t>2470967-Transacciones operaciones financieras ABONO</t>
  </si>
  <si>
    <t>TRANSFERENCIA A Banco Estado PARA Angelica Ramirez Munoz</t>
  </si>
  <si>
    <t>2476135-Transacciones operaciones financieras ABONO</t>
  </si>
  <si>
    <t>DEVOLUCION TESORERIA GRAL.</t>
  </si>
  <si>
    <t>2482355-Transacciones operaciones financieras ABONO</t>
  </si>
  <si>
    <t>COMEX ORDEN PAGO ENTRANTE. OPE389583</t>
  </si>
  <si>
    <t>2470967-Transacciones operaciones financieras CARGO</t>
  </si>
  <si>
    <t>CARGO CTA.CTE. FDOS BANCO WELLS FARGO BANK N</t>
  </si>
  <si>
    <t>COMEX ORDEN PAGO ENTRANTE. OPE390418</t>
  </si>
  <si>
    <t>COMEX ORDEN PAGO ENTRANTE. OPE391334</t>
  </si>
  <si>
    <t>2476135-Transacciones operaciones financieras CARGO</t>
  </si>
  <si>
    <t>COMEX ORDEN PAGO ENTRANTE. OPE392100</t>
  </si>
  <si>
    <t>COMEX ORDEN PAGO ENTRANTE. OPE392892</t>
  </si>
  <si>
    <t>2482355-Transacciones operaciones financieras CARGO</t>
  </si>
  <si>
    <t>Sistema solar</t>
  </si>
  <si>
    <t>Devolución IVA Credito</t>
  </si>
  <si>
    <t>thomas</t>
  </si>
  <si>
    <t>bb</t>
  </si>
  <si>
    <t>Retiro USD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</si>
</sst>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40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3" fontId="0" fillId="0" borderId="0" xfId="0" applyNumberFormat="1"/>
    <xf numFmtId="41" fontId="0" fillId="2" borderId="0" xfId="49" applyFont="1" applyFill="1"/>
    <xf numFmtId="0" fontId="38" fillId="2" borderId="1" xfId="1" applyNumberFormat="1" applyFont="1" applyFill="1" applyBorder="1"/>
    <xf numFmtId="41" fontId="8" fillId="5" borderId="1" xfId="49" applyFont="1" applyFill="1" applyBorder="1"/>
    <xf numFmtId="167" fontId="18" fillId="7" borderId="1" xfId="1" applyNumberFormat="1" applyFont="1" applyFill="1" applyBorder="1" applyAlignment="1">
      <alignment horizontal="center"/>
    </xf>
    <xf numFmtId="14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37" fillId="7" borderId="1" xfId="0" applyFont="1" applyFill="1" applyBorder="1"/>
    <xf numFmtId="167" fontId="8" fillId="2" borderId="1" xfId="1" applyNumberFormat="1" applyFont="1" applyFill="1" applyBorder="1" applyAlignment="1">
      <alignment horizontal="right"/>
    </xf>
    <xf numFmtId="0" fontId="8" fillId="2" borderId="6" xfId="0" applyFont="1" applyFill="1" applyBorder="1"/>
    <xf numFmtId="0" fontId="18" fillId="7" borderId="1" xfId="1" applyNumberFormat="1" applyFont="1" applyFill="1" applyBorder="1"/>
    <xf numFmtId="0" fontId="7" fillId="2" borderId="1" xfId="1" applyNumberFormat="1" applyFont="1" applyFill="1" applyBorder="1"/>
    <xf numFmtId="0" fontId="41" fillId="0" borderId="0" xfId="0" applyFont="1"/>
    <xf numFmtId="167" fontId="17" fillId="5" borderId="1" xfId="1" applyNumberFormat="1" applyFont="1" applyFill="1" applyBorder="1" applyAlignment="1">
      <alignment horizontal="right"/>
    </xf>
    <xf numFmtId="167" fontId="17" fillId="2" borderId="1" xfId="1" applyNumberFormat="1" applyFont="1" applyFill="1" applyBorder="1" applyAlignment="1">
      <alignment horizontal="right"/>
    </xf>
    <xf numFmtId="0" fontId="17" fillId="5" borderId="1" xfId="0" applyFont="1" applyFill="1" applyBorder="1"/>
    <xf numFmtId="14" fontId="17" fillId="5" borderId="1" xfId="0" applyNumberFormat="1" applyFont="1" applyFill="1" applyBorder="1" applyAlignment="1">
      <alignment horizontal="center"/>
    </xf>
    <xf numFmtId="41" fontId="7" fillId="2" borderId="1" xfId="49" applyFont="1" applyFill="1" applyBorder="1" applyAlignment="1">
      <alignment horizontal="center"/>
    </xf>
    <xf numFmtId="167" fontId="7" fillId="7" borderId="1" xfId="1" applyNumberFormat="1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7" fontId="7" fillId="7" borderId="1" xfId="1" applyNumberFormat="1" applyFont="1" applyFill="1" applyBorder="1"/>
    <xf numFmtId="0" fontId="7" fillId="7" borderId="1" xfId="1" applyNumberFormat="1" applyFont="1" applyFill="1" applyBorder="1"/>
    <xf numFmtId="0" fontId="0" fillId="0" borderId="0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HOTEL%20PASCUAL%202018/EERR/2018/9.-Septiembre/BCI%20$%20Hotel%20FR%20Sept%2018%20M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"/>
      <sheetName val="Hoja1"/>
    </sheetNames>
    <sheetDataSet>
      <sheetData sheetId="0"/>
      <sheetData sheetId="1">
        <row r="2">
          <cell r="A2" t="str">
            <v>Almuerzo Personal</v>
          </cell>
        </row>
        <row r="3">
          <cell r="A3" t="str">
            <v>Desayuno Pasajeros</v>
          </cell>
        </row>
        <row r="4">
          <cell r="A4" t="str">
            <v>Frigobar</v>
          </cell>
        </row>
        <row r="5">
          <cell r="A5" t="str">
            <v>Mantención</v>
          </cell>
        </row>
        <row r="6">
          <cell r="A6" t="str">
            <v>Aseo Hotel</v>
          </cell>
        </row>
        <row r="7">
          <cell r="A7" t="str">
            <v>Comb. Calefacción</v>
          </cell>
        </row>
        <row r="8">
          <cell r="A8" t="str">
            <v>Comb. Camioneta</v>
          </cell>
        </row>
        <row r="9">
          <cell r="A9" t="str">
            <v>Art. Oficina</v>
          </cell>
        </row>
        <row r="10">
          <cell r="A10" t="str">
            <v>Sueldo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64"/>
  <sheetViews>
    <sheetView workbookViewId="0">
      <selection activeCell="C49" sqref="C49:E49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4">
      <c r="B1" s="11" t="s">
        <v>827</v>
      </c>
    </row>
    <row r="2" spans="2:8" x14ac:dyDescent="0.3">
      <c r="B2" s="6" t="s">
        <v>15</v>
      </c>
      <c r="C2" s="6"/>
      <c r="D2" s="89">
        <v>681.99</v>
      </c>
      <c r="E2">
        <v>84</v>
      </c>
    </row>
    <row r="3" spans="2:8" x14ac:dyDescent="0.3">
      <c r="B3" s="6" t="s">
        <v>23</v>
      </c>
      <c r="C3" s="6"/>
      <c r="D3" s="40">
        <v>27558.46</v>
      </c>
    </row>
    <row r="4" spans="2:8" x14ac:dyDescent="0.3">
      <c r="B4" s="6" t="s">
        <v>14</v>
      </c>
      <c r="C4" s="6"/>
      <c r="D4" s="6">
        <f>Dic!J113</f>
        <v>268</v>
      </c>
      <c r="E4" s="83" t="e">
        <f>+Siteminder!O100</f>
        <v>#DIV/0!</v>
      </c>
    </row>
    <row r="5" spans="2:8" x14ac:dyDescent="0.3">
      <c r="B5" s="6" t="s">
        <v>16</v>
      </c>
      <c r="C5" s="6"/>
      <c r="D5" s="159">
        <f>D4/(30*10)</f>
        <v>0.89333333333333331</v>
      </c>
      <c r="E5" s="159" t="e">
        <f>E4/(30*10)</f>
        <v>#DIV/0!</v>
      </c>
      <c r="G5" s="322"/>
    </row>
    <row r="6" spans="2:8" x14ac:dyDescent="0.3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37412838.197976872</v>
      </c>
      <c r="D8" s="8">
        <f>C8/D4</f>
        <v>139600.14252976445</v>
      </c>
      <c r="E8" s="5">
        <f>+D8/D2</f>
        <v>204.69529249661204</v>
      </c>
      <c r="F8" s="5"/>
      <c r="H8" s="310"/>
    </row>
    <row r="9" spans="2:8" ht="15" x14ac:dyDescent="0.25">
      <c r="B9" t="s">
        <v>7</v>
      </c>
      <c r="C9" s="1">
        <f>Dic!V65/(1.038)</f>
        <v>27109132.403660882</v>
      </c>
      <c r="D9" s="9">
        <f>C9/$C$8</f>
        <v>0.72459438282142485</v>
      </c>
    </row>
    <row r="10" spans="2:8" ht="15" x14ac:dyDescent="0.25">
      <c r="B10" t="s">
        <v>8</v>
      </c>
      <c r="C10" s="1">
        <f>Dic!V85/(1.038)</f>
        <v>6012687.7885356471</v>
      </c>
      <c r="D10" s="9">
        <f>C10/$C$8</f>
        <v>0.16071188603009509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Dic!V109/(1.038)</f>
        <v>4291018.0057803467</v>
      </c>
      <c r="D12" s="9">
        <f>C12/$C$8</f>
        <v>0.11469373114848011</v>
      </c>
      <c r="E12" s="1"/>
    </row>
    <row r="13" spans="2:8" ht="15" x14ac:dyDescent="0.25">
      <c r="B13" t="s">
        <v>39</v>
      </c>
      <c r="C13" s="1">
        <f>Dic!U112*D2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13656834.888</v>
      </c>
      <c r="D16" s="8">
        <f>C16/D4</f>
        <v>50958.339134328358</v>
      </c>
      <c r="E16" s="5">
        <f>C16+C25+C30+C33</f>
        <v>35814295.887999997</v>
      </c>
      <c r="F16" s="94"/>
      <c r="G16" s="106"/>
    </row>
    <row r="17" spans="2:6" x14ac:dyDescent="0.3">
      <c r="B17" t="str">
        <f>'BCI FondRendir'!B142</f>
        <v>Comisión Bco</v>
      </c>
      <c r="C17" s="1">
        <f>'BCI FondRendir'!F142</f>
        <v>8539</v>
      </c>
      <c r="D17" s="5">
        <f>C17/$D$4</f>
        <v>31.861940298507463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3713008</v>
      </c>
      <c r="D18" s="5">
        <f t="shared" ref="D18:D26" si="0">C18/$D$4</f>
        <v>13854.507462686568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831520</v>
      </c>
      <c r="D19" s="5">
        <f t="shared" si="0"/>
        <v>3102.686567164179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239514.88799999998</v>
      </c>
      <c r="D20" s="5">
        <f t="shared" si="0"/>
        <v>893.71226865671633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4124209</v>
      </c>
      <c r="D21" s="5">
        <f t="shared" si="0"/>
        <v>15388.839552238805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2500000</v>
      </c>
      <c r="D22" s="5">
        <f t="shared" si="0"/>
        <v>9328.3582089552237</v>
      </c>
      <c r="E22" s="5"/>
    </row>
    <row r="23" spans="2:6" x14ac:dyDescent="0.3">
      <c r="B23" t="s">
        <v>195</v>
      </c>
      <c r="C23" s="1">
        <f>'BCI FondRendir'!F153</f>
        <v>2240044</v>
      </c>
      <c r="D23" s="5">
        <f>C23/$D$4</f>
        <v>8358.373134328358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12084861</v>
      </c>
      <c r="D25" s="8">
        <f>C25/D4</f>
        <v>45092.764925373136</v>
      </c>
      <c r="E25" s="5"/>
      <c r="F25" s="5"/>
    </row>
    <row r="26" spans="2:6" x14ac:dyDescent="0.3">
      <c r="B26" t="s">
        <v>33</v>
      </c>
      <c r="C26" s="1">
        <f>'BCI FondRendir'!F154</f>
        <v>9519818</v>
      </c>
      <c r="D26" s="5">
        <f t="shared" si="0"/>
        <v>35521.708955223883</v>
      </c>
    </row>
    <row r="27" spans="2:6" s="211" customFormat="1" x14ac:dyDescent="0.3">
      <c r="B27" t="str">
        <f>'BCI FondRendir'!B149</f>
        <v>Gastos Operación</v>
      </c>
      <c r="C27" s="1">
        <f>+'BCI FondRendir'!F149</f>
        <v>1866399</v>
      </c>
      <c r="D27" s="5">
        <f>C27/$D$4</f>
        <v>6964.1753731343288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698644</v>
      </c>
      <c r="D29" s="5">
        <f t="shared" si="1"/>
        <v>2606.8805970149256</v>
      </c>
    </row>
    <row r="30" spans="2:6" x14ac:dyDescent="0.3">
      <c r="B30" s="6" t="s">
        <v>21</v>
      </c>
      <c r="C30" s="8">
        <f>SUM(C31:C32)</f>
        <v>5193600</v>
      </c>
      <c r="D30" s="8">
        <f>C30/D4</f>
        <v>19379.104477611942</v>
      </c>
    </row>
    <row r="31" spans="2:6" x14ac:dyDescent="0.3">
      <c r="B31" t="s">
        <v>22</v>
      </c>
      <c r="C31" s="1">
        <f>+'BCI FondRendir'!F152</f>
        <v>5193600</v>
      </c>
      <c r="E31" s="125"/>
    </row>
    <row r="32" spans="2:6" x14ac:dyDescent="0.3">
      <c r="C32" s="1"/>
    </row>
    <row r="33" spans="2:13" x14ac:dyDescent="0.3">
      <c r="B33" s="6" t="s">
        <v>12</v>
      </c>
      <c r="C33" s="7">
        <f>SUM(C34:C35)</f>
        <v>4879000</v>
      </c>
      <c r="D33" s="8">
        <f>C33/D4</f>
        <v>18205.223880597016</v>
      </c>
    </row>
    <row r="34" spans="2:13" x14ac:dyDescent="0.3">
      <c r="B34" t="s">
        <v>12</v>
      </c>
      <c r="C34" s="1">
        <f>+'BCI FondRendir'!F151</f>
        <v>4879000</v>
      </c>
      <c r="E34" t="s">
        <v>828</v>
      </c>
    </row>
    <row r="35" spans="2:13" x14ac:dyDescent="0.3">
      <c r="B35" t="s">
        <v>127</v>
      </c>
      <c r="C35" s="1"/>
    </row>
    <row r="36" spans="2:13" x14ac:dyDescent="0.3">
      <c r="B36" t="str">
        <f>'BCI FondRendir'!B150</f>
        <v>Impuestos</v>
      </c>
      <c r="C36" s="1">
        <f>+'BCI FondRendir'!F150</f>
        <v>-2485383</v>
      </c>
      <c r="D36" s="5">
        <f>C36/$D$4</f>
        <v>-9273.817164179105</v>
      </c>
    </row>
    <row r="38" spans="2:13" x14ac:dyDescent="0.3">
      <c r="B38" s="2" t="s">
        <v>17</v>
      </c>
      <c r="C38" s="10">
        <f>C8-C16-C25-C33-C30</f>
        <v>1598542.3099768721</v>
      </c>
    </row>
    <row r="39" spans="2:13" x14ac:dyDescent="0.3">
      <c r="B39" s="2" t="s">
        <v>35</v>
      </c>
      <c r="C39" s="10">
        <f>C36</f>
        <v>-2485383</v>
      </c>
      <c r="D39" s="10">
        <f>C38*0.25</f>
        <v>399635.57749421801</v>
      </c>
    </row>
    <row r="40" spans="2:13" x14ac:dyDescent="0.3">
      <c r="B40" s="2" t="s">
        <v>102</v>
      </c>
      <c r="C40" s="10">
        <f>'BCI FondRendir'!G159</f>
        <v>2965833.88</v>
      </c>
    </row>
    <row r="41" spans="2:13" x14ac:dyDescent="0.3">
      <c r="B41" s="2" t="s">
        <v>103</v>
      </c>
      <c r="C41" s="10">
        <f>Dic!F130</f>
        <v>223609.48</v>
      </c>
    </row>
    <row r="42" spans="2:13" x14ac:dyDescent="0.3">
      <c r="B42" s="16" t="s">
        <v>18</v>
      </c>
      <c r="C42" s="17">
        <f>C38-D39</f>
        <v>1198906.732482654</v>
      </c>
    </row>
    <row r="43" spans="2:13" x14ac:dyDescent="0.3">
      <c r="B43" s="16" t="s">
        <v>139</v>
      </c>
      <c r="C43" s="10">
        <f>C8-C16-C25</f>
        <v>11671142.309976872</v>
      </c>
      <c r="J43" s="93"/>
      <c r="K43" s="93"/>
      <c r="L43" s="93"/>
      <c r="M43" s="93"/>
    </row>
    <row r="44" spans="2:13" x14ac:dyDescent="0.3">
      <c r="C44" s="20" t="s">
        <v>51</v>
      </c>
      <c r="D44" s="20" t="s">
        <v>52</v>
      </c>
      <c r="E44" s="20" t="s">
        <v>298</v>
      </c>
      <c r="F44" s="20" t="s">
        <v>44</v>
      </c>
      <c r="G44" s="20" t="s">
        <v>45</v>
      </c>
      <c r="J44" s="94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  <c r="I47">
        <v>13500000</v>
      </c>
    </row>
    <row r="48" spans="2:13" x14ac:dyDescent="0.3">
      <c r="B48" s="2" t="s">
        <v>38</v>
      </c>
      <c r="C48" s="10"/>
      <c r="D48" s="10"/>
      <c r="E48" s="10"/>
      <c r="F48" s="10"/>
      <c r="G48" s="102"/>
      <c r="I48" s="167">
        <f>111*27558.46</f>
        <v>3058989.06</v>
      </c>
    </row>
    <row r="49" spans="1:15" x14ac:dyDescent="0.3">
      <c r="B49" s="2" t="s">
        <v>375</v>
      </c>
      <c r="C49" s="10"/>
      <c r="D49" s="10"/>
      <c r="E49" s="10"/>
      <c r="F49" s="10"/>
      <c r="G49" s="10">
        <f t="shared" ref="G49:G52" si="2">F49*$D$3</f>
        <v>0</v>
      </c>
      <c r="I49">
        <f>+I47-I48</f>
        <v>10441010.939999999</v>
      </c>
      <c r="J49" s="167"/>
      <c r="K49" s="167">
        <f>-13500000/27558.46</f>
        <v>-489.86772120067667</v>
      </c>
      <c r="L49" s="167"/>
      <c r="M49" s="167"/>
    </row>
    <row r="50" spans="1:15" x14ac:dyDescent="0.3">
      <c r="B50" s="2" t="s">
        <v>376</v>
      </c>
      <c r="C50" s="10"/>
      <c r="D50" s="10"/>
      <c r="E50" s="10"/>
      <c r="F50" s="10"/>
      <c r="G50" s="10">
        <f t="shared" si="2"/>
        <v>0</v>
      </c>
      <c r="I50">
        <v>10500000</v>
      </c>
      <c r="J50" s="167">
        <f>+I50-I49</f>
        <v>58989.060000000522</v>
      </c>
      <c r="K50" s="167"/>
      <c r="L50" s="167"/>
      <c r="M50" s="167"/>
    </row>
    <row r="51" spans="1:15" x14ac:dyDescent="0.3">
      <c r="B51" s="2" t="s">
        <v>377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3066594.2136498513</v>
      </c>
      <c r="I51" s="10">
        <f>3000000/26960</f>
        <v>111.27596439169139</v>
      </c>
      <c r="J51" s="167"/>
      <c r="K51" s="167">
        <v>625262</v>
      </c>
      <c r="L51" s="248">
        <f>+K51/$D$3</f>
        <v>22.688568229139076</v>
      </c>
      <c r="M51" s="167"/>
    </row>
    <row r="52" spans="1:15" x14ac:dyDescent="0.3">
      <c r="B52" s="2" t="s">
        <v>378</v>
      </c>
      <c r="C52" s="10"/>
      <c r="D52" s="10"/>
      <c r="E52" s="10">
        <v>43.084726083449787</v>
      </c>
      <c r="F52" s="10">
        <f>30000000/26561.4-4000000/26798.14-13500000/27558.46</f>
        <v>490.32672565966504</v>
      </c>
      <c r="G52" s="10">
        <f t="shared" si="2"/>
        <v>13512649.456022853</v>
      </c>
      <c r="I52" s="10">
        <f>30000000/26561.4-4000000/26798.14</f>
        <v>980.19444686034171</v>
      </c>
      <c r="J52" s="5">
        <f>+I52-F52</f>
        <v>489.86772120067667</v>
      </c>
      <c r="K52" s="167">
        <v>1166662</v>
      </c>
      <c r="L52" s="248">
        <f>+K52/$D$3</f>
        <v>42.334078174179545</v>
      </c>
      <c r="M52" s="167"/>
    </row>
    <row r="53" spans="1:15" x14ac:dyDescent="0.3">
      <c r="B53" s="101" t="s">
        <v>98</v>
      </c>
      <c r="C53" s="102">
        <f>SUM(C45:C52)</f>
        <v>0</v>
      </c>
      <c r="D53" s="102">
        <f>SUM(D45:D52)</f>
        <v>0</v>
      </c>
      <c r="E53" s="102">
        <f>SUM(E45:E52)</f>
        <v>66.175597304411795</v>
      </c>
      <c r="F53" s="102"/>
      <c r="G53" s="102"/>
      <c r="I53" s="167"/>
      <c r="J53" s="167"/>
      <c r="K53" s="167"/>
      <c r="L53" s="167"/>
      <c r="M53" s="167"/>
    </row>
    <row r="54" spans="1:15" x14ac:dyDescent="0.3">
      <c r="B54" s="101"/>
      <c r="C54" s="102"/>
      <c r="D54" s="102">
        <f>D53*D3</f>
        <v>0</v>
      </c>
      <c r="E54" s="102"/>
      <c r="F54" s="102"/>
      <c r="G54" s="102"/>
      <c r="I54" s="167"/>
      <c r="J54" s="211"/>
      <c r="K54" s="211"/>
      <c r="L54" s="211"/>
      <c r="M54" s="211"/>
      <c r="N54" s="211"/>
      <c r="O54" s="211"/>
    </row>
    <row r="55" spans="1:15" x14ac:dyDescent="0.3">
      <c r="I55" s="167"/>
      <c r="J55" s="211"/>
      <c r="K55" s="211"/>
      <c r="L55" s="211"/>
      <c r="M55" s="211"/>
      <c r="N55" s="211"/>
      <c r="O55" s="211"/>
    </row>
    <row r="58" spans="1:15" x14ac:dyDescent="0.3">
      <c r="A58" s="125"/>
      <c r="B58" s="125"/>
      <c r="C58" s="125"/>
      <c r="D58" s="125"/>
      <c r="E58" s="125"/>
      <c r="F58" s="125"/>
    </row>
    <row r="59" spans="1:15" x14ac:dyDescent="0.3">
      <c r="A59" s="125"/>
      <c r="B59" s="125"/>
      <c r="C59" s="125"/>
      <c r="D59" s="125"/>
      <c r="E59" s="125"/>
      <c r="F59" s="125"/>
    </row>
    <row r="60" spans="1:15" x14ac:dyDescent="0.3">
      <c r="A60" s="125"/>
      <c r="B60" s="125"/>
      <c r="C60" s="125"/>
      <c r="D60" s="125"/>
      <c r="E60" s="125"/>
      <c r="F60" s="125"/>
    </row>
    <row r="61" spans="1:15" x14ac:dyDescent="0.3">
      <c r="A61" s="125"/>
      <c r="B61" s="125"/>
      <c r="C61" s="125"/>
      <c r="D61" s="125"/>
      <c r="E61" s="125"/>
      <c r="F61" s="125"/>
    </row>
    <row r="62" spans="1:15" x14ac:dyDescent="0.3">
      <c r="A62" s="125"/>
      <c r="B62" s="125"/>
      <c r="C62" s="125"/>
      <c r="D62" s="125"/>
      <c r="E62" s="125"/>
      <c r="F62" s="125"/>
    </row>
    <row r="63" spans="1:15" x14ac:dyDescent="0.3">
      <c r="A63" s="125"/>
      <c r="B63" s="125"/>
      <c r="C63" s="125"/>
      <c r="D63" s="125"/>
      <c r="E63" s="125"/>
      <c r="F63" s="125"/>
    </row>
    <row r="64" spans="1:15" x14ac:dyDescent="0.3">
      <c r="A64" s="125"/>
      <c r="B64" s="125"/>
      <c r="C64" s="125"/>
      <c r="D64" s="125"/>
      <c r="E64" s="125"/>
      <c r="F64" s="125"/>
    </row>
  </sheetData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Z196"/>
  <sheetViews>
    <sheetView zoomScale="70" zoomScaleNormal="70" workbookViewId="0">
      <selection activeCell="L21" sqref="L21"/>
    </sheetView>
  </sheetViews>
  <sheetFormatPr baseColWidth="10" defaultColWidth="11.33203125" defaultRowHeight="14.4" outlineLevelCol="1" x14ac:dyDescent="0.3"/>
  <cols>
    <col min="1" max="1" width="9.88671875" style="33" customWidth="1"/>
    <col min="2" max="4" width="9.5546875" style="149" customWidth="1"/>
    <col min="5" max="5" width="26.6640625" style="33" customWidth="1"/>
    <col min="6" max="6" width="8.21875" style="33" customWidth="1"/>
    <col min="7" max="7" width="19.33203125" style="33" customWidth="1"/>
    <col min="8" max="9" width="14.109375" style="36" customWidth="1"/>
    <col min="10" max="10" width="9.5546875" style="33" customWidth="1"/>
    <col min="11" max="11" width="9.5546875" style="35" customWidth="1" outlineLevel="1"/>
    <col min="12" max="12" width="9.5546875" customWidth="1" outlineLevel="1"/>
    <col min="13" max="13" width="12.5546875" style="35" customWidth="1" outlineLevel="1"/>
    <col min="14" max="18" width="9.5546875" style="35" customWidth="1" outlineLevel="1"/>
    <col min="19" max="19" width="13.6640625" style="33" customWidth="1"/>
    <col min="20" max="20" width="13.33203125" style="33" customWidth="1"/>
    <col min="21" max="21" width="10.109375" style="38" customWidth="1"/>
    <col min="22" max="22" width="15.33203125" style="33" customWidth="1"/>
    <col min="23" max="23" width="14.33203125" style="149" customWidth="1"/>
    <col min="24" max="24" width="15.33203125" style="149" customWidth="1"/>
    <col min="25" max="25" width="14" style="149" customWidth="1"/>
    <col min="26" max="26" width="21.6640625" style="33" customWidth="1"/>
    <col min="27" max="16384" width="11.33203125" style="33"/>
  </cols>
  <sheetData>
    <row r="1" spans="1:26" ht="15" customHeight="1" x14ac:dyDescent="0.3">
      <c r="A1" s="249"/>
      <c r="B1" s="334" t="s">
        <v>764</v>
      </c>
      <c r="C1" s="335"/>
      <c r="D1" s="336"/>
      <c r="E1" s="249"/>
      <c r="F1" s="249"/>
      <c r="G1" s="249"/>
      <c r="H1" s="250"/>
      <c r="I1" s="250"/>
      <c r="J1" s="249"/>
      <c r="K1" s="339" t="s">
        <v>95</v>
      </c>
      <c r="L1" s="339"/>
      <c r="M1" s="339" t="s">
        <v>96</v>
      </c>
      <c r="N1" s="339"/>
      <c r="O1" s="339" t="s">
        <v>97</v>
      </c>
      <c r="P1" s="339"/>
      <c r="Q1" s="339" t="s">
        <v>159</v>
      </c>
      <c r="R1" s="339"/>
      <c r="S1" s="249"/>
      <c r="T1" s="249"/>
      <c r="U1" s="253"/>
      <c r="V1" s="249"/>
      <c r="W1" s="249"/>
      <c r="X1" s="249"/>
      <c r="Y1" s="249"/>
    </row>
    <row r="2" spans="1:26" ht="30" customHeight="1" x14ac:dyDescent="0.3">
      <c r="A2" s="249" t="s">
        <v>89</v>
      </c>
      <c r="B2" s="249" t="s">
        <v>761</v>
      </c>
      <c r="C2" s="249" t="s">
        <v>762</v>
      </c>
      <c r="D2" s="249" t="s">
        <v>763</v>
      </c>
      <c r="E2" s="249" t="s">
        <v>0</v>
      </c>
      <c r="F2" s="249" t="s">
        <v>53</v>
      </c>
      <c r="G2" s="249" t="s">
        <v>90</v>
      </c>
      <c r="H2" s="250" t="s">
        <v>1</v>
      </c>
      <c r="I2" s="250" t="s">
        <v>2</v>
      </c>
      <c r="J2" s="250" t="s">
        <v>3</v>
      </c>
      <c r="K2" s="251" t="s">
        <v>91</v>
      </c>
      <c r="L2" s="252" t="s">
        <v>57</v>
      </c>
      <c r="M2" s="251" t="s">
        <v>91</v>
      </c>
      <c r="N2" s="251" t="s">
        <v>57</v>
      </c>
      <c r="O2" s="251" t="s">
        <v>91</v>
      </c>
      <c r="P2" s="251" t="s">
        <v>57</v>
      </c>
      <c r="Q2" s="251" t="s">
        <v>91</v>
      </c>
      <c r="R2" s="251" t="s">
        <v>57</v>
      </c>
      <c r="S2" s="249" t="s">
        <v>92</v>
      </c>
      <c r="T2" s="249" t="s">
        <v>94</v>
      </c>
      <c r="U2" s="253" t="s">
        <v>54</v>
      </c>
      <c r="V2" s="249" t="s">
        <v>160</v>
      </c>
      <c r="W2" s="249" t="s">
        <v>53</v>
      </c>
      <c r="X2" s="249" t="s">
        <v>6</v>
      </c>
      <c r="Y2" s="249" t="s">
        <v>6</v>
      </c>
    </row>
    <row r="3" spans="1:26" s="149" customFormat="1" ht="15" customHeight="1" x14ac:dyDescent="0.3">
      <c r="A3" s="265">
        <v>3560</v>
      </c>
      <c r="B3" s="318">
        <v>483</v>
      </c>
      <c r="C3" s="318">
        <v>622</v>
      </c>
      <c r="D3" s="318"/>
      <c r="E3" s="266" t="s">
        <v>829</v>
      </c>
      <c r="F3" s="266" t="s">
        <v>254</v>
      </c>
      <c r="G3" s="266">
        <v>1511003770</v>
      </c>
      <c r="H3" s="267">
        <v>43435</v>
      </c>
      <c r="I3" s="267">
        <v>43438</v>
      </c>
      <c r="J3" s="266">
        <v>3</v>
      </c>
      <c r="K3" s="268"/>
      <c r="L3" s="269"/>
      <c r="M3" s="268"/>
      <c r="N3" s="268">
        <v>390</v>
      </c>
      <c r="O3" s="268"/>
      <c r="P3" s="268"/>
      <c r="Q3" s="268"/>
      <c r="R3" s="268">
        <v>195</v>
      </c>
      <c r="S3" s="154">
        <f t="shared" ref="S3:S62" si="0">L3+N3+P3+R3</f>
        <v>585</v>
      </c>
      <c r="T3" s="154">
        <f t="shared" ref="T3:T62" si="1">M3+O3+K3+Q3</f>
        <v>0</v>
      </c>
      <c r="U3" s="152">
        <f>IF(J3=0,(S3+T3/EERR!$D$2/1.19),(S3+T3/EERR!$D$2/1.19)/J3)</f>
        <v>195</v>
      </c>
      <c r="V3" s="154">
        <f>T3+S3*EERR!$D$2</f>
        <v>398964.15</v>
      </c>
      <c r="W3" s="149">
        <f ca="1">SUMIF(Siteminder!$A$5:$K$153,Dic!G3,Siteminder!$O$5:$O$153)</f>
        <v>3</v>
      </c>
      <c r="X3" s="278">
        <f>SUMIF(Transbank!$A$2:$A$486,B3,Transbank!$L$2:$L$486)+SUMIF(Transbank!$A$2:$A$486,C3,Transbank!$L$2:$L$486)+SUMIF(Transbank!$A$2:$A$486,D3,Transbank!$L$2:$L$486)+(K3+O3)+(L3+P3)*EERR!$D$2</f>
        <v>398110.05</v>
      </c>
      <c r="Y3" s="278">
        <f>X3/EERR!$D$2</f>
        <v>583.74763559582982</v>
      </c>
      <c r="Z3" s="292">
        <f>+X3-V3</f>
        <v>-854.10000000003492</v>
      </c>
    </row>
    <row r="4" spans="1:26" s="149" customFormat="1" ht="15" customHeight="1" x14ac:dyDescent="0.3">
      <c r="A4" s="265">
        <v>3562</v>
      </c>
      <c r="B4" s="318">
        <v>486</v>
      </c>
      <c r="C4" s="318">
        <v>623</v>
      </c>
      <c r="D4" s="318"/>
      <c r="E4" s="266" t="s">
        <v>830</v>
      </c>
      <c r="F4" s="266" t="s">
        <v>254</v>
      </c>
      <c r="G4" s="266">
        <v>1722698460</v>
      </c>
      <c r="H4" s="267">
        <v>43435</v>
      </c>
      <c r="I4" s="267">
        <v>43440</v>
      </c>
      <c r="J4" s="266">
        <v>5</v>
      </c>
      <c r="K4" s="268"/>
      <c r="L4" s="269"/>
      <c r="M4" s="268"/>
      <c r="N4" s="268">
        <v>820</v>
      </c>
      <c r="O4" s="268"/>
      <c r="P4" s="268"/>
      <c r="Q4" s="268"/>
      <c r="R4" s="268">
        <v>205</v>
      </c>
      <c r="S4" s="154">
        <f t="shared" si="0"/>
        <v>1025</v>
      </c>
      <c r="T4" s="154">
        <f t="shared" si="1"/>
        <v>0</v>
      </c>
      <c r="U4" s="152">
        <f>IF(J4=0,(S4+T4/EERR!$D$2/1.19),(S4+T4/EERR!$D$2/1.19)/J4)</f>
        <v>205</v>
      </c>
      <c r="V4" s="154">
        <f>T4+S4*EERR!$D$2</f>
        <v>699039.75</v>
      </c>
      <c r="W4" s="149">
        <f ca="1">SUMIF(Siteminder!$A$5:$K$153,Dic!G4,Siteminder!$O$5:$O$153)</f>
        <v>5</v>
      </c>
      <c r="X4" s="278">
        <f>SUMIF(Transbank!$A$2:$A$486,B4,Transbank!$L$2:$L$486)+SUMIF(Transbank!$A$2:$A$486,C4,Transbank!$L$2:$L$486)+SUMIF(Transbank!$A$2:$A$486,D4,Transbank!$L$2:$L$486)+(K4+O4)+(L4+P4)*EERR!$D$2</f>
        <v>698141.85000000009</v>
      </c>
      <c r="Y4" s="278">
        <f>X4/EERR!$D$2</f>
        <v>1023.6834117802315</v>
      </c>
      <c r="Z4" s="292">
        <f t="shared" ref="Z4:Z65" si="2">+X4-V4</f>
        <v>-897.89999999990687</v>
      </c>
    </row>
    <row r="5" spans="1:26" s="149" customFormat="1" ht="15" customHeight="1" x14ac:dyDescent="0.3">
      <c r="A5" s="265">
        <v>3563</v>
      </c>
      <c r="B5" s="318">
        <v>485</v>
      </c>
      <c r="C5" s="318">
        <v>624</v>
      </c>
      <c r="D5" s="318"/>
      <c r="E5" s="266" t="s">
        <v>831</v>
      </c>
      <c r="F5" s="266" t="s">
        <v>254</v>
      </c>
      <c r="G5" s="266">
        <v>1515742177</v>
      </c>
      <c r="H5" s="267">
        <v>43435</v>
      </c>
      <c r="I5" s="267">
        <v>43442</v>
      </c>
      <c r="J5" s="266">
        <v>7</v>
      </c>
      <c r="K5" s="268"/>
      <c r="L5" s="269"/>
      <c r="M5" s="268"/>
      <c r="N5" s="268">
        <v>1230</v>
      </c>
      <c r="O5" s="268"/>
      <c r="P5" s="268"/>
      <c r="Q5" s="268"/>
      <c r="R5" s="268">
        <v>205</v>
      </c>
      <c r="S5" s="154">
        <f t="shared" si="0"/>
        <v>1435</v>
      </c>
      <c r="T5" s="154">
        <f t="shared" si="1"/>
        <v>0</v>
      </c>
      <c r="U5" s="152">
        <f>IF(J5=0,(S5+T5/EERR!$D$2/1.19),(S5+T5/EERR!$D$2/1.19)/J5)</f>
        <v>205</v>
      </c>
      <c r="V5" s="154">
        <f>T5+S5*EERR!$D$2</f>
        <v>978655.65</v>
      </c>
      <c r="W5" s="149">
        <f ca="1">SUMIF(Siteminder!$A$5:$K$153,Dic!G5,Siteminder!$O$5:$O$153)</f>
        <v>7</v>
      </c>
      <c r="X5" s="278">
        <f>SUMIF(Transbank!$A$2:$A$486,B5,Transbank!$L$2:$L$486)+SUMIF(Transbank!$A$2:$A$486,C5,Transbank!$L$2:$L$486)+SUMIF(Transbank!$A$2:$A$486,D5,Transbank!$L$2:$L$486)+(K5+O5)+(L5+P5)*EERR!$D$2</f>
        <v>977757.75</v>
      </c>
      <c r="Y5" s="278">
        <f>X5/EERR!$D$2</f>
        <v>1433.6834117802314</v>
      </c>
      <c r="Z5" s="292">
        <f t="shared" si="2"/>
        <v>-897.90000000002328</v>
      </c>
    </row>
    <row r="6" spans="1:26" s="149" customFormat="1" ht="15" customHeight="1" x14ac:dyDescent="0.3">
      <c r="A6" s="265">
        <v>3565</v>
      </c>
      <c r="B6" s="318">
        <v>503</v>
      </c>
      <c r="C6" s="318">
        <v>626</v>
      </c>
      <c r="D6" s="318"/>
      <c r="E6" s="266" t="s">
        <v>832</v>
      </c>
      <c r="F6" s="266" t="s">
        <v>254</v>
      </c>
      <c r="G6" s="266">
        <v>1464687713</v>
      </c>
      <c r="H6" s="267">
        <v>43436</v>
      </c>
      <c r="I6" s="267">
        <v>43439</v>
      </c>
      <c r="J6" s="266">
        <v>3</v>
      </c>
      <c r="K6" s="268"/>
      <c r="L6" s="269"/>
      <c r="M6" s="268"/>
      <c r="N6" s="268">
        <v>403</v>
      </c>
      <c r="O6" s="268"/>
      <c r="P6" s="268"/>
      <c r="Q6" s="268"/>
      <c r="R6" s="268">
        <v>205</v>
      </c>
      <c r="S6" s="154">
        <f t="shared" si="0"/>
        <v>608</v>
      </c>
      <c r="T6" s="154">
        <f t="shared" si="1"/>
        <v>0</v>
      </c>
      <c r="U6" s="152">
        <f>IF(J6=0,(S6+T6/EERR!$D$2/1.19),(S6+T6/EERR!$D$2/1.19)/J6)</f>
        <v>202.66666666666666</v>
      </c>
      <c r="V6" s="154">
        <f>T6+S6*EERR!$D$2</f>
        <v>414649.92</v>
      </c>
      <c r="W6" s="149">
        <f ca="1">SUMIF(Siteminder!$A$5:$K$153,Dic!G6,Siteminder!$O$5:$O$153)</f>
        <v>3</v>
      </c>
      <c r="X6" s="278">
        <f>SUMIF(Transbank!$A$2:$A$486,B6,Transbank!$L$2:$L$486)+SUMIF(Transbank!$A$2:$A$486,C6,Transbank!$L$2:$L$486)+SUMIF(Transbank!$A$2:$A$486,D6,Transbank!$L$2:$L$486)+(K6+O6)+(L6+P6)*EERR!$D$2</f>
        <v>413752.02</v>
      </c>
      <c r="Y6" s="278">
        <f>X6/EERR!$D$2</f>
        <v>606.68341178023138</v>
      </c>
      <c r="Z6" s="292">
        <f t="shared" si="2"/>
        <v>-897.89999999996508</v>
      </c>
    </row>
    <row r="7" spans="1:26" s="149" customFormat="1" ht="15" customHeight="1" x14ac:dyDescent="0.3">
      <c r="A7" s="265">
        <v>3567</v>
      </c>
      <c r="B7" s="318">
        <v>495</v>
      </c>
      <c r="C7" s="318"/>
      <c r="D7" s="318"/>
      <c r="E7" s="266" t="s">
        <v>833</v>
      </c>
      <c r="F7" s="266" t="s">
        <v>254</v>
      </c>
      <c r="G7" s="266">
        <v>1904968056</v>
      </c>
      <c r="H7" s="267">
        <v>43437</v>
      </c>
      <c r="I7" s="267">
        <v>43438</v>
      </c>
      <c r="J7" s="266">
        <v>1</v>
      </c>
      <c r="K7" s="268"/>
      <c r="L7" s="269"/>
      <c r="M7" s="268"/>
      <c r="N7" s="268"/>
      <c r="O7" s="268"/>
      <c r="P7" s="268"/>
      <c r="Q7" s="268"/>
      <c r="R7" s="268">
        <v>205</v>
      </c>
      <c r="S7" s="154">
        <f t="shared" si="0"/>
        <v>205</v>
      </c>
      <c r="T7" s="154">
        <f t="shared" si="1"/>
        <v>0</v>
      </c>
      <c r="U7" s="152">
        <f>IF(J7=0,(S7+T7/EERR!$D$2/1.19),(S7+T7/EERR!$D$2/1.19)/J7)</f>
        <v>205</v>
      </c>
      <c r="V7" s="154">
        <f>T7+S7*EERR!$D$2</f>
        <v>139807.95000000001</v>
      </c>
      <c r="W7" s="149">
        <f ca="1">SUMIF(Siteminder!$A$5:$K$153,Dic!G7,Siteminder!$O$5:$O$153)</f>
        <v>1</v>
      </c>
      <c r="X7" s="278">
        <f>SUMIF(Transbank!$A$2:$A$486,B7,Transbank!$L$2:$L$486)+SUMIF(Transbank!$A$2:$A$486,C7,Transbank!$L$2:$L$486)+SUMIF(Transbank!$A$2:$A$486,D7,Transbank!$L$2:$L$486)+(K7+O7)+(L7+P7)*EERR!$D$2</f>
        <v>138910.04999999999</v>
      </c>
      <c r="Y7" s="278">
        <f>X7/EERR!$D$2</f>
        <v>203.68341178023135</v>
      </c>
      <c r="Z7" s="292">
        <f t="shared" si="2"/>
        <v>-897.90000000002328</v>
      </c>
    </row>
    <row r="8" spans="1:26" s="149" customFormat="1" ht="15" customHeight="1" x14ac:dyDescent="0.3">
      <c r="A8" s="265">
        <v>3568</v>
      </c>
      <c r="B8" s="318">
        <v>497</v>
      </c>
      <c r="C8" s="318">
        <v>640</v>
      </c>
      <c r="D8" s="318"/>
      <c r="E8" s="266" t="s">
        <v>834</v>
      </c>
      <c r="F8" s="266" t="s">
        <v>254</v>
      </c>
      <c r="G8" s="266">
        <v>1280401137</v>
      </c>
      <c r="H8" s="267">
        <v>43438</v>
      </c>
      <c r="I8" s="267">
        <v>43441</v>
      </c>
      <c r="J8" s="266">
        <v>6</v>
      </c>
      <c r="K8" s="268"/>
      <c r="L8" s="269"/>
      <c r="M8" s="268"/>
      <c r="N8" s="268">
        <v>790</v>
      </c>
      <c r="O8" s="268"/>
      <c r="P8" s="268"/>
      <c r="Q8" s="268"/>
      <c r="R8" s="268">
        <v>398</v>
      </c>
      <c r="S8" s="154">
        <f t="shared" si="0"/>
        <v>1188</v>
      </c>
      <c r="T8" s="154">
        <f t="shared" si="1"/>
        <v>0</v>
      </c>
      <c r="U8" s="152">
        <f>IF(J8=0,(S8+T8/EERR!$D$2/1.19),(S8+T8/EERR!$D$2/1.19)/J8)</f>
        <v>198</v>
      </c>
      <c r="V8" s="154">
        <f>T8+S8*EERR!$D$2</f>
        <v>810204.12</v>
      </c>
      <c r="W8" s="149">
        <f ca="1">SUMIF(Siteminder!$A$5:$K$153,Dic!G8,Siteminder!$O$5:$O$153)</f>
        <v>6</v>
      </c>
      <c r="X8" s="278">
        <f>SUMIF(Transbank!$A$2:$A$486,B8,Transbank!$L$2:$L$486)+SUMIF(Transbank!$A$2:$A$486,C8,Transbank!$L$2:$L$486)+SUMIF(Transbank!$A$2:$A$486,D8,Transbank!$L$2:$L$486)+(K8+O8)+(L8+P8)*EERR!$D$2</f>
        <v>808460.88</v>
      </c>
      <c r="Y8" s="278">
        <f>X8/EERR!$D$2</f>
        <v>1185.4438921391809</v>
      </c>
      <c r="Z8" s="292">
        <f t="shared" si="2"/>
        <v>-1743.2399999999907</v>
      </c>
    </row>
    <row r="9" spans="1:26" s="149" customFormat="1" ht="15" customHeight="1" x14ac:dyDescent="0.3">
      <c r="A9" s="265">
        <v>3570</v>
      </c>
      <c r="B9" s="318">
        <v>600</v>
      </c>
      <c r="C9" s="318"/>
      <c r="D9" s="318"/>
      <c r="E9" s="266" t="s">
        <v>835</v>
      </c>
      <c r="F9" s="266" t="s">
        <v>254</v>
      </c>
      <c r="G9" s="266">
        <v>1550384855</v>
      </c>
      <c r="H9" s="267">
        <v>43438</v>
      </c>
      <c r="I9" s="267">
        <v>43439</v>
      </c>
      <c r="J9" s="266">
        <v>1</v>
      </c>
      <c r="K9" s="268"/>
      <c r="L9" s="269"/>
      <c r="M9" s="268"/>
      <c r="N9" s="268"/>
      <c r="O9" s="268"/>
      <c r="P9" s="268"/>
      <c r="Q9" s="268"/>
      <c r="R9" s="268">
        <v>198</v>
      </c>
      <c r="S9" s="154">
        <f t="shared" si="0"/>
        <v>198</v>
      </c>
      <c r="T9" s="154">
        <f t="shared" si="1"/>
        <v>0</v>
      </c>
      <c r="U9" s="152">
        <f>IF(J9=0,(S9+T9/EERR!$D$2/1.19),(S9+T9/EERR!$D$2/1.19)/J9)</f>
        <v>198</v>
      </c>
      <c r="V9" s="154">
        <f>T9+S9*EERR!$D$2</f>
        <v>135034.01999999999</v>
      </c>
      <c r="W9" s="149">
        <f ca="1">SUMIF(Siteminder!$A$5:$K$153,Dic!G9,Siteminder!$O$5:$O$153)</f>
        <v>1</v>
      </c>
      <c r="X9" s="278">
        <f>SUMIF(Transbank!$A$2:$A$486,B9,Transbank!$L$2:$L$486)+SUMIF(Transbank!$A$2:$A$486,C9,Transbank!$L$2:$L$486)+SUMIF(Transbank!$A$2:$A$486,D9,Transbank!$L$2:$L$486)+(K9+O9)+(L9+P9)*EERR!$D$2</f>
        <v>134166.78</v>
      </c>
      <c r="Y9" s="278">
        <f>X9/EERR!$D$2</f>
        <v>196.72836845115032</v>
      </c>
      <c r="Z9" s="292">
        <f t="shared" si="2"/>
        <v>-867.23999999999069</v>
      </c>
    </row>
    <row r="10" spans="1:26" s="149" customFormat="1" ht="15" customHeight="1" x14ac:dyDescent="0.3">
      <c r="A10" s="265">
        <v>3571</v>
      </c>
      <c r="B10" s="318">
        <v>508</v>
      </c>
      <c r="C10" s="318">
        <v>644</v>
      </c>
      <c r="D10" s="318"/>
      <c r="E10" s="266" t="s">
        <v>836</v>
      </c>
      <c r="F10" s="266" t="s">
        <v>254</v>
      </c>
      <c r="G10" s="266">
        <v>1219577623</v>
      </c>
      <c r="H10" s="267">
        <v>43439</v>
      </c>
      <c r="I10" s="267">
        <v>43441</v>
      </c>
      <c r="J10" s="266">
        <v>2</v>
      </c>
      <c r="K10" s="268"/>
      <c r="L10" s="269"/>
      <c r="M10" s="268"/>
      <c r="N10" s="268">
        <v>205</v>
      </c>
      <c r="O10" s="268"/>
      <c r="P10" s="268"/>
      <c r="Q10" s="268"/>
      <c r="R10" s="268">
        <v>205</v>
      </c>
      <c r="S10" s="154">
        <f t="shared" si="0"/>
        <v>410</v>
      </c>
      <c r="T10" s="154">
        <f t="shared" si="1"/>
        <v>0</v>
      </c>
      <c r="U10" s="152">
        <f>IF(J10=0,(S10+T10/EERR!$D$2/1.19),(S10+T10/EERR!$D$2/1.19)/J10)</f>
        <v>205</v>
      </c>
      <c r="V10" s="154">
        <f>T10+S10*EERR!$D$2</f>
        <v>279615.90000000002</v>
      </c>
      <c r="W10" s="149">
        <f ca="1">SUMIF(Siteminder!$A$5:$K$153,Dic!G10,Siteminder!$O$5:$O$153)</f>
        <v>2</v>
      </c>
      <c r="X10" s="278">
        <f>SUMIF(Transbank!$A$2:$A$486,B10,Transbank!$L$2:$L$486)+SUMIF(Transbank!$A$2:$A$486,C10,Transbank!$L$2:$L$486)+SUMIF(Transbank!$A$2:$A$486,D10,Transbank!$L$2:$L$486)+(K10+O10)+(L10+P10)*EERR!$D$2</f>
        <v>278718</v>
      </c>
      <c r="Y10" s="278">
        <f>X10/EERR!$D$2</f>
        <v>408.68341178023138</v>
      </c>
      <c r="Z10" s="292">
        <f t="shared" si="2"/>
        <v>-897.90000000002328</v>
      </c>
    </row>
    <row r="11" spans="1:26" s="149" customFormat="1" ht="15" customHeight="1" x14ac:dyDescent="0.3">
      <c r="A11" s="265">
        <v>3572</v>
      </c>
      <c r="B11" s="318">
        <v>506</v>
      </c>
      <c r="C11" s="318"/>
      <c r="D11" s="318"/>
      <c r="E11" s="266" t="s">
        <v>837</v>
      </c>
      <c r="F11" s="266" t="s">
        <v>254</v>
      </c>
      <c r="G11" s="266">
        <v>2067116002</v>
      </c>
      <c r="H11" s="267">
        <v>43439</v>
      </c>
      <c r="I11" s="267">
        <v>43445</v>
      </c>
      <c r="J11" s="266">
        <v>6</v>
      </c>
      <c r="K11" s="268"/>
      <c r="L11" s="269">
        <v>990</v>
      </c>
      <c r="M11" s="268"/>
      <c r="N11" s="268"/>
      <c r="O11" s="268"/>
      <c r="P11" s="268"/>
      <c r="Q11" s="268"/>
      <c r="R11" s="268">
        <v>198</v>
      </c>
      <c r="S11" s="154">
        <f t="shared" si="0"/>
        <v>1188</v>
      </c>
      <c r="T11" s="154">
        <f t="shared" si="1"/>
        <v>0</v>
      </c>
      <c r="U11" s="152">
        <f>IF(J11=0,(S11+T11/EERR!$D$2/1.19),(S11+T11/EERR!$D$2/1.19)/J11)</f>
        <v>198</v>
      </c>
      <c r="V11" s="154">
        <f>T11+S11*EERR!$D$2</f>
        <v>810204.12</v>
      </c>
      <c r="W11" s="149">
        <f ca="1">SUMIF(Siteminder!$A$5:$K$153,Dic!G11,Siteminder!$O$5:$O$153)</f>
        <v>6</v>
      </c>
      <c r="X11" s="278">
        <f>SUMIF(Transbank!$A$2:$A$486,B11,Transbank!$L$2:$L$486)+SUMIF(Transbank!$A$2:$A$486,C11,Transbank!$L$2:$L$486)+SUMIF(Transbank!$A$2:$A$486,D11,Transbank!$L$2:$L$486)+(K11+O11)+(L11+P11)*EERR!$D$2</f>
        <v>809336.88</v>
      </c>
      <c r="Y11" s="278">
        <f>X11/EERR!$D$2</f>
        <v>1186.7283684511503</v>
      </c>
      <c r="Z11" s="292">
        <f t="shared" si="2"/>
        <v>-867.23999999999069</v>
      </c>
    </row>
    <row r="12" spans="1:26" s="149" customFormat="1" ht="15" customHeight="1" x14ac:dyDescent="0.3">
      <c r="A12" s="265">
        <v>3574</v>
      </c>
      <c r="B12" s="318">
        <v>507</v>
      </c>
      <c r="C12" s="318">
        <v>647</v>
      </c>
      <c r="D12" s="318"/>
      <c r="E12" s="266" t="s">
        <v>835</v>
      </c>
      <c r="F12" s="266" t="s">
        <v>254</v>
      </c>
      <c r="G12" s="266">
        <v>1980066417</v>
      </c>
      <c r="H12" s="267">
        <v>43439</v>
      </c>
      <c r="I12" s="267">
        <v>43441</v>
      </c>
      <c r="J12" s="266">
        <v>2</v>
      </c>
      <c r="K12" s="268"/>
      <c r="L12" s="269"/>
      <c r="M12" s="268"/>
      <c r="N12" s="268">
        <v>198</v>
      </c>
      <c r="O12" s="268"/>
      <c r="P12" s="268"/>
      <c r="Q12" s="268"/>
      <c r="R12" s="268">
        <v>198</v>
      </c>
      <c r="S12" s="154">
        <f t="shared" si="0"/>
        <v>396</v>
      </c>
      <c r="T12" s="154">
        <f t="shared" si="1"/>
        <v>0</v>
      </c>
      <c r="U12" s="152">
        <f>IF(J12=0,(S12+T12/EERR!$D$2/1.19),(S12+T12/EERR!$D$2/1.19)/J12)</f>
        <v>198</v>
      </c>
      <c r="V12" s="154">
        <f>T12+S12*EERR!$D$2</f>
        <v>270068.03999999998</v>
      </c>
      <c r="W12" s="149">
        <f ca="1">SUMIF(Siteminder!$A$5:$K$153,Dic!G12,Siteminder!$O$5:$O$153)</f>
        <v>2</v>
      </c>
      <c r="X12" s="278">
        <f>SUMIF(Transbank!$A$2:$A$486,B12,Transbank!$L$2:$L$486)+SUMIF(Transbank!$A$2:$A$486,C12,Transbank!$L$2:$L$486)+SUMIF(Transbank!$A$2:$A$486,D12,Transbank!$L$2:$L$486)+(K12+O12)+(L12+P12)*EERR!$D$2</f>
        <v>269200.8</v>
      </c>
      <c r="Y12" s="278">
        <f>X12/EERR!$D$2</f>
        <v>394.72836845115029</v>
      </c>
      <c r="Z12" s="292">
        <f t="shared" si="2"/>
        <v>-867.23999999999069</v>
      </c>
    </row>
    <row r="13" spans="1:26" s="149" customFormat="1" ht="15" customHeight="1" x14ac:dyDescent="0.3">
      <c r="A13" s="265">
        <v>3578</v>
      </c>
      <c r="B13" s="318">
        <v>552</v>
      </c>
      <c r="C13" s="318">
        <v>655</v>
      </c>
      <c r="D13" s="318"/>
      <c r="E13" s="266" t="s">
        <v>838</v>
      </c>
      <c r="F13" s="266" t="s">
        <v>254</v>
      </c>
      <c r="G13" s="266">
        <v>1130411633</v>
      </c>
      <c r="H13" s="267">
        <v>43441</v>
      </c>
      <c r="I13" s="267">
        <v>43444</v>
      </c>
      <c r="J13" s="266">
        <v>3</v>
      </c>
      <c r="K13" s="268"/>
      <c r="L13" s="269"/>
      <c r="M13" s="268"/>
      <c r="N13" s="268">
        <v>396</v>
      </c>
      <c r="O13" s="268"/>
      <c r="P13" s="268"/>
      <c r="Q13" s="268"/>
      <c r="R13" s="268">
        <v>198</v>
      </c>
      <c r="S13" s="154">
        <f t="shared" si="0"/>
        <v>594</v>
      </c>
      <c r="T13" s="154">
        <f t="shared" si="1"/>
        <v>0</v>
      </c>
      <c r="U13" s="152">
        <f>IF(J13=0,(S13+T13/EERR!$D$2/1.19),(S13+T13/EERR!$D$2/1.19)/J13)</f>
        <v>198</v>
      </c>
      <c r="V13" s="154">
        <f>T13+S13*EERR!$D$2</f>
        <v>405102.06</v>
      </c>
      <c r="W13" s="149">
        <f ca="1">SUMIF(Siteminder!$A$5:$K$153,Dic!G13,Siteminder!$O$5:$O$153)</f>
        <v>3</v>
      </c>
      <c r="X13" s="278">
        <f>SUMIF(Transbank!$A$2:$A$486,B13,Transbank!$L$2:$L$486)+SUMIF(Transbank!$A$2:$A$486,C13,Transbank!$L$2:$L$486)+SUMIF(Transbank!$A$2:$A$486,D13,Transbank!$L$2:$L$486)+(K13+O13)+(L13+P13)*EERR!$D$2</f>
        <v>404234.81999999995</v>
      </c>
      <c r="Y13" s="278">
        <f>X13/EERR!$D$2</f>
        <v>592.72836845115023</v>
      </c>
      <c r="Z13" s="292">
        <f t="shared" si="2"/>
        <v>-867.24000000004889</v>
      </c>
    </row>
    <row r="14" spans="1:26" s="149" customFormat="1" ht="15" customHeight="1" x14ac:dyDescent="0.3">
      <c r="A14" s="265">
        <v>3576</v>
      </c>
      <c r="B14" s="318">
        <v>581</v>
      </c>
      <c r="C14" s="318"/>
      <c r="D14" s="318"/>
      <c r="E14" s="266" t="s">
        <v>839</v>
      </c>
      <c r="F14" s="266" t="s">
        <v>254</v>
      </c>
      <c r="G14" s="266">
        <v>1127073328</v>
      </c>
      <c r="H14" s="267">
        <v>43442</v>
      </c>
      <c r="I14" s="267">
        <v>43446</v>
      </c>
      <c r="J14" s="266">
        <v>4</v>
      </c>
      <c r="K14" s="268"/>
      <c r="L14" s="269">
        <v>594</v>
      </c>
      <c r="M14" s="268"/>
      <c r="N14" s="268"/>
      <c r="O14" s="268"/>
      <c r="P14" s="268"/>
      <c r="Q14" s="268"/>
      <c r="R14" s="268">
        <v>198</v>
      </c>
      <c r="S14" s="154">
        <f t="shared" si="0"/>
        <v>792</v>
      </c>
      <c r="T14" s="154">
        <f t="shared" si="1"/>
        <v>0</v>
      </c>
      <c r="U14" s="152">
        <f>IF(J14=0,(S14+T14/EERR!$D$2/1.19),(S14+T14/EERR!$D$2/1.19)/J14)</f>
        <v>198</v>
      </c>
      <c r="V14" s="154">
        <f>T14+S14*EERR!$D$2</f>
        <v>540136.07999999996</v>
      </c>
      <c r="W14" s="149">
        <f ca="1">SUMIF(Siteminder!$A$5:$K$153,Dic!G14,Siteminder!$O$5:$O$153)</f>
        <v>4</v>
      </c>
      <c r="X14" s="278">
        <f>SUMIF(Transbank!$A$2:$A$486,B14,Transbank!$L$2:$L$486)+SUMIF(Transbank!$A$2:$A$486,C14,Transbank!$L$2:$L$486)+SUMIF(Transbank!$A$2:$A$486,D14,Transbank!$L$2:$L$486)+(K14+O14)+(L14+P14)*EERR!$D$2</f>
        <v>539268.84</v>
      </c>
      <c r="Y14" s="278">
        <f>X14/EERR!$D$2</f>
        <v>790.72836845115023</v>
      </c>
      <c r="Z14" s="292">
        <f t="shared" si="2"/>
        <v>-867.23999999999069</v>
      </c>
    </row>
    <row r="15" spans="1:26" s="149" customFormat="1" ht="15" customHeight="1" x14ac:dyDescent="0.3">
      <c r="A15" s="265">
        <v>3579</v>
      </c>
      <c r="B15" s="318">
        <v>558</v>
      </c>
      <c r="C15" s="318"/>
      <c r="D15" s="318"/>
      <c r="E15" s="266" t="s">
        <v>840</v>
      </c>
      <c r="F15" s="266" t="s">
        <v>254</v>
      </c>
      <c r="G15" s="266">
        <v>2089377196</v>
      </c>
      <c r="H15" s="267">
        <v>43444</v>
      </c>
      <c r="I15" s="267">
        <v>43445</v>
      </c>
      <c r="J15" s="266">
        <v>1</v>
      </c>
      <c r="K15" s="268"/>
      <c r="L15" s="269"/>
      <c r="M15" s="268"/>
      <c r="N15" s="268"/>
      <c r="O15" s="268"/>
      <c r="P15" s="268"/>
      <c r="Q15" s="268"/>
      <c r="R15" s="268">
        <v>198</v>
      </c>
      <c r="S15" s="154">
        <f t="shared" si="0"/>
        <v>198</v>
      </c>
      <c r="T15" s="154">
        <f t="shared" si="1"/>
        <v>0</v>
      </c>
      <c r="U15" s="152">
        <f>IF(J15=0,(S15+T15/EERR!$D$2/1.19),(S15+T15/EERR!$D$2/1.19)/J15)</f>
        <v>198</v>
      </c>
      <c r="V15" s="154">
        <f>T15+S15*EERR!$D$2</f>
        <v>135034.01999999999</v>
      </c>
      <c r="W15" s="149">
        <f ca="1">SUMIF(Siteminder!$A$5:$K$153,Dic!G15,Siteminder!$O$5:$O$153)</f>
        <v>1</v>
      </c>
      <c r="X15" s="278">
        <f>SUMIF(Transbank!$A$2:$A$486,B15,Transbank!$L$2:$L$486)+SUMIF(Transbank!$A$2:$A$486,C15,Transbank!$L$2:$L$486)+SUMIF(Transbank!$A$2:$A$486,D15,Transbank!$L$2:$L$486)+(K15+O15)+(L15+P15)*EERR!$D$2</f>
        <v>134166.78</v>
      </c>
      <c r="Y15" s="278">
        <f>X15/EERR!$D$2</f>
        <v>196.72836845115032</v>
      </c>
      <c r="Z15" s="292">
        <f t="shared" si="2"/>
        <v>-867.23999999999069</v>
      </c>
    </row>
    <row r="16" spans="1:26" s="149" customFormat="1" ht="15" customHeight="1" x14ac:dyDescent="0.3">
      <c r="A16" s="265">
        <v>3580</v>
      </c>
      <c r="B16" s="318">
        <v>529</v>
      </c>
      <c r="C16" s="318">
        <v>670</v>
      </c>
      <c r="D16" s="318"/>
      <c r="E16" s="266" t="s">
        <v>841</v>
      </c>
      <c r="F16" s="266" t="s">
        <v>254</v>
      </c>
      <c r="G16" s="266">
        <v>2008529980</v>
      </c>
      <c r="H16" s="267">
        <v>43444</v>
      </c>
      <c r="I16" s="267">
        <v>43450</v>
      </c>
      <c r="J16" s="266">
        <v>6</v>
      </c>
      <c r="K16" s="268"/>
      <c r="L16" s="269"/>
      <c r="M16" s="268"/>
      <c r="N16" s="268">
        <v>1004</v>
      </c>
      <c r="O16" s="268"/>
      <c r="P16" s="268"/>
      <c r="Q16" s="268"/>
      <c r="R16" s="268">
        <v>198</v>
      </c>
      <c r="S16" s="154">
        <f t="shared" si="0"/>
        <v>1202</v>
      </c>
      <c r="T16" s="154">
        <f t="shared" si="1"/>
        <v>0</v>
      </c>
      <c r="U16" s="152">
        <f>IF(J16=0,(S16+T16/EERR!$D$2/1.19),(S16+T16/EERR!$D$2/1.19)/J16)</f>
        <v>200.33333333333334</v>
      </c>
      <c r="V16" s="154">
        <f>T16+S16*EERR!$D$2</f>
        <v>819751.98</v>
      </c>
      <c r="W16" s="149">
        <f ca="1">SUMIF(Siteminder!$A$5:$K$153,Dic!G16,Siteminder!$O$5:$O$153)</f>
        <v>6</v>
      </c>
      <c r="X16" s="278">
        <f>SUMIF(Transbank!$A$2:$A$486,B16,Transbank!$L$2:$L$486)+SUMIF(Transbank!$A$2:$A$486,C16,Transbank!$L$2:$L$486)+SUMIF(Transbank!$A$2:$A$486,D16,Transbank!$L$2:$L$486)+(K16+O16)+(L16+P16)*EERR!$D$2</f>
        <v>818884.74</v>
      </c>
      <c r="Y16" s="278">
        <f>X16/EERR!$D$2</f>
        <v>1200.7283684511503</v>
      </c>
      <c r="Z16" s="292">
        <f t="shared" si="2"/>
        <v>-867.23999999999069</v>
      </c>
    </row>
    <row r="17" spans="1:26" s="149" customFormat="1" ht="15" customHeight="1" x14ac:dyDescent="0.3">
      <c r="A17" s="265">
        <v>3582</v>
      </c>
      <c r="B17" s="318">
        <v>643</v>
      </c>
      <c r="C17" s="318">
        <v>673</v>
      </c>
      <c r="D17" s="318"/>
      <c r="E17" s="266" t="s">
        <v>842</v>
      </c>
      <c r="F17" s="266" t="s">
        <v>254</v>
      </c>
      <c r="G17" s="266">
        <v>1733550714</v>
      </c>
      <c r="H17" s="267">
        <v>43445</v>
      </c>
      <c r="I17" s="267">
        <v>43449</v>
      </c>
      <c r="J17" s="266">
        <v>4</v>
      </c>
      <c r="K17" s="268"/>
      <c r="L17" s="269"/>
      <c r="M17" s="268"/>
      <c r="N17" s="268">
        <v>601</v>
      </c>
      <c r="O17" s="268"/>
      <c r="P17" s="268"/>
      <c r="Q17" s="268"/>
      <c r="R17" s="268">
        <v>198</v>
      </c>
      <c r="S17" s="154">
        <f t="shared" si="0"/>
        <v>799</v>
      </c>
      <c r="T17" s="154">
        <f t="shared" si="1"/>
        <v>0</v>
      </c>
      <c r="U17" s="152">
        <f>IF(J17=0,(S17+T17/EERR!$D$2/1.19),(S17+T17/EERR!$D$2/1.19)/J17)</f>
        <v>199.75</v>
      </c>
      <c r="V17" s="154">
        <f>T17+S17*EERR!$D$2</f>
        <v>544910.01</v>
      </c>
      <c r="W17" s="149">
        <f ca="1">SUMIF(Siteminder!$A$5:$K$153,Dic!G17,Siteminder!$O$5:$O$153)</f>
        <v>4</v>
      </c>
      <c r="X17" s="278">
        <f>SUMIF(Transbank!$A$2:$A$486,B17,Transbank!$L$2:$L$486)+SUMIF(Transbank!$A$2:$A$486,C17,Transbank!$L$2:$L$486)+SUMIF(Transbank!$A$2:$A$486,D17,Transbank!$L$2:$L$486)+(K17+O17)+(L17+P17)*EERR!$D$2</f>
        <v>544910.01</v>
      </c>
      <c r="Y17" s="278">
        <f>X17/EERR!$D$2</f>
        <v>799</v>
      </c>
      <c r="Z17" s="292">
        <f t="shared" si="2"/>
        <v>0</v>
      </c>
    </row>
    <row r="18" spans="1:26" s="149" customFormat="1" ht="15" customHeight="1" x14ac:dyDescent="0.3">
      <c r="A18" s="265">
        <v>3584</v>
      </c>
      <c r="B18" s="318">
        <v>548</v>
      </c>
      <c r="C18" s="318"/>
      <c r="D18" s="318"/>
      <c r="E18" s="266" t="s">
        <v>843</v>
      </c>
      <c r="F18" s="266" t="s">
        <v>254</v>
      </c>
      <c r="G18" s="266">
        <v>1735944967</v>
      </c>
      <c r="H18" s="267">
        <v>43447</v>
      </c>
      <c r="I18" s="267">
        <v>43453</v>
      </c>
      <c r="J18" s="266">
        <v>6</v>
      </c>
      <c r="K18" s="268"/>
      <c r="L18" s="269">
        <v>1025</v>
      </c>
      <c r="M18" s="268"/>
      <c r="N18" s="268"/>
      <c r="O18" s="268"/>
      <c r="P18" s="268"/>
      <c r="Q18" s="268"/>
      <c r="R18" s="268">
        <v>198</v>
      </c>
      <c r="S18" s="154">
        <f t="shared" si="0"/>
        <v>1223</v>
      </c>
      <c r="T18" s="154">
        <f t="shared" si="1"/>
        <v>0</v>
      </c>
      <c r="U18" s="152">
        <f>IF(J18=0,(S18+T18/EERR!$D$2/1.19),(S18+T18/EERR!$D$2/1.19)/J18)</f>
        <v>203.83333333333334</v>
      </c>
      <c r="V18" s="154">
        <f>T18+S18*EERR!$D$2</f>
        <v>834073.77</v>
      </c>
      <c r="W18" s="149">
        <f ca="1">SUMIF(Siteminder!$A$5:$K$153,Dic!G18,Siteminder!$O$5:$O$153)</f>
        <v>6</v>
      </c>
      <c r="X18" s="278">
        <f>SUMIF(Transbank!$A$2:$A$486,B18,Transbank!$L$2:$L$486)+SUMIF(Transbank!$A$2:$A$486,C18,Transbank!$L$2:$L$486)+SUMIF(Transbank!$A$2:$A$486,D18,Transbank!$L$2:$L$486)+(K18+O18)+(L18+P18)*EERR!$D$2</f>
        <v>833206.53</v>
      </c>
      <c r="Y18" s="278">
        <f>X18/EERR!$D$2</f>
        <v>1221.7283684511503</v>
      </c>
      <c r="Z18" s="292">
        <f t="shared" si="2"/>
        <v>-867.23999999999069</v>
      </c>
    </row>
    <row r="19" spans="1:26" s="149" customFormat="1" ht="15" customHeight="1" x14ac:dyDescent="0.3">
      <c r="A19" s="265">
        <v>3585</v>
      </c>
      <c r="B19" s="318">
        <v>540</v>
      </c>
      <c r="C19" s="318">
        <v>679</v>
      </c>
      <c r="D19" s="318"/>
      <c r="E19" s="266" t="s">
        <v>844</v>
      </c>
      <c r="F19" s="266" t="s">
        <v>254</v>
      </c>
      <c r="G19" s="266">
        <v>1715578446</v>
      </c>
      <c r="H19" s="267">
        <v>43448</v>
      </c>
      <c r="I19" s="267">
        <v>43451</v>
      </c>
      <c r="J19" s="266">
        <v>3</v>
      </c>
      <c r="K19" s="268"/>
      <c r="L19" s="269"/>
      <c r="M19" s="268"/>
      <c r="N19" s="268">
        <v>410</v>
      </c>
      <c r="O19" s="268"/>
      <c r="P19" s="268"/>
      <c r="Q19" s="268"/>
      <c r="R19" s="268">
        <v>205</v>
      </c>
      <c r="S19" s="154">
        <f t="shared" si="0"/>
        <v>615</v>
      </c>
      <c r="T19" s="154">
        <f t="shared" si="1"/>
        <v>0</v>
      </c>
      <c r="U19" s="152">
        <f>IF(J19=0,(S19+T19/EERR!$D$2/1.19),(S19+T19/EERR!$D$2/1.19)/J19)</f>
        <v>205</v>
      </c>
      <c r="V19" s="154">
        <f>T19+S19*EERR!$D$2</f>
        <v>419423.85</v>
      </c>
      <c r="W19" s="149">
        <f ca="1">SUMIF(Siteminder!$A$5:$K$153,Dic!G19,Siteminder!$O$5:$O$153)</f>
        <v>3</v>
      </c>
      <c r="X19" s="278">
        <f>SUMIF(Transbank!$A$2:$A$486,B19,Transbank!$L$2:$L$486)+SUMIF(Transbank!$A$2:$A$486,C19,Transbank!$L$2:$L$486)+SUMIF(Transbank!$A$2:$A$486,D19,Transbank!$L$2:$L$486)+(K19+O19)+(L19+P19)*EERR!$D$2</f>
        <v>418525.95</v>
      </c>
      <c r="Y19" s="278">
        <f>X19/EERR!$D$2</f>
        <v>613.68341178023138</v>
      </c>
      <c r="Z19" s="292">
        <f t="shared" si="2"/>
        <v>-897.89999999996508</v>
      </c>
    </row>
    <row r="20" spans="1:26" s="149" customFormat="1" ht="15" customHeight="1" x14ac:dyDescent="0.3">
      <c r="A20" s="265">
        <v>3586</v>
      </c>
      <c r="B20" s="318">
        <v>559</v>
      </c>
      <c r="C20" s="318">
        <v>680</v>
      </c>
      <c r="D20" s="318"/>
      <c r="E20" s="266" t="s">
        <v>840</v>
      </c>
      <c r="F20" s="266" t="s">
        <v>254</v>
      </c>
      <c r="G20" s="266">
        <v>1427000484</v>
      </c>
      <c r="H20" s="267">
        <v>43448</v>
      </c>
      <c r="I20" s="267">
        <v>43450</v>
      </c>
      <c r="J20" s="266">
        <v>2</v>
      </c>
      <c r="K20" s="268"/>
      <c r="L20" s="269"/>
      <c r="M20" s="268"/>
      <c r="N20" s="268">
        <v>205</v>
      </c>
      <c r="O20" s="268"/>
      <c r="P20" s="268"/>
      <c r="Q20" s="268"/>
      <c r="R20" s="268">
        <v>205</v>
      </c>
      <c r="S20" s="154">
        <f t="shared" si="0"/>
        <v>410</v>
      </c>
      <c r="T20" s="154">
        <f t="shared" si="1"/>
        <v>0</v>
      </c>
      <c r="U20" s="152">
        <f>IF(J20=0,(S20+T20/EERR!$D$2/1.19),(S20+T20/EERR!$D$2/1.19)/J20)</f>
        <v>205</v>
      </c>
      <c r="V20" s="154">
        <f>T20+S20*EERR!$D$2</f>
        <v>279615.90000000002</v>
      </c>
      <c r="W20" s="149">
        <f ca="1">SUMIF(Siteminder!$A$5:$K$153,Dic!G20,Siteminder!$O$5:$O$153)</f>
        <v>2</v>
      </c>
      <c r="X20" s="278">
        <f>SUMIF(Transbank!$A$2:$A$486,B20,Transbank!$L$2:$L$486)+SUMIF(Transbank!$A$2:$A$486,C20,Transbank!$L$2:$L$486)+SUMIF(Transbank!$A$2:$A$486,D20,Transbank!$L$2:$L$486)+(K20+O20)+(L20+P20)*EERR!$D$2</f>
        <v>278718</v>
      </c>
      <c r="Y20" s="278">
        <f>X20/EERR!$D$2</f>
        <v>408.68341178023138</v>
      </c>
      <c r="Z20" s="292">
        <f t="shared" si="2"/>
        <v>-897.90000000002328</v>
      </c>
    </row>
    <row r="21" spans="1:26" s="149" customFormat="1" ht="15" customHeight="1" x14ac:dyDescent="0.3">
      <c r="A21" s="265">
        <v>3587</v>
      </c>
      <c r="B21" s="318">
        <v>672</v>
      </c>
      <c r="C21" s="318"/>
      <c r="D21" s="318"/>
      <c r="E21" s="266" t="s">
        <v>845</v>
      </c>
      <c r="F21" s="266" t="s">
        <v>254</v>
      </c>
      <c r="G21" s="266">
        <v>1889416264</v>
      </c>
      <c r="H21" s="267">
        <v>43448</v>
      </c>
      <c r="I21" s="267">
        <v>43456</v>
      </c>
      <c r="J21" s="266">
        <v>16</v>
      </c>
      <c r="K21" s="268"/>
      <c r="L21" s="269">
        <v>2920</v>
      </c>
      <c r="M21" s="268"/>
      <c r="N21" s="268"/>
      <c r="O21" s="268"/>
      <c r="P21" s="268"/>
      <c r="Q21" s="268"/>
      <c r="R21" s="268">
        <v>410</v>
      </c>
      <c r="S21" s="154">
        <f t="shared" si="0"/>
        <v>3330</v>
      </c>
      <c r="T21" s="154">
        <f t="shared" si="1"/>
        <v>0</v>
      </c>
      <c r="U21" s="152">
        <f>IF(J21=0,(S21+T21/EERR!$D$2/1.19),(S21+T21/EERR!$D$2/1.19)/J21)</f>
        <v>208.125</v>
      </c>
      <c r="V21" s="154">
        <f>T21+S21*EERR!$D$2</f>
        <v>2271026.7000000002</v>
      </c>
      <c r="W21" s="149">
        <f ca="1">SUMIF(Siteminder!$A$5:$K$153,Dic!G21,Siteminder!$O$5:$O$153)</f>
        <v>16</v>
      </c>
      <c r="X21" s="278">
        <f>SUMIF(Transbank!$A$2:$A$486,B21,Transbank!$L$2:$L$486)+SUMIF(Transbank!$A$2:$A$486,C21,Transbank!$L$2:$L$486)+SUMIF(Transbank!$A$2:$A$486,D21,Transbank!$L$2:$L$486)+(K21+O21)+(L21+P21)*EERR!$D$2</f>
        <v>2271026.7000000002</v>
      </c>
      <c r="Y21" s="278">
        <f>X21/EERR!$D$2</f>
        <v>3330.0000000000005</v>
      </c>
      <c r="Z21" s="292">
        <f t="shared" si="2"/>
        <v>0</v>
      </c>
    </row>
    <row r="22" spans="1:26" s="149" customFormat="1" ht="15" customHeight="1" x14ac:dyDescent="0.3">
      <c r="A22" s="265">
        <v>3590</v>
      </c>
      <c r="B22" s="318">
        <v>546</v>
      </c>
      <c r="C22" s="318">
        <v>691</v>
      </c>
      <c r="D22" s="318"/>
      <c r="E22" s="266" t="s">
        <v>846</v>
      </c>
      <c r="F22" s="266" t="s">
        <v>254</v>
      </c>
      <c r="G22" s="266">
        <v>1059080329</v>
      </c>
      <c r="H22" s="267">
        <v>43449</v>
      </c>
      <c r="I22" s="267">
        <v>43455</v>
      </c>
      <c r="J22" s="266">
        <v>12</v>
      </c>
      <c r="K22" s="268"/>
      <c r="L22" s="269"/>
      <c r="M22" s="268"/>
      <c r="N22" s="268">
        <v>2050</v>
      </c>
      <c r="O22" s="268"/>
      <c r="P22" s="268"/>
      <c r="Q22" s="268"/>
      <c r="R22" s="268">
        <v>410</v>
      </c>
      <c r="S22" s="154">
        <f t="shared" si="0"/>
        <v>2460</v>
      </c>
      <c r="T22" s="154">
        <f t="shared" si="1"/>
        <v>0</v>
      </c>
      <c r="U22" s="152">
        <f>IF(J22=0,(S22+T22/EERR!$D$2/1.19),(S22+T22/EERR!$D$2/1.19)/J22)</f>
        <v>205</v>
      </c>
      <c r="V22" s="154">
        <f>T22+S22*EERR!$D$2</f>
        <v>1677695.4</v>
      </c>
      <c r="W22" s="149">
        <f ca="1">SUMIF(Siteminder!$A$5:$K$153,Dic!G22,Siteminder!$O$5:$O$153)</f>
        <v>12</v>
      </c>
      <c r="X22" s="278">
        <f>SUMIF(Transbank!$A$2:$A$486,B22,Transbank!$L$2:$L$486)+SUMIF(Transbank!$A$2:$A$486,C22,Transbank!$L$2:$L$486)+SUMIF(Transbank!$A$2:$A$486,D22,Transbank!$L$2:$L$486)+(K22+O22)+(L22+P22)*EERR!$D$2</f>
        <v>1675899.6</v>
      </c>
      <c r="Y22" s="278">
        <f>X22/EERR!$D$2</f>
        <v>2457.3668235604628</v>
      </c>
      <c r="Z22" s="292">
        <f t="shared" si="2"/>
        <v>-1795.7999999998137</v>
      </c>
    </row>
    <row r="23" spans="1:26" s="149" customFormat="1" ht="15" customHeight="1" x14ac:dyDescent="0.3">
      <c r="A23" s="265">
        <v>3591</v>
      </c>
      <c r="B23" s="318">
        <v>561</v>
      </c>
      <c r="C23" s="318">
        <v>696</v>
      </c>
      <c r="D23" s="318">
        <v>719</v>
      </c>
      <c r="E23" s="266" t="s">
        <v>847</v>
      </c>
      <c r="F23" s="266" t="s">
        <v>254</v>
      </c>
      <c r="G23" s="266">
        <v>1854619540</v>
      </c>
      <c r="H23" s="267">
        <v>43451</v>
      </c>
      <c r="I23" s="267">
        <v>43456</v>
      </c>
      <c r="J23" s="266">
        <v>5</v>
      </c>
      <c r="K23" s="268"/>
      <c r="L23" s="269"/>
      <c r="M23" s="268"/>
      <c r="N23" s="268">
        <v>947.5</v>
      </c>
      <c r="O23" s="268"/>
      <c r="P23" s="268"/>
      <c r="Q23" s="268"/>
      <c r="R23" s="268">
        <v>205</v>
      </c>
      <c r="S23" s="154">
        <f t="shared" si="0"/>
        <v>1152.5</v>
      </c>
      <c r="T23" s="154">
        <f t="shared" si="1"/>
        <v>0</v>
      </c>
      <c r="U23" s="152">
        <f>IF(J23=0,(S23+T23/EERR!$D$2/1.19),(S23+T23/EERR!$D$2/1.19)/J23)</f>
        <v>230.5</v>
      </c>
      <c r="V23" s="154">
        <f>T23+S23*EERR!$D$2</f>
        <v>785993.47499999998</v>
      </c>
      <c r="W23" s="149">
        <f ca="1">SUMIF(Siteminder!$A$5:$K$153,Dic!G23,Siteminder!$O$5:$O$153)</f>
        <v>5</v>
      </c>
      <c r="X23" s="278">
        <f>SUMIF(Transbank!$A$2:$A$486,B23,Transbank!$L$2:$L$486)+SUMIF(Transbank!$A$2:$A$486,C23,Transbank!$L$2:$L$486)+SUMIF(Transbank!$A$2:$A$486,D23,Transbank!$L$2:$L$486)+(K23+O23)+(L23+P23)*EERR!$D$2</f>
        <v>785095.57500000007</v>
      </c>
      <c r="Y23" s="278">
        <f>X23/EERR!$D$2</f>
        <v>1151.1834117802314</v>
      </c>
      <c r="Z23" s="292">
        <f t="shared" si="2"/>
        <v>-897.89999999990687</v>
      </c>
    </row>
    <row r="24" spans="1:26" s="149" customFormat="1" ht="15" customHeight="1" x14ac:dyDescent="0.3">
      <c r="A24" s="265">
        <v>3592</v>
      </c>
      <c r="B24" s="318">
        <v>694</v>
      </c>
      <c r="C24" s="318">
        <v>547</v>
      </c>
      <c r="D24" s="318"/>
      <c r="E24" s="266" t="s">
        <v>848</v>
      </c>
      <c r="F24" s="266" t="s">
        <v>254</v>
      </c>
      <c r="G24" s="266">
        <v>2066428795</v>
      </c>
      <c r="H24" s="267">
        <v>43451</v>
      </c>
      <c r="I24" s="267">
        <v>43455</v>
      </c>
      <c r="J24" s="266">
        <v>4</v>
      </c>
      <c r="K24" s="268"/>
      <c r="L24" s="269"/>
      <c r="M24" s="268"/>
      <c r="N24" s="268">
        <v>615</v>
      </c>
      <c r="O24" s="268"/>
      <c r="P24" s="268"/>
      <c r="Q24" s="268"/>
      <c r="R24" s="268">
        <v>205</v>
      </c>
      <c r="S24" s="154">
        <f t="shared" si="0"/>
        <v>820</v>
      </c>
      <c r="T24" s="154">
        <f t="shared" si="1"/>
        <v>0</v>
      </c>
      <c r="U24" s="152">
        <f>IF(J24=0,(S24+T24/EERR!$D$2/1.19),(S24+T24/EERR!$D$2/1.19)/J24)</f>
        <v>205</v>
      </c>
      <c r="V24" s="154">
        <f>T24+S24*EERR!$D$2</f>
        <v>559231.80000000005</v>
      </c>
      <c r="W24" s="149">
        <f ca="1">SUMIF(Siteminder!$A$5:$K$153,Dic!G24,Siteminder!$O$5:$O$153)</f>
        <v>4</v>
      </c>
      <c r="X24" s="278">
        <f>SUMIF(Transbank!$A$2:$A$486,B24,Transbank!$L$2:$L$486)+SUMIF(Transbank!$A$2:$A$486,C24,Transbank!$L$2:$L$486)+SUMIF(Transbank!$A$2:$A$486,D24,Transbank!$L$2:$L$486)+(K24+O24)+(L24+P24)*EERR!$D$2</f>
        <v>558333.89999999991</v>
      </c>
      <c r="Y24" s="278">
        <f>X24/EERR!$D$2</f>
        <v>818.68341178023127</v>
      </c>
      <c r="Z24" s="292">
        <f t="shared" si="2"/>
        <v>-897.9000000001397</v>
      </c>
    </row>
    <row r="25" spans="1:26" s="149" customFormat="1" ht="15" customHeight="1" x14ac:dyDescent="0.3">
      <c r="A25" s="265">
        <v>3596</v>
      </c>
      <c r="B25" s="318">
        <v>568</v>
      </c>
      <c r="C25" s="318"/>
      <c r="D25" s="318"/>
      <c r="E25" s="266" t="s">
        <v>849</v>
      </c>
      <c r="F25" s="266" t="s">
        <v>254</v>
      </c>
      <c r="G25" s="266">
        <v>1740497275</v>
      </c>
      <c r="H25" s="267">
        <v>43454</v>
      </c>
      <c r="I25" s="267">
        <v>43455</v>
      </c>
      <c r="J25" s="266">
        <v>1</v>
      </c>
      <c r="K25" s="268"/>
      <c r="L25" s="269"/>
      <c r="M25" s="268"/>
      <c r="N25" s="268"/>
      <c r="O25" s="268"/>
      <c r="P25" s="268"/>
      <c r="Q25" s="268"/>
      <c r="R25" s="268">
        <v>205</v>
      </c>
      <c r="S25" s="154">
        <f t="shared" si="0"/>
        <v>205</v>
      </c>
      <c r="T25" s="154">
        <f t="shared" si="1"/>
        <v>0</v>
      </c>
      <c r="U25" s="152">
        <f>IF(J25=0,(S25+T25/EERR!$D$2/1.19),(S25+T25/EERR!$D$2/1.19)/J25)</f>
        <v>205</v>
      </c>
      <c r="V25" s="154">
        <f>T25+S25*EERR!$D$2</f>
        <v>139807.95000000001</v>
      </c>
      <c r="W25" s="149">
        <f ca="1">SUMIF(Siteminder!$A$5:$K$153,Dic!G25,Siteminder!$O$5:$O$153)</f>
        <v>1</v>
      </c>
      <c r="X25" s="278">
        <f>SUMIF(Transbank!$A$2:$A$486,B25,Transbank!$L$2:$L$486)+SUMIF(Transbank!$A$2:$A$486,C25,Transbank!$L$2:$L$486)+SUMIF(Transbank!$A$2:$A$486,D25,Transbank!$L$2:$L$486)+(K25+O25)+(L25+P25)*EERR!$D$2</f>
        <v>138910.04999999999</v>
      </c>
      <c r="Y25" s="278">
        <f>X25/EERR!$D$2</f>
        <v>203.68341178023135</v>
      </c>
      <c r="Z25" s="292">
        <f t="shared" si="2"/>
        <v>-897.90000000002328</v>
      </c>
    </row>
    <row r="26" spans="1:26" s="149" customFormat="1" ht="15" customHeight="1" x14ac:dyDescent="0.3">
      <c r="A26" s="265">
        <v>3598</v>
      </c>
      <c r="B26" s="318">
        <v>576</v>
      </c>
      <c r="C26" s="318">
        <v>704</v>
      </c>
      <c r="D26" s="318"/>
      <c r="E26" s="266" t="s">
        <v>850</v>
      </c>
      <c r="F26" s="266" t="s">
        <v>254</v>
      </c>
      <c r="G26" s="266">
        <v>1043136693</v>
      </c>
      <c r="H26" s="267">
        <v>43455</v>
      </c>
      <c r="I26" s="267">
        <v>43458</v>
      </c>
      <c r="J26" s="266">
        <v>3</v>
      </c>
      <c r="K26" s="268"/>
      <c r="L26" s="269"/>
      <c r="M26" s="268"/>
      <c r="N26" s="268">
        <v>460</v>
      </c>
      <c r="O26" s="268"/>
      <c r="P26" s="268"/>
      <c r="Q26" s="268"/>
      <c r="R26" s="268">
        <v>230</v>
      </c>
      <c r="S26" s="154">
        <f t="shared" si="0"/>
        <v>690</v>
      </c>
      <c r="T26" s="154">
        <f t="shared" si="1"/>
        <v>0</v>
      </c>
      <c r="U26" s="152">
        <f>IF(J26=0,(S26+T26/EERR!$D$2/1.19),(S26+T26/EERR!$D$2/1.19)/J26)</f>
        <v>230</v>
      </c>
      <c r="V26" s="154">
        <f>T26+S26*EERR!$D$2</f>
        <v>470573.10000000003</v>
      </c>
      <c r="W26" s="149">
        <f ca="1">SUMIF(Siteminder!$A$5:$K$153,Dic!G26,Siteminder!$O$5:$O$153)</f>
        <v>3</v>
      </c>
      <c r="X26" s="278">
        <f>SUMIF(Transbank!$A$2:$A$486,B26,Transbank!$L$2:$L$486)+SUMIF(Transbank!$A$2:$A$486,C26,Transbank!$L$2:$L$486)+SUMIF(Transbank!$A$2:$A$486,D26,Transbank!$L$2:$L$486)+(K26+O26)+(L26+P26)*EERR!$D$2</f>
        <v>469565.70000000007</v>
      </c>
      <c r="Y26" s="278">
        <f>X26/EERR!$D$2</f>
        <v>688.52285224123534</v>
      </c>
      <c r="Z26" s="292">
        <f t="shared" si="2"/>
        <v>-1007.3999999999651</v>
      </c>
    </row>
    <row r="27" spans="1:26" s="149" customFormat="1" ht="15" customHeight="1" x14ac:dyDescent="0.3">
      <c r="A27" s="265">
        <v>3599</v>
      </c>
      <c r="B27" s="318">
        <v>586</v>
      </c>
      <c r="C27" s="318">
        <v>705</v>
      </c>
      <c r="D27" s="318"/>
      <c r="E27" s="266" t="s">
        <v>851</v>
      </c>
      <c r="F27" s="266" t="s">
        <v>254</v>
      </c>
      <c r="G27" s="266">
        <v>1669151499</v>
      </c>
      <c r="H27" s="267">
        <v>43455</v>
      </c>
      <c r="I27" s="267">
        <v>43461</v>
      </c>
      <c r="J27" s="266">
        <v>6</v>
      </c>
      <c r="K27" s="268"/>
      <c r="L27" s="269"/>
      <c r="M27" s="268"/>
      <c r="N27" s="268">
        <v>1150</v>
      </c>
      <c r="O27" s="268"/>
      <c r="P27" s="268"/>
      <c r="Q27" s="268"/>
      <c r="R27" s="268">
        <v>230</v>
      </c>
      <c r="S27" s="154">
        <f t="shared" si="0"/>
        <v>1380</v>
      </c>
      <c r="T27" s="154">
        <f t="shared" si="1"/>
        <v>0</v>
      </c>
      <c r="U27" s="152">
        <f>IF(J27=0,(S27+T27/EERR!$D$2/1.19),(S27+T27/EERR!$D$2/1.19)/J27)</f>
        <v>230</v>
      </c>
      <c r="V27" s="154">
        <f>T27+S27*EERR!$D$2</f>
        <v>941146.20000000007</v>
      </c>
      <c r="W27" s="149">
        <f ca="1">SUMIF(Siteminder!$A$5:$K$153,Dic!G27,Siteminder!$O$5:$O$153)</f>
        <v>6</v>
      </c>
      <c r="X27" s="278">
        <f>SUMIF(Transbank!$A$2:$A$486,B27,Transbank!$L$2:$L$486)+SUMIF(Transbank!$A$2:$A$486,C27,Transbank!$L$2:$L$486)+SUMIF(Transbank!$A$2:$A$486,D27,Transbank!$L$2:$L$486)+(K27+O27)+(L27+P27)*EERR!$D$2</f>
        <v>940138.8</v>
      </c>
      <c r="Y27" s="278">
        <f>X27/EERR!$D$2</f>
        <v>1378.5228522412353</v>
      </c>
      <c r="Z27" s="292">
        <f t="shared" si="2"/>
        <v>-1007.4000000000233</v>
      </c>
    </row>
    <row r="28" spans="1:26" s="149" customFormat="1" ht="15" customHeight="1" x14ac:dyDescent="0.3">
      <c r="A28" s="265">
        <v>3600</v>
      </c>
      <c r="B28" s="318">
        <v>706</v>
      </c>
      <c r="C28" s="318"/>
      <c r="D28" s="318"/>
      <c r="E28" s="266" t="s">
        <v>852</v>
      </c>
      <c r="F28" s="266" t="s">
        <v>254</v>
      </c>
      <c r="G28" s="266">
        <v>1272420119</v>
      </c>
      <c r="H28" s="267">
        <v>43455</v>
      </c>
      <c r="I28" s="267">
        <v>43456</v>
      </c>
      <c r="J28" s="266">
        <v>1</v>
      </c>
      <c r="K28" s="268"/>
      <c r="L28" s="269"/>
      <c r="M28" s="268"/>
      <c r="N28" s="268"/>
      <c r="O28" s="268"/>
      <c r="P28" s="268"/>
      <c r="Q28" s="268"/>
      <c r="R28" s="268">
        <v>230</v>
      </c>
      <c r="S28" s="154">
        <f t="shared" si="0"/>
        <v>230</v>
      </c>
      <c r="T28" s="154">
        <f t="shared" si="1"/>
        <v>0</v>
      </c>
      <c r="U28" s="152">
        <f>IF(J28=0,(S28+T28/EERR!$D$2/1.19),(S28+T28/EERR!$D$2/1.19)/J28)</f>
        <v>230</v>
      </c>
      <c r="V28" s="154">
        <f>T28+S28*EERR!$D$2</f>
        <v>156857.70000000001</v>
      </c>
      <c r="W28" s="149">
        <f ca="1">SUMIF(Siteminder!$A$5:$K$153,Dic!G28,Siteminder!$O$5:$O$153)</f>
        <v>1</v>
      </c>
      <c r="X28" s="278">
        <f>SUMIF(Transbank!$A$2:$A$486,B28,Transbank!$L$2:$L$486)+SUMIF(Transbank!$A$2:$A$486,C28,Transbank!$L$2:$L$486)+SUMIF(Transbank!$A$2:$A$486,D28,Transbank!$L$2:$L$486)+(K28+O28)+(L28+P28)*EERR!$D$2</f>
        <v>156857.70000000001</v>
      </c>
      <c r="Y28" s="278">
        <f>X28/EERR!$D$2</f>
        <v>230</v>
      </c>
      <c r="Z28" s="292">
        <f t="shared" si="2"/>
        <v>0</v>
      </c>
    </row>
    <row r="29" spans="1:26" s="149" customFormat="1" ht="15" customHeight="1" x14ac:dyDescent="0.3">
      <c r="A29" s="265">
        <v>3603</v>
      </c>
      <c r="B29" s="318">
        <v>578</v>
      </c>
      <c r="C29" s="318">
        <v>722</v>
      </c>
      <c r="D29" s="318"/>
      <c r="E29" s="266" t="s">
        <v>853</v>
      </c>
      <c r="F29" s="266" t="s">
        <v>254</v>
      </c>
      <c r="G29" s="266">
        <v>1769662234</v>
      </c>
      <c r="H29" s="267">
        <v>43456</v>
      </c>
      <c r="I29" s="267">
        <v>43464</v>
      </c>
      <c r="J29" s="266">
        <v>8</v>
      </c>
      <c r="K29" s="268"/>
      <c r="L29" s="269"/>
      <c r="M29" s="268"/>
      <c r="N29" s="268">
        <v>1560</v>
      </c>
      <c r="O29" s="268"/>
      <c r="P29" s="268"/>
      <c r="Q29" s="268"/>
      <c r="R29" s="268">
        <v>230</v>
      </c>
      <c r="S29" s="154">
        <f t="shared" si="0"/>
        <v>1790</v>
      </c>
      <c r="T29" s="154">
        <f t="shared" si="1"/>
        <v>0</v>
      </c>
      <c r="U29" s="152">
        <f>IF(J29=0,(S29+T29/EERR!$D$2/1.19),(S29+T29/EERR!$D$2/1.19)/J29)</f>
        <v>223.75</v>
      </c>
      <c r="V29" s="154">
        <f>T29+S29*EERR!$D$2</f>
        <v>1220762.1000000001</v>
      </c>
      <c r="W29" s="149">
        <f ca="1">SUMIF(Siteminder!$A$5:$K$153,Dic!G29,Siteminder!$O$5:$O$153)</f>
        <v>8</v>
      </c>
      <c r="X29" s="278">
        <f>SUMIF(Transbank!$A$2:$A$486,B29,Transbank!$L$2:$L$486)+SUMIF(Transbank!$A$2:$A$486,C29,Transbank!$L$2:$L$486)+SUMIF(Transbank!$A$2:$A$486,D29,Transbank!$L$2:$L$486)+(K29+O29)+(L29+P29)*EERR!$D$2</f>
        <v>1219754.7</v>
      </c>
      <c r="Y29" s="278">
        <f>X29/EERR!$D$2</f>
        <v>1788.5228522412351</v>
      </c>
      <c r="Z29" s="292">
        <f t="shared" si="2"/>
        <v>-1007.4000000001397</v>
      </c>
    </row>
    <row r="30" spans="1:26" s="149" customFormat="1" ht="15" customHeight="1" x14ac:dyDescent="0.3">
      <c r="A30" s="265">
        <v>3604</v>
      </c>
      <c r="B30" s="318">
        <v>577</v>
      </c>
      <c r="C30" s="318">
        <v>721</v>
      </c>
      <c r="D30" s="318"/>
      <c r="E30" s="266" t="s">
        <v>854</v>
      </c>
      <c r="F30" s="266" t="s">
        <v>254</v>
      </c>
      <c r="G30" s="266">
        <v>2006498394</v>
      </c>
      <c r="H30" s="267">
        <v>43456</v>
      </c>
      <c r="I30" s="267">
        <v>43462</v>
      </c>
      <c r="J30" s="266">
        <v>6</v>
      </c>
      <c r="K30" s="268"/>
      <c r="L30" s="269"/>
      <c r="M30" s="268"/>
      <c r="N30" s="268">
        <v>1150</v>
      </c>
      <c r="O30" s="268"/>
      <c r="P30" s="268"/>
      <c r="Q30" s="268"/>
      <c r="R30" s="268">
        <v>230</v>
      </c>
      <c r="S30" s="154">
        <f t="shared" si="0"/>
        <v>1380</v>
      </c>
      <c r="T30" s="154">
        <f t="shared" si="1"/>
        <v>0</v>
      </c>
      <c r="U30" s="152">
        <f>IF(J30=0,(S30+T30/EERR!$D$2/1.19),(S30+T30/EERR!$D$2/1.19)/J30)</f>
        <v>230</v>
      </c>
      <c r="V30" s="154">
        <f>T30+S30*EERR!$D$2</f>
        <v>941146.20000000007</v>
      </c>
      <c r="W30" s="149">
        <f ca="1">SUMIF(Siteminder!$A$5:$K$153,Dic!G30,Siteminder!$O$5:$O$153)</f>
        <v>6</v>
      </c>
      <c r="X30" s="278">
        <f>SUMIF(Transbank!$A$2:$A$486,B30,Transbank!$L$2:$L$486)+SUMIF(Transbank!$A$2:$A$486,C30,Transbank!$L$2:$L$486)+SUMIF(Transbank!$A$2:$A$486,D30,Transbank!$L$2:$L$486)+(K30+O30)+(L30+P30)*EERR!$D$2</f>
        <v>940138.8</v>
      </c>
      <c r="Y30" s="278">
        <f>X30/EERR!$D$2</f>
        <v>1378.5228522412353</v>
      </c>
      <c r="Z30" s="292">
        <f t="shared" si="2"/>
        <v>-1007.4000000000233</v>
      </c>
    </row>
    <row r="31" spans="1:26" s="149" customFormat="1" ht="15" customHeight="1" x14ac:dyDescent="0.3">
      <c r="A31" s="265">
        <v>3602</v>
      </c>
      <c r="B31" s="318">
        <v>584</v>
      </c>
      <c r="C31" s="318">
        <v>713</v>
      </c>
      <c r="D31" s="318"/>
      <c r="E31" s="266" t="s">
        <v>849</v>
      </c>
      <c r="F31" s="266" t="s">
        <v>254</v>
      </c>
      <c r="G31" s="266">
        <v>1646582183</v>
      </c>
      <c r="H31" s="267">
        <v>43457</v>
      </c>
      <c r="I31" s="267">
        <v>43459</v>
      </c>
      <c r="J31" s="266">
        <v>2</v>
      </c>
      <c r="K31" s="268"/>
      <c r="L31" s="269"/>
      <c r="M31" s="268"/>
      <c r="N31" s="268">
        <v>230</v>
      </c>
      <c r="O31" s="268"/>
      <c r="P31" s="268"/>
      <c r="Q31" s="268"/>
      <c r="R31" s="268">
        <v>230</v>
      </c>
      <c r="S31" s="154">
        <f t="shared" si="0"/>
        <v>460</v>
      </c>
      <c r="T31" s="154">
        <f t="shared" si="1"/>
        <v>0</v>
      </c>
      <c r="U31" s="152">
        <f>IF(J31=0,(S31+T31/EERR!$D$2/1.19),(S31+T31/EERR!$D$2/1.19)/J31)</f>
        <v>230</v>
      </c>
      <c r="V31" s="154">
        <f>T31+S31*EERR!$D$2</f>
        <v>313715.40000000002</v>
      </c>
      <c r="W31" s="149">
        <f ca="1">SUMIF(Siteminder!$A$5:$K$153,Dic!G31,Siteminder!$O$5:$O$153)</f>
        <v>2</v>
      </c>
      <c r="X31" s="278">
        <f>SUMIF(Transbank!$A$2:$A$486,B31,Transbank!$L$2:$L$486)+SUMIF(Transbank!$A$2:$A$486,C31,Transbank!$L$2:$L$486)+SUMIF(Transbank!$A$2:$A$486,D31,Transbank!$L$2:$L$486)+(K31+O31)+(L31+P31)*EERR!$D$2</f>
        <v>312708</v>
      </c>
      <c r="Y31" s="278">
        <f>X31/EERR!$D$2</f>
        <v>458.52285224123523</v>
      </c>
      <c r="Z31" s="292">
        <f t="shared" si="2"/>
        <v>-1007.4000000000233</v>
      </c>
    </row>
    <row r="32" spans="1:26" s="149" customFormat="1" ht="15" customHeight="1" x14ac:dyDescent="0.3">
      <c r="A32" s="265">
        <v>3605</v>
      </c>
      <c r="B32" s="318">
        <v>582</v>
      </c>
      <c r="C32" s="318">
        <v>723</v>
      </c>
      <c r="D32" s="318"/>
      <c r="E32" s="266" t="s">
        <v>855</v>
      </c>
      <c r="F32" s="266" t="s">
        <v>254</v>
      </c>
      <c r="G32" s="266">
        <v>1857312745</v>
      </c>
      <c r="H32" s="267">
        <v>43457</v>
      </c>
      <c r="I32" s="267">
        <v>43460</v>
      </c>
      <c r="J32" s="266">
        <v>3</v>
      </c>
      <c r="K32" s="268"/>
      <c r="L32" s="269"/>
      <c r="M32" s="268"/>
      <c r="N32" s="268">
        <v>460</v>
      </c>
      <c r="O32" s="268"/>
      <c r="P32" s="268"/>
      <c r="Q32" s="268"/>
      <c r="R32" s="268">
        <v>230</v>
      </c>
      <c r="S32" s="154">
        <f t="shared" si="0"/>
        <v>690</v>
      </c>
      <c r="T32" s="154">
        <f t="shared" si="1"/>
        <v>0</v>
      </c>
      <c r="U32" s="152">
        <f>IF(J32=0,(S32+T32/EERR!$D$2/1.19),(S32+T32/EERR!$D$2/1.19)/J32)</f>
        <v>230</v>
      </c>
      <c r="V32" s="154">
        <f>T32+S32*EERR!$D$2</f>
        <v>470573.10000000003</v>
      </c>
      <c r="W32" s="149">
        <f ca="1">SUMIF(Siteminder!$A$5:$K$153,Dic!G32,Siteminder!$O$5:$O$153)</f>
        <v>3</v>
      </c>
      <c r="X32" s="278">
        <f>SUMIF(Transbank!$A$2:$A$486,B32,Transbank!$L$2:$L$486)+SUMIF(Transbank!$A$2:$A$486,C32,Transbank!$L$2:$L$486)+SUMIF(Transbank!$A$2:$A$486,D32,Transbank!$L$2:$L$486)+(K32+O32)+(L32+P32)*EERR!$D$2</f>
        <v>469565.70000000007</v>
      </c>
      <c r="Y32" s="278">
        <f>X32/EERR!$D$2</f>
        <v>688.52285224123534</v>
      </c>
      <c r="Z32" s="292">
        <f t="shared" si="2"/>
        <v>-1007.3999999999651</v>
      </c>
    </row>
    <row r="33" spans="1:26" s="149" customFormat="1" ht="15" customHeight="1" x14ac:dyDescent="0.3">
      <c r="A33" s="265">
        <v>3606</v>
      </c>
      <c r="B33" s="318">
        <v>585</v>
      </c>
      <c r="C33" s="318">
        <v>724</v>
      </c>
      <c r="D33" s="318"/>
      <c r="E33" s="266" t="s">
        <v>856</v>
      </c>
      <c r="F33" s="266" t="s">
        <v>254</v>
      </c>
      <c r="G33" s="266">
        <v>1896017717</v>
      </c>
      <c r="H33" s="267">
        <v>43457</v>
      </c>
      <c r="I33" s="267">
        <v>43462</v>
      </c>
      <c r="J33" s="266">
        <v>5</v>
      </c>
      <c r="K33" s="268"/>
      <c r="L33" s="269"/>
      <c r="M33" s="268"/>
      <c r="N33" s="268">
        <v>920</v>
      </c>
      <c r="O33" s="268"/>
      <c r="P33" s="268"/>
      <c r="Q33" s="268"/>
      <c r="R33" s="268">
        <v>230</v>
      </c>
      <c r="S33" s="154">
        <f t="shared" si="0"/>
        <v>1150</v>
      </c>
      <c r="T33" s="154">
        <f t="shared" si="1"/>
        <v>0</v>
      </c>
      <c r="U33" s="152">
        <f>IF(J33=0,(S33+T33/EERR!$D$2/1.19),(S33+T33/EERR!$D$2/1.19)/J33)</f>
        <v>230</v>
      </c>
      <c r="V33" s="154">
        <f>T33+S33*EERR!$D$2</f>
        <v>784288.5</v>
      </c>
      <c r="W33" s="149">
        <f ca="1">SUMIF(Siteminder!$A$5:$K$153,Dic!G33,Siteminder!$O$5:$O$153)</f>
        <v>5</v>
      </c>
      <c r="X33" s="278">
        <f>SUMIF(Transbank!$A$2:$A$486,B33,Transbank!$L$2:$L$486)+SUMIF(Transbank!$A$2:$A$486,C33,Transbank!$L$2:$L$486)+SUMIF(Transbank!$A$2:$A$486,D33,Transbank!$L$2:$L$486)+(K33+O33)+(L33+P33)*EERR!$D$2</f>
        <v>783281.10000000009</v>
      </c>
      <c r="Y33" s="278">
        <f>X33/EERR!$D$2</f>
        <v>1148.5228522412353</v>
      </c>
      <c r="Z33" s="292">
        <f t="shared" si="2"/>
        <v>-1007.3999999999069</v>
      </c>
    </row>
    <row r="34" spans="1:26" s="149" customFormat="1" ht="15" customHeight="1" x14ac:dyDescent="0.3">
      <c r="A34" s="265">
        <v>3607</v>
      </c>
      <c r="B34" s="318">
        <v>583</v>
      </c>
      <c r="C34" s="318">
        <v>725</v>
      </c>
      <c r="D34" s="318"/>
      <c r="E34" s="266" t="s">
        <v>857</v>
      </c>
      <c r="F34" s="266" t="s">
        <v>254</v>
      </c>
      <c r="G34" s="266">
        <v>1518679125</v>
      </c>
      <c r="H34" s="267">
        <v>43457</v>
      </c>
      <c r="I34" s="267">
        <v>43461</v>
      </c>
      <c r="J34" s="266">
        <v>8</v>
      </c>
      <c r="K34" s="268"/>
      <c r="L34" s="269"/>
      <c r="M34" s="268"/>
      <c r="N34" s="268">
        <v>1330</v>
      </c>
      <c r="O34" s="268"/>
      <c r="P34" s="268"/>
      <c r="Q34" s="268"/>
      <c r="R34" s="268">
        <v>460</v>
      </c>
      <c r="S34" s="154">
        <f t="shared" si="0"/>
        <v>1790</v>
      </c>
      <c r="T34" s="154">
        <f t="shared" si="1"/>
        <v>0</v>
      </c>
      <c r="U34" s="152">
        <f>IF(J34=0,(S34+T34/EERR!$D$2/1.19),(S34+T34/EERR!$D$2/1.19)/J34)</f>
        <v>223.75</v>
      </c>
      <c r="V34" s="154">
        <f>T34+S34*EERR!$D$2</f>
        <v>1220762.1000000001</v>
      </c>
      <c r="W34" s="149">
        <f ca="1">SUMIF(Siteminder!$A$5:$K$153,Dic!G34,Siteminder!$O$5:$O$153)</f>
        <v>8</v>
      </c>
      <c r="X34" s="278">
        <f>SUMIF(Transbank!$A$2:$A$486,B34,Transbank!$L$2:$L$486)+SUMIF(Transbank!$A$2:$A$486,C34,Transbank!$L$2:$L$486)+SUMIF(Transbank!$A$2:$A$486,D34,Transbank!$L$2:$L$486)+(K34+O34)+(L34+P34)*EERR!$D$2</f>
        <v>1218747.3</v>
      </c>
      <c r="Y34" s="278">
        <f>X34/EERR!$D$2</f>
        <v>1787.0457044824705</v>
      </c>
      <c r="Z34" s="292">
        <f t="shared" si="2"/>
        <v>-2014.8000000000466</v>
      </c>
    </row>
    <row r="35" spans="1:26" s="149" customFormat="1" ht="15" customHeight="1" x14ac:dyDescent="0.3">
      <c r="A35" s="265">
        <v>3610</v>
      </c>
      <c r="B35" s="318">
        <v>602</v>
      </c>
      <c r="C35" s="318"/>
      <c r="D35" s="318"/>
      <c r="E35" s="266" t="s">
        <v>858</v>
      </c>
      <c r="F35" s="266" t="s">
        <v>254</v>
      </c>
      <c r="G35" s="266">
        <v>1815107127</v>
      </c>
      <c r="H35" s="267">
        <v>43459</v>
      </c>
      <c r="I35" s="267">
        <v>43460</v>
      </c>
      <c r="J35" s="266">
        <v>1</v>
      </c>
      <c r="K35" s="268"/>
      <c r="L35" s="269"/>
      <c r="M35" s="268"/>
      <c r="N35" s="268"/>
      <c r="O35" s="268"/>
      <c r="P35" s="268"/>
      <c r="Q35" s="268"/>
      <c r="R35" s="268">
        <v>230</v>
      </c>
      <c r="S35" s="154">
        <f t="shared" si="0"/>
        <v>230</v>
      </c>
      <c r="T35" s="154">
        <f t="shared" si="1"/>
        <v>0</v>
      </c>
      <c r="U35" s="152">
        <f>IF(J35=0,(S35+T35/EERR!$D$2/1.19),(S35+T35/EERR!$D$2/1.19)/J35)</f>
        <v>230</v>
      </c>
      <c r="V35" s="154">
        <f>T35+S35*EERR!$D$2</f>
        <v>156857.70000000001</v>
      </c>
      <c r="W35" s="149">
        <f ca="1">SUMIF(Siteminder!$A$5:$K$153,Dic!G35,Siteminder!$O$5:$O$153)</f>
        <v>1</v>
      </c>
      <c r="X35" s="278">
        <f>SUMIF(Transbank!$A$2:$A$486,B35,Transbank!$L$2:$L$486)+SUMIF(Transbank!$A$2:$A$486,C35,Transbank!$L$2:$L$486)+SUMIF(Transbank!$A$2:$A$486,D35,Transbank!$L$2:$L$486)+(K35+O35)+(L35+P35)*EERR!$D$2</f>
        <v>155850.30000000002</v>
      </c>
      <c r="Y35" s="278">
        <f>X35/EERR!$D$2</f>
        <v>228.52285224123523</v>
      </c>
      <c r="Z35" s="292">
        <f t="shared" si="2"/>
        <v>-1007.3999999999942</v>
      </c>
    </row>
    <row r="36" spans="1:26" s="149" customFormat="1" ht="15" customHeight="1" x14ac:dyDescent="0.3">
      <c r="A36" s="265">
        <v>3614</v>
      </c>
      <c r="B36" s="318">
        <v>603</v>
      </c>
      <c r="C36" s="318">
        <v>737</v>
      </c>
      <c r="D36" s="318"/>
      <c r="E36" s="266" t="s">
        <v>859</v>
      </c>
      <c r="F36" s="266" t="s">
        <v>254</v>
      </c>
      <c r="G36" s="266">
        <v>1516374841</v>
      </c>
      <c r="H36" s="267">
        <v>43461</v>
      </c>
      <c r="I36" s="267">
        <v>43464</v>
      </c>
      <c r="J36" s="266">
        <v>3</v>
      </c>
      <c r="K36" s="268"/>
      <c r="L36" s="269"/>
      <c r="M36" s="268"/>
      <c r="N36" s="268">
        <v>460</v>
      </c>
      <c r="O36" s="268"/>
      <c r="P36" s="268"/>
      <c r="Q36" s="268"/>
      <c r="R36" s="268">
        <v>205</v>
      </c>
      <c r="S36" s="154">
        <f t="shared" si="0"/>
        <v>665</v>
      </c>
      <c r="T36" s="154">
        <f t="shared" si="1"/>
        <v>0</v>
      </c>
      <c r="U36" s="152">
        <f>IF(J36=0,(S36+T36/EERR!$D$2/1.19),(S36+T36/EERR!$D$2/1.19)/J36)</f>
        <v>221.66666666666666</v>
      </c>
      <c r="V36" s="154">
        <f>T36+S36*EERR!$D$2</f>
        <v>453523.35000000003</v>
      </c>
      <c r="W36" s="149">
        <f ca="1">SUMIF(Siteminder!$A$5:$K$153,Dic!G36,Siteminder!$O$5:$O$153)</f>
        <v>3</v>
      </c>
      <c r="X36" s="278">
        <f>SUMIF(Transbank!$A$2:$A$486,B36,Transbank!$L$2:$L$486)+SUMIF(Transbank!$A$2:$A$486,C36,Transbank!$L$2:$L$486)+SUMIF(Transbank!$A$2:$A$486,D36,Transbank!$L$2:$L$486)+(K36+O36)+(L36+P36)*EERR!$D$2</f>
        <v>452625.45</v>
      </c>
      <c r="Y36" s="278">
        <f>X36/EERR!$D$2</f>
        <v>663.68341178023138</v>
      </c>
      <c r="Z36" s="292">
        <f t="shared" si="2"/>
        <v>-897.90000000002328</v>
      </c>
    </row>
    <row r="37" spans="1:26" s="149" customFormat="1" ht="15" customHeight="1" x14ac:dyDescent="0.3">
      <c r="A37" s="265">
        <v>3615</v>
      </c>
      <c r="B37" s="318">
        <v>617</v>
      </c>
      <c r="C37" s="318">
        <v>738</v>
      </c>
      <c r="D37" s="318"/>
      <c r="E37" s="266" t="s">
        <v>860</v>
      </c>
      <c r="F37" s="266" t="s">
        <v>254</v>
      </c>
      <c r="G37" s="266">
        <v>1099489016</v>
      </c>
      <c r="H37" s="267">
        <v>43461</v>
      </c>
      <c r="I37" s="267">
        <v>43470</v>
      </c>
      <c r="J37" s="266">
        <v>9</v>
      </c>
      <c r="K37" s="268"/>
      <c r="L37" s="269">
        <v>1700</v>
      </c>
      <c r="M37" s="268"/>
      <c r="N37" s="268">
        <v>75</v>
      </c>
      <c r="O37" s="268"/>
      <c r="P37" s="268"/>
      <c r="Q37" s="268"/>
      <c r="R37" s="268">
        <v>205</v>
      </c>
      <c r="S37" s="154">
        <f t="shared" si="0"/>
        <v>1980</v>
      </c>
      <c r="T37" s="154">
        <f t="shared" si="1"/>
        <v>0</v>
      </c>
      <c r="U37" s="152">
        <f>IF(J37=0,(S37+T37/EERR!$D$2/1.19),(S37+T37/EERR!$D$2/1.19)/J37)</f>
        <v>220</v>
      </c>
      <c r="V37" s="154">
        <f>T37+S37*EERR!$D$2</f>
        <v>1350340.2</v>
      </c>
      <c r="W37" s="149">
        <f ca="1">SUMIF(Siteminder!$A$5:$K$153,Dic!G37,Siteminder!$O$5:$O$153)</f>
        <v>9</v>
      </c>
      <c r="X37" s="278">
        <f>SUMIF(Transbank!$A$2:$A$486,B37,Transbank!$L$2:$L$486)+SUMIF(Transbank!$A$2:$A$486,C37,Transbank!$L$2:$L$486)+SUMIF(Transbank!$A$2:$A$486,D37,Transbank!$L$2:$L$486)+(K37+O37)+(L37+P37)*EERR!$D$2</f>
        <v>1349442.3</v>
      </c>
      <c r="Y37" s="278">
        <f>X37/EERR!$D$2</f>
        <v>1978.6834117802314</v>
      </c>
      <c r="Z37" s="292">
        <f t="shared" si="2"/>
        <v>-897.89999999990687</v>
      </c>
    </row>
    <row r="38" spans="1:26" s="149" customFormat="1" ht="15" customHeight="1" x14ac:dyDescent="0.3">
      <c r="A38" s="265">
        <v>3616</v>
      </c>
      <c r="B38" s="318">
        <v>601</v>
      </c>
      <c r="C38" s="318"/>
      <c r="D38" s="318"/>
      <c r="E38" s="266" t="s">
        <v>861</v>
      </c>
      <c r="F38" s="266" t="s">
        <v>254</v>
      </c>
      <c r="G38" s="266">
        <v>1249181755</v>
      </c>
      <c r="H38" s="267">
        <v>43461</v>
      </c>
      <c r="I38" s="267">
        <v>43462</v>
      </c>
      <c r="J38" s="266">
        <v>1</v>
      </c>
      <c r="K38" s="268"/>
      <c r="L38" s="269"/>
      <c r="M38" s="268"/>
      <c r="N38" s="268"/>
      <c r="O38" s="268"/>
      <c r="P38" s="268"/>
      <c r="Q38" s="268"/>
      <c r="R38" s="268">
        <v>230</v>
      </c>
      <c r="S38" s="154">
        <f t="shared" si="0"/>
        <v>230</v>
      </c>
      <c r="T38" s="154">
        <f t="shared" si="1"/>
        <v>0</v>
      </c>
      <c r="U38" s="152">
        <f>IF(J38=0,(S38+T38/EERR!$D$2/1.19),(S38+T38/EERR!$D$2/1.19)/J38)</f>
        <v>230</v>
      </c>
      <c r="V38" s="154">
        <f>T38+S38*EERR!$D$2</f>
        <v>156857.70000000001</v>
      </c>
      <c r="W38" s="149">
        <f ca="1">SUMIF(Siteminder!$A$5:$K$153,Dic!G38,Siteminder!$O$5:$O$153)</f>
        <v>1</v>
      </c>
      <c r="X38" s="278">
        <f>SUMIF(Transbank!$A$2:$A$486,B38,Transbank!$L$2:$L$486)+SUMIF(Transbank!$A$2:$A$486,C38,Transbank!$L$2:$L$486)+SUMIF(Transbank!$A$2:$A$486,D38,Transbank!$L$2:$L$486)+(K38+O38)+(L38+P38)*EERR!$D$2</f>
        <v>155850.30000000002</v>
      </c>
      <c r="Y38" s="278">
        <f>X38/EERR!$D$2</f>
        <v>228.52285224123523</v>
      </c>
      <c r="Z38" s="292">
        <f t="shared" si="2"/>
        <v>-1007.3999999999942</v>
      </c>
    </row>
    <row r="39" spans="1:26" s="149" customFormat="1" ht="15" customHeight="1" x14ac:dyDescent="0.3">
      <c r="A39" s="265">
        <v>3617</v>
      </c>
      <c r="B39" s="318">
        <v>606</v>
      </c>
      <c r="C39" s="318"/>
      <c r="D39" s="318"/>
      <c r="E39" s="266" t="s">
        <v>862</v>
      </c>
      <c r="F39" s="266" t="s">
        <v>254</v>
      </c>
      <c r="G39" s="266">
        <v>1343723474</v>
      </c>
      <c r="H39" s="267">
        <v>43462</v>
      </c>
      <c r="I39" s="267">
        <v>43463</v>
      </c>
      <c r="J39" s="266">
        <v>1</v>
      </c>
      <c r="K39" s="268"/>
      <c r="L39" s="269"/>
      <c r="M39" s="268"/>
      <c r="N39" s="268"/>
      <c r="O39" s="268"/>
      <c r="P39" s="268"/>
      <c r="Q39" s="268"/>
      <c r="R39" s="268">
        <v>230</v>
      </c>
      <c r="S39" s="154">
        <f t="shared" si="0"/>
        <v>230</v>
      </c>
      <c r="T39" s="154">
        <f t="shared" si="1"/>
        <v>0</v>
      </c>
      <c r="U39" s="152">
        <f>IF(J39=0,(S39+T39/EERR!$D$2/1.19),(S39+T39/EERR!$D$2/1.19)/J39)</f>
        <v>230</v>
      </c>
      <c r="V39" s="154">
        <f>T39+S39*EERR!$D$2</f>
        <v>156857.70000000001</v>
      </c>
      <c r="W39" s="149">
        <f ca="1">SUMIF(Siteminder!$A$5:$K$153,Dic!G39,Siteminder!$O$5:$O$153)</f>
        <v>1</v>
      </c>
      <c r="X39" s="278">
        <f>SUMIF(Transbank!$A$2:$A$486,B39,Transbank!$L$2:$L$486)+SUMIF(Transbank!$A$2:$A$486,C39,Transbank!$L$2:$L$486)+SUMIF(Transbank!$A$2:$A$486,D39,Transbank!$L$2:$L$486)+(K39+O39)+(L39+P39)*EERR!$D$2</f>
        <v>155850.30000000002</v>
      </c>
      <c r="Y39" s="278">
        <f>X39/EERR!$D$2</f>
        <v>228.52285224123523</v>
      </c>
      <c r="Z39" s="292">
        <f t="shared" si="2"/>
        <v>-1007.3999999999942</v>
      </c>
    </row>
    <row r="40" spans="1:26" s="149" customFormat="1" ht="15" customHeight="1" x14ac:dyDescent="0.3">
      <c r="A40" s="265" t="s">
        <v>863</v>
      </c>
      <c r="B40" s="318">
        <v>663</v>
      </c>
      <c r="C40" s="318"/>
      <c r="D40" s="318"/>
      <c r="E40" s="266" t="s">
        <v>864</v>
      </c>
      <c r="F40" s="266" t="s">
        <v>254</v>
      </c>
      <c r="G40" s="266">
        <v>1434404030</v>
      </c>
      <c r="H40" s="267">
        <v>43462</v>
      </c>
      <c r="I40" s="267">
        <v>43463</v>
      </c>
      <c r="J40" s="266">
        <v>1</v>
      </c>
      <c r="K40" s="268"/>
      <c r="L40" s="269"/>
      <c r="M40" s="268"/>
      <c r="N40" s="268"/>
      <c r="O40" s="268"/>
      <c r="P40" s="268"/>
      <c r="Q40" s="268"/>
      <c r="R40" s="268">
        <v>230</v>
      </c>
      <c r="S40" s="154">
        <f t="shared" si="0"/>
        <v>230</v>
      </c>
      <c r="T40" s="154">
        <f t="shared" si="1"/>
        <v>0</v>
      </c>
      <c r="U40" s="152">
        <f>IF(J40=0,(S40+T40/EERR!$D$2/1.19),(S40+T40/EERR!$D$2/1.19)/J40)</f>
        <v>230</v>
      </c>
      <c r="V40" s="154">
        <f>T40+S40*EERR!$D$2</f>
        <v>156857.70000000001</v>
      </c>
      <c r="W40" s="149">
        <f ca="1">SUMIF(Siteminder!$A$5:$K$153,Dic!G40,Siteminder!$O$5:$O$153)</f>
        <v>0</v>
      </c>
      <c r="X40" s="278">
        <f>SUMIF(Transbank!$A$2:$A$486,B40,Transbank!$L$2:$L$486)+SUMIF(Transbank!$A$2:$A$486,C40,Transbank!$L$2:$L$486)+SUMIF(Transbank!$A$2:$A$486,D40,Transbank!$L$2:$L$486)+(K40+O40)+(L40+P40)*EERR!$D$2</f>
        <v>156857.70000000001</v>
      </c>
      <c r="Y40" s="278">
        <f>X40/EERR!$D$2</f>
        <v>230</v>
      </c>
      <c r="Z40" s="292">
        <f t="shared" si="2"/>
        <v>0</v>
      </c>
    </row>
    <row r="41" spans="1:26" s="149" customFormat="1" ht="15" customHeight="1" x14ac:dyDescent="0.3">
      <c r="A41" s="265">
        <v>55117</v>
      </c>
      <c r="B41" s="318">
        <v>609</v>
      </c>
      <c r="C41" s="318">
        <v>739</v>
      </c>
      <c r="D41" s="318"/>
      <c r="E41" s="266" t="s">
        <v>865</v>
      </c>
      <c r="F41" s="266" t="s">
        <v>254</v>
      </c>
      <c r="G41" s="266">
        <v>1471755117</v>
      </c>
      <c r="H41" s="267">
        <v>43462</v>
      </c>
      <c r="I41" s="267">
        <v>43466</v>
      </c>
      <c r="J41" s="266">
        <v>4</v>
      </c>
      <c r="K41" s="268"/>
      <c r="L41" s="269"/>
      <c r="M41" s="268">
        <v>569843</v>
      </c>
      <c r="N41" s="268"/>
      <c r="O41" s="268"/>
      <c r="P41" s="268"/>
      <c r="Q41" s="268">
        <v>183105</v>
      </c>
      <c r="R41" s="268"/>
      <c r="S41" s="154">
        <f t="shared" si="0"/>
        <v>0</v>
      </c>
      <c r="T41" s="154">
        <f t="shared" si="1"/>
        <v>752948</v>
      </c>
      <c r="U41" s="152">
        <f>IF(J41=0,(S41+T41/EERR!$D$2/1.19),(S41+T41/EERR!$D$2/1.19)/J41)</f>
        <v>231.94233484534448</v>
      </c>
      <c r="V41" s="154">
        <f>T41+S41*EERR!$D$2</f>
        <v>752948</v>
      </c>
      <c r="W41" s="149">
        <f ca="1">SUMIF(Siteminder!$A$5:$K$153,Dic!G41,Siteminder!$O$5:$O$153)</f>
        <v>4</v>
      </c>
      <c r="X41" s="278">
        <f>SUMIF(Transbank!$A$2:$A$486,B41,Transbank!$L$2:$L$486)+SUMIF(Transbank!$A$2:$A$486,C41,Transbank!$L$2:$L$486)+SUMIF(Transbank!$A$2:$A$486,D41,Transbank!$L$2:$L$486)+(K41+O41)+(L41+P41)*EERR!$D$2</f>
        <v>752948</v>
      </c>
      <c r="Y41" s="278">
        <f>X41/EERR!$D$2</f>
        <v>1104.0455138638397</v>
      </c>
      <c r="Z41" s="292">
        <f t="shared" si="2"/>
        <v>0</v>
      </c>
    </row>
    <row r="42" spans="1:26" s="149" customFormat="1" ht="15" customHeight="1" x14ac:dyDescent="0.3">
      <c r="A42" s="265">
        <v>3621</v>
      </c>
      <c r="B42" s="318">
        <v>608</v>
      </c>
      <c r="C42" s="318">
        <v>746</v>
      </c>
      <c r="D42" s="318"/>
      <c r="E42" s="266" t="s">
        <v>866</v>
      </c>
      <c r="F42" s="266" t="s">
        <v>254</v>
      </c>
      <c r="G42" s="266">
        <v>1649246928</v>
      </c>
      <c r="H42" s="267">
        <v>43463</v>
      </c>
      <c r="I42" s="267">
        <v>43466</v>
      </c>
      <c r="J42" s="266">
        <v>3</v>
      </c>
      <c r="K42" s="268"/>
      <c r="L42" s="269"/>
      <c r="M42" s="268"/>
      <c r="N42" s="268">
        <v>460</v>
      </c>
      <c r="O42" s="268"/>
      <c r="P42" s="268"/>
      <c r="Q42" s="268"/>
      <c r="R42" s="268">
        <v>230</v>
      </c>
      <c r="S42" s="154">
        <f t="shared" si="0"/>
        <v>690</v>
      </c>
      <c r="T42" s="154">
        <f t="shared" si="1"/>
        <v>0</v>
      </c>
      <c r="U42" s="152">
        <f>IF(J42=0,(S42+T42/EERR!$D$2/1.19),(S42+T42/EERR!$D$2/1.19)/J42)</f>
        <v>230</v>
      </c>
      <c r="V42" s="154">
        <f>T42+S42*EERR!$D$2</f>
        <v>470573.10000000003</v>
      </c>
      <c r="W42" s="149">
        <f ca="1">SUMIF(Siteminder!$A$5:$K$153,Dic!G42,Siteminder!$O$5:$O$153)</f>
        <v>3</v>
      </c>
      <c r="X42" s="278">
        <f>SUMIF(Transbank!$A$2:$A$486,B42,Transbank!$L$2:$L$486)+SUMIF(Transbank!$A$2:$A$486,C42,Transbank!$L$2:$L$486)+SUMIF(Transbank!$A$2:$A$486,D42,Transbank!$L$2:$L$486)+(K42+O42)+(L42+P42)*EERR!$D$2</f>
        <v>469565.70000000007</v>
      </c>
      <c r="Y42" s="278">
        <f>X42/EERR!$D$2</f>
        <v>688.52285224123534</v>
      </c>
      <c r="Z42" s="292">
        <f t="shared" si="2"/>
        <v>-1007.3999999999651</v>
      </c>
    </row>
    <row r="43" spans="1:26" s="149" customFormat="1" ht="15" customHeight="1" x14ac:dyDescent="0.3">
      <c r="A43" s="265">
        <v>3622</v>
      </c>
      <c r="B43" s="318">
        <v>607</v>
      </c>
      <c r="C43" s="318">
        <v>748</v>
      </c>
      <c r="D43" s="318"/>
      <c r="E43" s="266" t="s">
        <v>867</v>
      </c>
      <c r="F43" s="266" t="s">
        <v>254</v>
      </c>
      <c r="G43" s="266">
        <v>1110475417</v>
      </c>
      <c r="H43" s="267">
        <v>43463</v>
      </c>
      <c r="I43" s="267">
        <v>43466</v>
      </c>
      <c r="J43" s="266">
        <v>3</v>
      </c>
      <c r="K43" s="268"/>
      <c r="L43" s="269"/>
      <c r="M43" s="268"/>
      <c r="N43" s="268">
        <v>460</v>
      </c>
      <c r="O43" s="268"/>
      <c r="P43" s="268"/>
      <c r="Q43" s="268"/>
      <c r="R43" s="268">
        <v>230</v>
      </c>
      <c r="S43" s="154">
        <f t="shared" si="0"/>
        <v>690</v>
      </c>
      <c r="T43" s="154">
        <f t="shared" si="1"/>
        <v>0</v>
      </c>
      <c r="U43" s="152">
        <f>IF(J43=0,(S43+T43/EERR!$D$2/1.19),(S43+T43/EERR!$D$2/1.19)/J43)</f>
        <v>230</v>
      </c>
      <c r="V43" s="154">
        <f>T43+S43*EERR!$D$2</f>
        <v>470573.10000000003</v>
      </c>
      <c r="W43" s="149">
        <f ca="1">SUMIF(Siteminder!$A$5:$K$153,Dic!G43,Siteminder!$O$5:$O$153)</f>
        <v>3</v>
      </c>
      <c r="X43" s="278">
        <f>SUMIF(Transbank!$A$2:$A$486,B43,Transbank!$L$2:$L$486)+SUMIF(Transbank!$A$2:$A$486,C43,Transbank!$L$2:$L$486)+SUMIF(Transbank!$A$2:$A$486,D43,Transbank!$L$2:$L$486)+(K43+O43)+(L43+P43)*EERR!$D$2</f>
        <v>469565.70000000007</v>
      </c>
      <c r="Y43" s="278">
        <f>X43/EERR!$D$2</f>
        <v>688.52285224123534</v>
      </c>
      <c r="Z43" s="292">
        <f t="shared" si="2"/>
        <v>-1007.3999999999651</v>
      </c>
    </row>
    <row r="44" spans="1:26" s="149" customFormat="1" ht="15" customHeight="1" x14ac:dyDescent="0.3">
      <c r="A44" s="265">
        <v>3623</v>
      </c>
      <c r="B44" s="318">
        <v>605</v>
      </c>
      <c r="C44" s="318">
        <v>751</v>
      </c>
      <c r="D44" s="318"/>
      <c r="E44" s="266" t="s">
        <v>868</v>
      </c>
      <c r="F44" s="266" t="s">
        <v>254</v>
      </c>
      <c r="G44" s="266">
        <v>1490951769</v>
      </c>
      <c r="H44" s="267">
        <v>43463</v>
      </c>
      <c r="I44" s="267">
        <v>43467</v>
      </c>
      <c r="J44" s="266">
        <v>4</v>
      </c>
      <c r="K44" s="268"/>
      <c r="L44" s="269"/>
      <c r="M44" s="268"/>
      <c r="N44" s="268">
        <v>690</v>
      </c>
      <c r="O44" s="268"/>
      <c r="P44" s="268"/>
      <c r="Q44" s="268"/>
      <c r="R44" s="268">
        <v>230</v>
      </c>
      <c r="S44" s="154">
        <f t="shared" si="0"/>
        <v>920</v>
      </c>
      <c r="T44" s="154">
        <f t="shared" si="1"/>
        <v>0</v>
      </c>
      <c r="U44" s="152">
        <f>IF(J44=0,(S44+T44/EERR!$D$2/1.19),(S44+T44/EERR!$D$2/1.19)/J44)</f>
        <v>230</v>
      </c>
      <c r="V44" s="154">
        <f>T44+S44*EERR!$D$2</f>
        <v>627430.80000000005</v>
      </c>
      <c r="W44" s="149">
        <f ca="1">SUMIF(Siteminder!$A$5:$K$153,Dic!G44,Siteminder!$O$5:$O$153)</f>
        <v>4</v>
      </c>
      <c r="X44" s="278">
        <f>SUMIF(Transbank!$A$2:$A$486,B44,Transbank!$L$2:$L$486)+SUMIF(Transbank!$A$2:$A$486,C44,Transbank!$L$2:$L$486)+SUMIF(Transbank!$A$2:$A$486,D44,Transbank!$L$2:$L$486)+(K44+O44)+(L44+P44)*EERR!$D$2</f>
        <v>626423.4</v>
      </c>
      <c r="Y44" s="278">
        <f>X44/EERR!$D$2</f>
        <v>918.52285224123523</v>
      </c>
      <c r="Z44" s="292">
        <f t="shared" si="2"/>
        <v>-1007.4000000000233</v>
      </c>
    </row>
    <row r="45" spans="1:26" s="149" customFormat="1" ht="15" customHeight="1" x14ac:dyDescent="0.3">
      <c r="A45" s="265">
        <v>3627</v>
      </c>
      <c r="B45" s="318">
        <v>635</v>
      </c>
      <c r="C45" s="318"/>
      <c r="D45" s="318"/>
      <c r="E45" s="266" t="s">
        <v>869</v>
      </c>
      <c r="F45" s="266" t="s">
        <v>254</v>
      </c>
      <c r="G45" s="266">
        <v>1033390795</v>
      </c>
      <c r="H45" s="267">
        <v>43465</v>
      </c>
      <c r="I45" s="267">
        <v>43471</v>
      </c>
      <c r="J45" s="266">
        <v>6</v>
      </c>
      <c r="K45" s="268"/>
      <c r="L45" s="269">
        <v>1100</v>
      </c>
      <c r="M45" s="313"/>
      <c r="N45" s="313"/>
      <c r="O45" s="313"/>
      <c r="P45" s="313"/>
      <c r="Q45" s="313"/>
      <c r="R45" s="313">
        <v>230</v>
      </c>
      <c r="S45" s="154">
        <f t="shared" si="0"/>
        <v>1330</v>
      </c>
      <c r="T45" s="154">
        <f t="shared" si="1"/>
        <v>0</v>
      </c>
      <c r="U45" s="152">
        <f>IF(J45=0,(S45+T45/EERR!$D$2/1.19),(S45+T45/EERR!$D$2/1.19)/J45)</f>
        <v>221.66666666666666</v>
      </c>
      <c r="V45" s="154">
        <f>T45+S45*EERR!$D$2</f>
        <v>907046.70000000007</v>
      </c>
      <c r="W45" s="149">
        <f ca="1">SUMIF(Siteminder!$A$5:$K$153,Dic!G45,Siteminder!$O$5:$O$153)</f>
        <v>6</v>
      </c>
      <c r="X45" s="278">
        <f>SUMIF(Transbank!$A$2:$A$486,B45,Transbank!$L$2:$L$486)+SUMIF(Transbank!$A$2:$A$486,C45,Transbank!$L$2:$L$486)+SUMIF(Transbank!$A$2:$A$486,D45,Transbank!$L$2:$L$486)+(K45+O45)+(L45+P45)*EERR!$D$2</f>
        <v>907046.7</v>
      </c>
      <c r="Y45" s="278">
        <f>X45/EERR!$D$2</f>
        <v>1330</v>
      </c>
      <c r="Z45" s="292">
        <f t="shared" si="2"/>
        <v>0</v>
      </c>
    </row>
    <row r="46" spans="1:26" s="149" customFormat="1" ht="15" customHeight="1" x14ac:dyDescent="0.3">
      <c r="A46" s="265">
        <v>3628</v>
      </c>
      <c r="B46" s="318">
        <v>756</v>
      </c>
      <c r="C46" s="318">
        <v>631</v>
      </c>
      <c r="D46" s="318"/>
      <c r="E46" s="266" t="s">
        <v>870</v>
      </c>
      <c r="F46" s="266" t="s">
        <v>254</v>
      </c>
      <c r="G46" s="266">
        <v>1927750444</v>
      </c>
      <c r="H46" s="267">
        <v>43465</v>
      </c>
      <c r="I46" s="267">
        <v>43467</v>
      </c>
      <c r="J46" s="266">
        <v>2</v>
      </c>
      <c r="K46" s="268"/>
      <c r="L46" s="269"/>
      <c r="M46" s="313"/>
      <c r="N46" s="313">
        <v>230</v>
      </c>
      <c r="O46" s="313"/>
      <c r="P46" s="313"/>
      <c r="Q46" s="313"/>
      <c r="R46" s="313">
        <v>230</v>
      </c>
      <c r="S46" s="154">
        <f t="shared" si="0"/>
        <v>460</v>
      </c>
      <c r="T46" s="154">
        <f t="shared" si="1"/>
        <v>0</v>
      </c>
      <c r="U46" s="152">
        <f>IF(J46=0,(S46+T46/EERR!$D$2/1.19),(S46+T46/EERR!$D$2/1.19)/J46)</f>
        <v>230</v>
      </c>
      <c r="V46" s="154">
        <f>T46+S46*EERR!$D$2</f>
        <v>313715.40000000002</v>
      </c>
      <c r="W46" s="149">
        <f ca="1">SUMIF(Siteminder!$A$5:$K$153,Dic!G46,Siteminder!$O$5:$O$153)</f>
        <v>2</v>
      </c>
      <c r="X46" s="278">
        <f>SUMIF(Transbank!$A$2:$A$486,B46,Transbank!$L$2:$L$486)+SUMIF(Transbank!$A$2:$A$486,C46,Transbank!$L$2:$L$486)+SUMIF(Transbank!$A$2:$A$486,D46,Transbank!$L$2:$L$486)+(K46+O46)+(L46+P46)*EERR!$D$2</f>
        <v>313715.40000000002</v>
      </c>
      <c r="Y46" s="278">
        <f>X46/EERR!$D$2</f>
        <v>460</v>
      </c>
      <c r="Z46" s="292">
        <f t="shared" si="2"/>
        <v>0</v>
      </c>
    </row>
    <row r="47" spans="1:26" s="149" customFormat="1" ht="15" customHeight="1" x14ac:dyDescent="0.3">
      <c r="A47" s="265">
        <v>3629</v>
      </c>
      <c r="B47" s="318">
        <v>636</v>
      </c>
      <c r="C47" s="318">
        <v>757</v>
      </c>
      <c r="D47" s="318"/>
      <c r="E47" s="266" t="s">
        <v>871</v>
      </c>
      <c r="F47" s="266" t="s">
        <v>254</v>
      </c>
      <c r="G47" s="266">
        <v>1842826080</v>
      </c>
      <c r="H47" s="267">
        <v>43465</v>
      </c>
      <c r="I47" s="267">
        <v>43469</v>
      </c>
      <c r="J47" s="266">
        <v>4</v>
      </c>
      <c r="K47" s="268"/>
      <c r="L47" s="269"/>
      <c r="M47" s="313"/>
      <c r="N47" s="313">
        <v>621</v>
      </c>
      <c r="O47" s="313"/>
      <c r="P47" s="313"/>
      <c r="Q47" s="313"/>
      <c r="R47" s="313">
        <v>207</v>
      </c>
      <c r="S47" s="154">
        <f t="shared" si="0"/>
        <v>828</v>
      </c>
      <c r="T47" s="154">
        <f t="shared" si="1"/>
        <v>0</v>
      </c>
      <c r="U47" s="152">
        <f>IF(J47=0,(S47+T47/EERR!$D$2/1.19),(S47+T47/EERR!$D$2/1.19)/J47)</f>
        <v>207</v>
      </c>
      <c r="V47" s="154">
        <f>T47+S47*EERR!$D$2</f>
        <v>564687.72</v>
      </c>
      <c r="W47" s="149">
        <f ca="1">SUMIF(Siteminder!$A$5:$K$153,Dic!G47,Siteminder!$O$5:$O$153)</f>
        <v>4</v>
      </c>
      <c r="X47" s="278">
        <f>SUMIF(Transbank!$A$2:$A$486,B47,Transbank!$L$2:$L$486)+SUMIF(Transbank!$A$2:$A$486,C47,Transbank!$L$2:$L$486)+SUMIF(Transbank!$A$2:$A$486,D47,Transbank!$L$2:$L$486)+(K47+O47)+(L47+P47)*EERR!$D$2</f>
        <v>564687.72</v>
      </c>
      <c r="Y47" s="278">
        <f>X47/EERR!$D$2</f>
        <v>828</v>
      </c>
      <c r="Z47" s="292">
        <f t="shared" si="2"/>
        <v>0</v>
      </c>
    </row>
    <row r="48" spans="1:26" s="149" customFormat="1" ht="15" customHeight="1" x14ac:dyDescent="0.3">
      <c r="A48" s="265">
        <v>3630</v>
      </c>
      <c r="B48" s="318">
        <v>652</v>
      </c>
      <c r="C48" s="318">
        <v>758</v>
      </c>
      <c r="D48" s="318"/>
      <c r="E48" s="266" t="s">
        <v>872</v>
      </c>
      <c r="F48" s="266" t="s">
        <v>254</v>
      </c>
      <c r="G48" s="266">
        <v>1023159049</v>
      </c>
      <c r="H48" s="267">
        <v>43465</v>
      </c>
      <c r="I48" s="267">
        <v>43468</v>
      </c>
      <c r="J48" s="266">
        <v>3</v>
      </c>
      <c r="K48" s="268"/>
      <c r="L48" s="269"/>
      <c r="M48" s="313"/>
      <c r="N48" s="313">
        <v>435</v>
      </c>
      <c r="O48" s="313"/>
      <c r="P48" s="313"/>
      <c r="Q48" s="313"/>
      <c r="R48" s="313">
        <v>230</v>
      </c>
      <c r="S48" s="154">
        <f t="shared" si="0"/>
        <v>665</v>
      </c>
      <c r="T48" s="154">
        <f t="shared" si="1"/>
        <v>0</v>
      </c>
      <c r="U48" s="152">
        <f>IF(J48=0,(S48+T48/EERR!$D$2/1.19),(S48+T48/EERR!$D$2/1.19)/J48)</f>
        <v>221.66666666666666</v>
      </c>
      <c r="V48" s="154">
        <f>T48+S48*EERR!$D$2</f>
        <v>453523.35000000003</v>
      </c>
      <c r="W48" s="149">
        <f ca="1">SUMIF(Siteminder!$A$5:$K$153,Dic!G48,Siteminder!$O$5:$O$153)</f>
        <v>3</v>
      </c>
      <c r="X48" s="278">
        <f>SUMIF(Transbank!$A$2:$A$486,B48,Transbank!$L$2:$L$486)+SUMIF(Transbank!$A$2:$A$486,C48,Transbank!$L$2:$L$486)+SUMIF(Transbank!$A$2:$A$486,D48,Transbank!$L$2:$L$486)+(K48+O48)+(L48+P48)*EERR!$D$2</f>
        <v>453523.35000000003</v>
      </c>
      <c r="Y48" s="278">
        <f>X48/EERR!$D$2</f>
        <v>665</v>
      </c>
      <c r="Z48" s="292">
        <f t="shared" si="2"/>
        <v>0</v>
      </c>
    </row>
    <row r="49" spans="1:26" s="149" customFormat="1" ht="15" customHeight="1" x14ac:dyDescent="0.3">
      <c r="A49" s="323">
        <v>3611</v>
      </c>
      <c r="B49" s="324">
        <v>598</v>
      </c>
      <c r="C49" s="324">
        <v>733</v>
      </c>
      <c r="D49" s="324"/>
      <c r="E49" s="325" t="s">
        <v>862</v>
      </c>
      <c r="F49" s="325" t="s">
        <v>254</v>
      </c>
      <c r="G49" s="325">
        <v>1385359656</v>
      </c>
      <c r="H49" s="326">
        <v>43460</v>
      </c>
      <c r="I49" s="326">
        <v>43462</v>
      </c>
      <c r="J49" s="266">
        <v>2</v>
      </c>
      <c r="K49" s="268"/>
      <c r="L49" s="269"/>
      <c r="M49" s="313"/>
      <c r="N49" s="313">
        <v>205</v>
      </c>
      <c r="O49" s="313"/>
      <c r="P49" s="313"/>
      <c r="Q49" s="313"/>
      <c r="R49" s="313">
        <v>205</v>
      </c>
      <c r="S49" s="154">
        <f t="shared" si="0"/>
        <v>410</v>
      </c>
      <c r="T49" s="154">
        <f t="shared" si="1"/>
        <v>0</v>
      </c>
      <c r="U49" s="152">
        <f>IF(J49=0,(S49+T49/EERR!$D$2/1.19),(S49+T49/EERR!$D$2/1.19)/J49)</f>
        <v>205</v>
      </c>
      <c r="V49" s="154">
        <f>T49+S49*EERR!$D$2</f>
        <v>279615.90000000002</v>
      </c>
      <c r="W49" s="149">
        <f ca="1">SUMIF(Siteminder!$A$5:$K$153,Dic!G49,Siteminder!$O$5:$O$153)</f>
        <v>2</v>
      </c>
      <c r="X49" s="278">
        <f>SUMIF(Transbank!$A$2:$A$486,B49,Transbank!$L$2:$L$486)+SUMIF(Transbank!$A$2:$A$486,C49,Transbank!$L$2:$L$486)+SUMIF(Transbank!$A$2:$A$486,D49,Transbank!$L$2:$L$486)+(K49+O49)+(L49+P49)*EERR!$D$2</f>
        <v>278718</v>
      </c>
      <c r="Y49" s="278">
        <f>X49/EERR!$D$2</f>
        <v>408.68341178023138</v>
      </c>
      <c r="Z49" s="292">
        <f t="shared" si="2"/>
        <v>-897.90000000002328</v>
      </c>
    </row>
    <row r="50" spans="1:26" s="149" customFormat="1" ht="15" customHeight="1" x14ac:dyDescent="0.3">
      <c r="A50" s="265"/>
      <c r="B50" s="318"/>
      <c r="C50" s="318"/>
      <c r="D50" s="318"/>
      <c r="E50" s="266"/>
      <c r="F50" s="266"/>
      <c r="G50" s="266"/>
      <c r="H50" s="267"/>
      <c r="I50" s="267"/>
      <c r="J50" s="266"/>
      <c r="K50" s="268"/>
      <c r="L50" s="269"/>
      <c r="M50" s="313"/>
      <c r="N50" s="313"/>
      <c r="O50" s="313"/>
      <c r="P50" s="313"/>
      <c r="Q50" s="313"/>
      <c r="R50" s="313"/>
      <c r="S50" s="154">
        <f t="shared" si="0"/>
        <v>0</v>
      </c>
      <c r="T50" s="154">
        <f t="shared" si="1"/>
        <v>0</v>
      </c>
      <c r="U50" s="152">
        <f>IF(J50=0,(S50+T50/EERR!$D$2/1.19),(S50+T50/EERR!$D$2/1.19)/J50)</f>
        <v>0</v>
      </c>
      <c r="V50" s="154">
        <f>T50+S50*EERR!$D$2</f>
        <v>0</v>
      </c>
      <c r="W50" s="149">
        <f ca="1">SUMIF(Siteminder!$A$5:$K$153,Dic!G50,Siteminder!$O$5:$O$153)</f>
        <v>0</v>
      </c>
      <c r="X50" s="278">
        <f>SUMIF(Transbank!$A$2:$A$486,B50,Transbank!$L$2:$L$486)+SUMIF(Transbank!$A$2:$A$486,C50,Transbank!$L$2:$L$486)+SUMIF(Transbank!$A$2:$A$486,D50,Transbank!$L$2:$L$486)+(K50+O50)+(L50+P50)*EERR!$D$2</f>
        <v>0</v>
      </c>
      <c r="Y50" s="278">
        <f>X50/EERR!$D$2</f>
        <v>0</v>
      </c>
      <c r="Z50" s="292">
        <f t="shared" si="2"/>
        <v>0</v>
      </c>
    </row>
    <row r="51" spans="1:26" s="149" customFormat="1" ht="15" customHeight="1" x14ac:dyDescent="0.3">
      <c r="A51" s="265"/>
      <c r="B51" s="318"/>
      <c r="C51" s="318"/>
      <c r="D51" s="318"/>
      <c r="E51" s="266"/>
      <c r="F51" s="266"/>
      <c r="G51" s="266"/>
      <c r="H51" s="267"/>
      <c r="I51" s="267"/>
      <c r="J51" s="266"/>
      <c r="K51" s="268"/>
      <c r="L51" s="269"/>
      <c r="M51" s="313"/>
      <c r="N51" s="313"/>
      <c r="O51" s="313"/>
      <c r="P51" s="313"/>
      <c r="Q51" s="313"/>
      <c r="R51" s="313"/>
      <c r="S51" s="154">
        <f t="shared" si="0"/>
        <v>0</v>
      </c>
      <c r="T51" s="154">
        <f t="shared" si="1"/>
        <v>0</v>
      </c>
      <c r="U51" s="152">
        <f>IF(J51=0,(S51+T51/EERR!$D$2/1.19),(S51+T51/EERR!$D$2/1.19)/J51)</f>
        <v>0</v>
      </c>
      <c r="V51" s="154">
        <f>T51+S51*EERR!$D$2</f>
        <v>0</v>
      </c>
      <c r="W51" s="149">
        <f ca="1">SUMIF(Siteminder!$A$5:$K$153,Dic!G51,Siteminder!$O$5:$O$153)</f>
        <v>0</v>
      </c>
      <c r="X51" s="278">
        <f>SUMIF(Transbank!$A$2:$A$486,B51,Transbank!$L$2:$L$486)+SUMIF(Transbank!$A$2:$A$486,C51,Transbank!$L$2:$L$486)+SUMIF(Transbank!$A$2:$A$486,D51,Transbank!$L$2:$L$486)+(K51+O51)+(L51+P51)*EERR!$D$2</f>
        <v>0</v>
      </c>
      <c r="Y51" s="278">
        <f>X51/EERR!$D$2</f>
        <v>0</v>
      </c>
      <c r="Z51" s="292">
        <f t="shared" si="2"/>
        <v>0</v>
      </c>
    </row>
    <row r="52" spans="1:26" s="149" customFormat="1" ht="15" customHeight="1" x14ac:dyDescent="0.3">
      <c r="A52" s="265"/>
      <c r="B52" s="318"/>
      <c r="C52" s="318"/>
      <c r="D52" s="318"/>
      <c r="E52" s="266"/>
      <c r="F52" s="266"/>
      <c r="G52" s="266"/>
      <c r="H52" s="267"/>
      <c r="I52" s="267"/>
      <c r="J52" s="266"/>
      <c r="K52" s="268"/>
      <c r="L52" s="269"/>
      <c r="M52" s="313"/>
      <c r="N52" s="313"/>
      <c r="O52" s="313"/>
      <c r="P52" s="313"/>
      <c r="Q52" s="313"/>
      <c r="R52" s="313"/>
      <c r="S52" s="154">
        <f t="shared" si="0"/>
        <v>0</v>
      </c>
      <c r="T52" s="154">
        <f t="shared" si="1"/>
        <v>0</v>
      </c>
      <c r="U52" s="152">
        <f>IF(J52=0,(S52+T52/EERR!$D$2/1.19),(S52+T52/EERR!$D$2/1.19)/J52)</f>
        <v>0</v>
      </c>
      <c r="V52" s="154">
        <f>T52+S52*EERR!$D$2</f>
        <v>0</v>
      </c>
      <c r="W52" s="149">
        <f ca="1">SUMIF(Siteminder!$A$5:$K$153,Dic!G52,Siteminder!$O$5:$O$153)</f>
        <v>0</v>
      </c>
      <c r="X52" s="278">
        <f>SUMIF(Transbank!$A$2:$A$486,B52,Transbank!$L$2:$L$486)+SUMIF(Transbank!$A$2:$A$486,C52,Transbank!$L$2:$L$486)+SUMIF(Transbank!$A$2:$A$486,D52,Transbank!$L$2:$L$486)+(K52+O52)+(L52+P52)*EERR!$D$2</f>
        <v>0</v>
      </c>
      <c r="Y52" s="278">
        <f>X52/EERR!$D$2</f>
        <v>0</v>
      </c>
      <c r="Z52" s="292">
        <f t="shared" si="2"/>
        <v>0</v>
      </c>
    </row>
    <row r="53" spans="1:26" s="149" customFormat="1" ht="15" customHeight="1" x14ac:dyDescent="0.3">
      <c r="A53" s="265"/>
      <c r="B53" s="318"/>
      <c r="C53" s="318"/>
      <c r="D53" s="318"/>
      <c r="E53" s="266"/>
      <c r="F53" s="266"/>
      <c r="G53" s="266"/>
      <c r="H53" s="267"/>
      <c r="I53" s="267"/>
      <c r="J53" s="266"/>
      <c r="K53" s="268"/>
      <c r="L53" s="269"/>
      <c r="M53" s="313"/>
      <c r="N53" s="313"/>
      <c r="O53" s="313"/>
      <c r="P53" s="313"/>
      <c r="Q53" s="313"/>
      <c r="R53" s="313"/>
      <c r="S53" s="154">
        <f t="shared" si="0"/>
        <v>0</v>
      </c>
      <c r="T53" s="154">
        <f t="shared" si="1"/>
        <v>0</v>
      </c>
      <c r="U53" s="152">
        <f>IF(J53=0,(S53+T53/EERR!$D$2/1.19),(S53+T53/EERR!$D$2/1.19)/J53)</f>
        <v>0</v>
      </c>
      <c r="V53" s="154">
        <f>T53+S53*EERR!$D$2</f>
        <v>0</v>
      </c>
      <c r="W53" s="149">
        <f ca="1">SUMIF(Siteminder!$A$5:$K$153,Dic!G53,Siteminder!$O$5:$O$153)</f>
        <v>0</v>
      </c>
      <c r="X53" s="278">
        <f>SUMIF(Transbank!$A$2:$A$486,B53,Transbank!$L$2:$L$486)+SUMIF(Transbank!$A$2:$A$486,C53,Transbank!$L$2:$L$486)+SUMIF(Transbank!$A$2:$A$486,D53,Transbank!$L$2:$L$486)+(K53+O53)+(L53+P53)*EERR!$D$2</f>
        <v>0</v>
      </c>
      <c r="Y53" s="278">
        <f>X53/EERR!$D$2</f>
        <v>0</v>
      </c>
      <c r="Z53" s="292">
        <f t="shared" si="2"/>
        <v>0</v>
      </c>
    </row>
    <row r="54" spans="1:26" s="149" customFormat="1" ht="15" customHeight="1" x14ac:dyDescent="0.3">
      <c r="A54" s="265"/>
      <c r="B54" s="318"/>
      <c r="C54" s="318"/>
      <c r="D54" s="318"/>
      <c r="E54" s="266"/>
      <c r="F54" s="266"/>
      <c r="G54" s="266"/>
      <c r="H54" s="267"/>
      <c r="I54" s="267"/>
      <c r="J54" s="266"/>
      <c r="K54" s="268"/>
      <c r="L54" s="269"/>
      <c r="M54" s="313"/>
      <c r="N54" s="313"/>
      <c r="O54" s="313"/>
      <c r="P54" s="313"/>
      <c r="Q54" s="313"/>
      <c r="R54" s="313"/>
      <c r="S54" s="154">
        <f t="shared" si="0"/>
        <v>0</v>
      </c>
      <c r="T54" s="154">
        <f t="shared" si="1"/>
        <v>0</v>
      </c>
      <c r="U54" s="152">
        <f>IF(J54=0,(S54+T54/EERR!$D$2/1.19),(S54+T54/EERR!$D$2/1.19)/J54)</f>
        <v>0</v>
      </c>
      <c r="V54" s="154">
        <f>T54+S54*EERR!$D$2</f>
        <v>0</v>
      </c>
      <c r="W54" s="149">
        <f ca="1">SUMIF(Siteminder!$A$5:$K$153,Dic!G54,Siteminder!$O$5:$O$153)</f>
        <v>0</v>
      </c>
      <c r="X54" s="278">
        <f>SUMIF(Transbank!$A$2:$A$486,B54,Transbank!$L$2:$L$486)+SUMIF(Transbank!$A$2:$A$486,C54,Transbank!$L$2:$L$486)+SUMIF(Transbank!$A$2:$A$486,D54,Transbank!$L$2:$L$486)+(K54+O54)+(L54+P54)*EERR!$D$2</f>
        <v>0</v>
      </c>
      <c r="Y54" s="278">
        <f>X54/EERR!$D$2</f>
        <v>0</v>
      </c>
      <c r="Z54" s="292">
        <f t="shared" si="2"/>
        <v>0</v>
      </c>
    </row>
    <row r="55" spans="1:26" s="149" customFormat="1" ht="15" customHeight="1" x14ac:dyDescent="0.3">
      <c r="A55" s="265"/>
      <c r="B55" s="318"/>
      <c r="C55" s="318"/>
      <c r="D55" s="318"/>
      <c r="E55" s="266"/>
      <c r="F55" s="266"/>
      <c r="G55" s="266"/>
      <c r="H55" s="267"/>
      <c r="I55" s="267"/>
      <c r="J55" s="266"/>
      <c r="K55" s="268"/>
      <c r="L55" s="269"/>
      <c r="M55" s="313"/>
      <c r="N55" s="313"/>
      <c r="O55" s="313"/>
      <c r="P55" s="313"/>
      <c r="Q55" s="313"/>
      <c r="R55" s="313"/>
      <c r="S55" s="154">
        <f t="shared" si="0"/>
        <v>0</v>
      </c>
      <c r="T55" s="154">
        <f t="shared" si="1"/>
        <v>0</v>
      </c>
      <c r="U55" s="152">
        <f>IF(J55=0,(S55+T55/EERR!$D$2/1.19),(S55+T55/EERR!$D$2/1.19)/J55)</f>
        <v>0</v>
      </c>
      <c r="V55" s="154">
        <f>T55+S55*EERR!$D$2</f>
        <v>0</v>
      </c>
      <c r="W55" s="149">
        <f ca="1">SUMIF(Siteminder!$A$5:$K$153,Dic!G55,Siteminder!$O$5:$O$153)</f>
        <v>0</v>
      </c>
      <c r="X55" s="278">
        <f>SUMIF(Transbank!$A$2:$A$486,B55,Transbank!$L$2:$L$486)+SUMIF(Transbank!$A$2:$A$486,C55,Transbank!$L$2:$L$486)+SUMIF(Transbank!$A$2:$A$486,D55,Transbank!$L$2:$L$486)+(K55+O55)+(L55+P55)*EERR!$D$2</f>
        <v>0</v>
      </c>
      <c r="Y55" s="278">
        <f>X55/EERR!$D$2</f>
        <v>0</v>
      </c>
      <c r="Z55" s="292">
        <f t="shared" si="2"/>
        <v>0</v>
      </c>
    </row>
    <row r="56" spans="1:26" s="149" customFormat="1" ht="15" customHeight="1" x14ac:dyDescent="0.3">
      <c r="A56" s="265"/>
      <c r="B56" s="318"/>
      <c r="C56" s="318"/>
      <c r="D56" s="318"/>
      <c r="E56" s="266"/>
      <c r="F56" s="266"/>
      <c r="G56" s="266"/>
      <c r="H56" s="267"/>
      <c r="I56" s="267"/>
      <c r="J56" s="266"/>
      <c r="K56" s="268"/>
      <c r="L56" s="269"/>
      <c r="M56" s="268"/>
      <c r="N56" s="268"/>
      <c r="O56" s="268"/>
      <c r="P56" s="268"/>
      <c r="Q56" s="268"/>
      <c r="R56" s="268"/>
      <c r="S56" s="154">
        <f t="shared" si="0"/>
        <v>0</v>
      </c>
      <c r="T56" s="154">
        <f t="shared" si="1"/>
        <v>0</v>
      </c>
      <c r="U56" s="152">
        <f>IF(J56=0,(S56+T56/EERR!$D$2/1.19),(S56+T56/EERR!$D$2/1.19)/J56)</f>
        <v>0</v>
      </c>
      <c r="V56" s="154">
        <f>T56+S56*EERR!$D$2</f>
        <v>0</v>
      </c>
      <c r="W56" s="149">
        <f ca="1">SUMIF(Siteminder!$A$5:$K$153,Dic!G56,Siteminder!$O$5:$O$153)</f>
        <v>0</v>
      </c>
      <c r="X56" s="278">
        <f>SUMIF(Transbank!$A$2:$A$486,B56,Transbank!$L$2:$L$486)+SUMIF(Transbank!$A$2:$A$486,C56,Transbank!$L$2:$L$486)+SUMIF(Transbank!$A$2:$A$486,D56,Transbank!$L$2:$L$486)+(K56+O56)+(L56+P56)*EERR!$D$2</f>
        <v>0</v>
      </c>
      <c r="Y56" s="278">
        <f>X56/EERR!$D$2</f>
        <v>0</v>
      </c>
      <c r="Z56" s="292">
        <f t="shared" si="2"/>
        <v>0</v>
      </c>
    </row>
    <row r="57" spans="1:26" s="149" customFormat="1" x14ac:dyDescent="0.3">
      <c r="A57" s="265"/>
      <c r="B57" s="318"/>
      <c r="C57" s="318"/>
      <c r="D57" s="318"/>
      <c r="E57" s="266"/>
      <c r="F57" s="266"/>
      <c r="G57" s="266"/>
      <c r="H57" s="267"/>
      <c r="I57" s="267"/>
      <c r="J57" s="266"/>
      <c r="K57" s="268"/>
      <c r="L57" s="269"/>
      <c r="M57" s="268"/>
      <c r="N57" s="268"/>
      <c r="O57" s="268"/>
      <c r="P57" s="268"/>
      <c r="Q57" s="268"/>
      <c r="R57" s="268"/>
      <c r="S57" s="154">
        <f t="shared" si="0"/>
        <v>0</v>
      </c>
      <c r="T57" s="154">
        <f t="shared" si="1"/>
        <v>0</v>
      </c>
      <c r="U57" s="152">
        <f>IF(J57=0,(S57+T57/EERR!$D$2/1.19),(S57+T57/EERR!$D$2/1.19)/J57)</f>
        <v>0</v>
      </c>
      <c r="V57" s="154">
        <f>T57+S57*EERR!$D$2</f>
        <v>0</v>
      </c>
      <c r="W57" s="149">
        <f ca="1">SUMIF(Siteminder!$A$5:$K$153,Dic!G57,Siteminder!$O$5:$O$153)</f>
        <v>0</v>
      </c>
      <c r="X57" s="278">
        <f>SUMIF(Transbank!$A$2:$A$486,B57,Transbank!$L$2:$L$486)+SUMIF(Transbank!$A$2:$A$486,C57,Transbank!$L$2:$L$486)+SUMIF(Transbank!$A$2:$A$486,D57,Transbank!$L$2:$L$486)+(K57+O57)+(L57+P57)*EERR!$D$2</f>
        <v>0</v>
      </c>
      <c r="Y57" s="278">
        <f>X57/EERR!$D$2</f>
        <v>0</v>
      </c>
      <c r="Z57" s="292">
        <f t="shared" si="2"/>
        <v>0</v>
      </c>
    </row>
    <row r="58" spans="1:26" s="149" customFormat="1" ht="15" customHeight="1" x14ac:dyDescent="0.3">
      <c r="A58" s="265"/>
      <c r="B58" s="318"/>
      <c r="C58" s="318"/>
      <c r="D58" s="318"/>
      <c r="E58" s="266"/>
      <c r="F58" s="266"/>
      <c r="G58" s="266"/>
      <c r="H58" s="267"/>
      <c r="I58" s="267"/>
      <c r="J58" s="266"/>
      <c r="K58" s="268"/>
      <c r="L58" s="293"/>
      <c r="M58" s="294"/>
      <c r="N58" s="294"/>
      <c r="O58" s="294"/>
      <c r="P58" s="294"/>
      <c r="Q58" s="294"/>
      <c r="R58" s="268"/>
      <c r="S58" s="154">
        <f t="shared" si="0"/>
        <v>0</v>
      </c>
      <c r="T58" s="154">
        <f t="shared" si="1"/>
        <v>0</v>
      </c>
      <c r="U58" s="152">
        <f>IF(J58=0,(S58+T58/EERR!$D$2/1.19),(S58+T58/EERR!$D$2/1.19)/J58)</f>
        <v>0</v>
      </c>
      <c r="V58" s="154">
        <f>T58+S58*EERR!$D$2</f>
        <v>0</v>
      </c>
      <c r="W58" s="149">
        <f ca="1">SUMIF(Siteminder!$A$5:$K$153,Dic!G58,Siteminder!$O$5:$O$153)</f>
        <v>0</v>
      </c>
      <c r="X58" s="278">
        <f>SUMIF(Transbank!$A$2:$A$486,B58,Transbank!$L$2:$L$486)+SUMIF(Transbank!$A$2:$A$486,C58,Transbank!$L$2:$L$486)+SUMIF(Transbank!$A$2:$A$486,D58,Transbank!$L$2:$L$486)+(K58+O58)+(L58+P58)*EERR!$D$2</f>
        <v>0</v>
      </c>
      <c r="Y58" s="278">
        <f>X58/EERR!$D$2</f>
        <v>0</v>
      </c>
      <c r="Z58" s="292">
        <f t="shared" si="2"/>
        <v>0</v>
      </c>
    </row>
    <row r="59" spans="1:26" s="149" customFormat="1" ht="15" customHeight="1" x14ac:dyDescent="0.3">
      <c r="A59" s="265"/>
      <c r="B59" s="318"/>
      <c r="C59" s="318"/>
      <c r="D59" s="318"/>
      <c r="E59" s="266"/>
      <c r="F59" s="266"/>
      <c r="G59" s="266"/>
      <c r="H59" s="267"/>
      <c r="I59" s="267"/>
      <c r="J59" s="266"/>
      <c r="K59" s="268"/>
      <c r="L59" s="269"/>
      <c r="M59" s="268"/>
      <c r="N59" s="268"/>
      <c r="O59" s="268"/>
      <c r="P59" s="268"/>
      <c r="Q59" s="268"/>
      <c r="R59" s="268"/>
      <c r="S59" s="154">
        <f t="shared" si="0"/>
        <v>0</v>
      </c>
      <c r="T59" s="154">
        <f t="shared" si="1"/>
        <v>0</v>
      </c>
      <c r="U59" s="152">
        <f>IF(J59=0,(S59+T59/EERR!$D$2/1.19),(S59+T59/EERR!$D$2/1.19)/J59)</f>
        <v>0</v>
      </c>
      <c r="V59" s="154">
        <f>T59+S59*EERR!$D$2</f>
        <v>0</v>
      </c>
      <c r="W59" s="149">
        <f ca="1">SUMIF(Siteminder!$A$5:$K$153,Dic!G59,Siteminder!$O$5:$O$153)</f>
        <v>0</v>
      </c>
      <c r="X59" s="278">
        <f>SUMIF(Transbank!$A$2:$A$486,B59,Transbank!$L$2:$L$486)+SUMIF(Transbank!$A$2:$A$486,C59,Transbank!$L$2:$L$486)+SUMIF(Transbank!$A$2:$A$486,D59,Transbank!$L$2:$L$486)+(K59+O59)+(L59+P59)*EERR!$D$2</f>
        <v>0</v>
      </c>
      <c r="Y59" s="278">
        <f>X59/EERR!$D$2</f>
        <v>0</v>
      </c>
      <c r="Z59" s="292">
        <f t="shared" si="2"/>
        <v>0</v>
      </c>
    </row>
    <row r="60" spans="1:26" s="149" customFormat="1" ht="15" customHeight="1" x14ac:dyDescent="0.3">
      <c r="A60" s="265"/>
      <c r="B60" s="318"/>
      <c r="C60" s="318"/>
      <c r="D60" s="318"/>
      <c r="E60" s="266"/>
      <c r="F60" s="266"/>
      <c r="G60" s="266"/>
      <c r="H60" s="267"/>
      <c r="I60" s="267"/>
      <c r="J60" s="266"/>
      <c r="K60" s="268"/>
      <c r="L60" s="269"/>
      <c r="M60" s="268"/>
      <c r="N60" s="268"/>
      <c r="O60" s="268"/>
      <c r="P60" s="268"/>
      <c r="Q60" s="268"/>
      <c r="R60" s="268"/>
      <c r="S60" s="154">
        <f t="shared" si="0"/>
        <v>0</v>
      </c>
      <c r="T60" s="154">
        <f t="shared" si="1"/>
        <v>0</v>
      </c>
      <c r="U60" s="152">
        <f>IF(J60=0,(S60+T60/EERR!$D$2/1.19),(S60+T60/EERR!$D$2/1.19)/J60)</f>
        <v>0</v>
      </c>
      <c r="V60" s="154">
        <f>T60+S60*EERR!$D$2</f>
        <v>0</v>
      </c>
      <c r="W60" s="149">
        <f ca="1">SUMIF(Siteminder!$A$5:$K$153,Dic!G60,Siteminder!$O$5:$O$153)</f>
        <v>0</v>
      </c>
      <c r="X60" s="278">
        <f>SUMIF(Transbank!$A$2:$A$486,B60,Transbank!$L$2:$L$486)+SUMIF(Transbank!$A$2:$A$486,C60,Transbank!$L$2:$L$486)+SUMIF(Transbank!$A$2:$A$486,D60,Transbank!$L$2:$L$486)+(K60+O60)+(L60+P60)*EERR!$D$2</f>
        <v>0</v>
      </c>
      <c r="Y60" s="278">
        <f>X60/EERR!$D$2</f>
        <v>0</v>
      </c>
      <c r="Z60" s="292">
        <f t="shared" si="2"/>
        <v>0</v>
      </c>
    </row>
    <row r="61" spans="1:26" s="149" customFormat="1" ht="15" customHeight="1" x14ac:dyDescent="0.3">
      <c r="A61" s="265"/>
      <c r="B61" s="318"/>
      <c r="C61" s="318"/>
      <c r="D61" s="318"/>
      <c r="E61" s="266"/>
      <c r="F61" s="266"/>
      <c r="G61" s="266"/>
      <c r="H61" s="267"/>
      <c r="I61" s="267"/>
      <c r="J61" s="266"/>
      <c r="K61" s="268"/>
      <c r="L61" s="269"/>
      <c r="M61" s="268"/>
      <c r="N61" s="268"/>
      <c r="O61" s="268"/>
      <c r="P61" s="268"/>
      <c r="Q61" s="268"/>
      <c r="R61" s="268"/>
      <c r="S61" s="154">
        <f t="shared" si="0"/>
        <v>0</v>
      </c>
      <c r="T61" s="154">
        <f t="shared" si="1"/>
        <v>0</v>
      </c>
      <c r="U61" s="152">
        <f>IF(J61=0,(S61+T61/EERR!$D$2/1.19),(S61+T61/EERR!$D$2/1.19)/J61)</f>
        <v>0</v>
      </c>
      <c r="V61" s="154">
        <f>T61+S61*EERR!$D$2</f>
        <v>0</v>
      </c>
      <c r="W61" s="149">
        <f ca="1">SUMIF(Siteminder!$A$5:$K$153,Dic!G61,Siteminder!$O$5:$O$153)</f>
        <v>0</v>
      </c>
      <c r="X61" s="278">
        <f>SUMIF(Transbank!$A$2:$A$486,B61,Transbank!$L$2:$L$486)+SUMIF(Transbank!$A$2:$A$486,C61,Transbank!$L$2:$L$486)+SUMIF(Transbank!$A$2:$A$486,D61,Transbank!$L$2:$L$486)+(K61+O61)+(L61+P61)*EERR!$D$2</f>
        <v>0</v>
      </c>
      <c r="Y61" s="278">
        <f>X61/EERR!$D$2</f>
        <v>0</v>
      </c>
      <c r="Z61" s="292">
        <f t="shared" si="2"/>
        <v>0</v>
      </c>
    </row>
    <row r="62" spans="1:26" s="149" customFormat="1" ht="15" customHeight="1" x14ac:dyDescent="0.3">
      <c r="A62" s="265"/>
      <c r="B62" s="318"/>
      <c r="C62" s="318"/>
      <c r="D62" s="318"/>
      <c r="E62" s="266"/>
      <c r="F62" s="266"/>
      <c r="G62" s="266"/>
      <c r="H62" s="267"/>
      <c r="I62" s="267"/>
      <c r="J62" s="266"/>
      <c r="K62" s="268"/>
      <c r="L62" s="269"/>
      <c r="M62" s="268"/>
      <c r="N62" s="268"/>
      <c r="O62" s="268"/>
      <c r="P62" s="268"/>
      <c r="Q62" s="268"/>
      <c r="R62" s="268"/>
      <c r="S62" s="154">
        <f t="shared" si="0"/>
        <v>0</v>
      </c>
      <c r="T62" s="154">
        <f t="shared" si="1"/>
        <v>0</v>
      </c>
      <c r="U62" s="152">
        <f>IF(J62=0,(S62+T62/EERR!$D$2/1.19),(S62+T62/EERR!$D$2/1.19)/J62)</f>
        <v>0</v>
      </c>
      <c r="V62" s="154">
        <f>T62+S62*EERR!$D$2</f>
        <v>0</v>
      </c>
      <c r="W62" s="149">
        <f ca="1">SUMIF(Siteminder!$A$5:$K$153,Dic!G62,Siteminder!$O$5:$O$153)</f>
        <v>0</v>
      </c>
      <c r="X62" s="278">
        <f>SUMIF(Transbank!$A$2:$A$486,B62,Transbank!$L$2:$L$486)+SUMIF(Transbank!$A$2:$A$486,C62,Transbank!$L$2:$L$486)+SUMIF(Transbank!$A$2:$A$486,D62,Transbank!$L$2:$L$486)+(K62+O62)+(L62+P62)*EERR!$D$2</f>
        <v>0</v>
      </c>
      <c r="Y62" s="278">
        <f>X62/EERR!$D$2</f>
        <v>0</v>
      </c>
      <c r="Z62" s="292">
        <f t="shared" si="2"/>
        <v>0</v>
      </c>
    </row>
    <row r="63" spans="1:26" s="149" customFormat="1" ht="15" customHeight="1" x14ac:dyDescent="0.3">
      <c r="A63" s="265"/>
      <c r="B63" s="318"/>
      <c r="C63" s="318"/>
      <c r="D63" s="318"/>
      <c r="E63" s="266"/>
      <c r="F63" s="266"/>
      <c r="G63" s="266"/>
      <c r="H63" s="267"/>
      <c r="I63" s="267"/>
      <c r="J63" s="266"/>
      <c r="K63" s="268"/>
      <c r="L63" s="269"/>
      <c r="M63" s="268"/>
      <c r="N63" s="268"/>
      <c r="O63" s="268"/>
      <c r="P63" s="268"/>
      <c r="Q63" s="268"/>
      <c r="R63" s="268"/>
      <c r="S63" s="154">
        <f t="shared" ref="S63:S64" si="3">L63+N63+P63+R63</f>
        <v>0</v>
      </c>
      <c r="T63" s="154">
        <f t="shared" ref="T63:T64" si="4">M63+O63+K63+Q63</f>
        <v>0</v>
      </c>
      <c r="U63" s="152">
        <f>IF(J63=0,(S63+T63/EERR!$D$2/1.19),(S63+T63/EERR!$D$2/1.19)/J63)</f>
        <v>0</v>
      </c>
      <c r="V63" s="154">
        <f>T63+S63*EERR!$D$2</f>
        <v>0</v>
      </c>
      <c r="W63" s="149">
        <f ca="1">SUMIF(Siteminder!$A$5:$K$153,Dic!G63,Siteminder!$O$5:$O$153)</f>
        <v>0</v>
      </c>
      <c r="X63" s="278">
        <f>SUMIF(Transbank!$A$2:$A$486,B63,Transbank!$L$2:$L$486)+SUMIF(Transbank!$A$2:$A$486,C63,Transbank!$L$2:$L$486)+SUMIF(Transbank!$A$2:$A$486,D63,Transbank!$L$2:$L$486)+(K63+O63)+(L63+P63)*EERR!$D$2</f>
        <v>0</v>
      </c>
      <c r="Y63" s="278">
        <f>X63/EERR!$D$2</f>
        <v>0</v>
      </c>
      <c r="Z63" s="292">
        <f t="shared" si="2"/>
        <v>0</v>
      </c>
    </row>
    <row r="64" spans="1:26" s="149" customFormat="1" ht="15" customHeight="1" x14ac:dyDescent="0.3">
      <c r="A64" s="265"/>
      <c r="B64" s="318"/>
      <c r="C64" s="318"/>
      <c r="D64" s="318"/>
      <c r="E64" s="266"/>
      <c r="F64" s="266"/>
      <c r="G64" s="266"/>
      <c r="H64" s="267"/>
      <c r="I64" s="267"/>
      <c r="J64" s="266"/>
      <c r="K64" s="268"/>
      <c r="L64" s="269"/>
      <c r="M64" s="268"/>
      <c r="N64" s="268"/>
      <c r="O64" s="268"/>
      <c r="P64" s="268"/>
      <c r="Q64" s="268"/>
      <c r="R64" s="268"/>
      <c r="S64" s="154">
        <f t="shared" si="3"/>
        <v>0</v>
      </c>
      <c r="T64" s="154">
        <f t="shared" si="4"/>
        <v>0</v>
      </c>
      <c r="U64" s="152">
        <f>IF(J64=0,(S64+T64/EERR!$D$2/1.19),(S64+T64/EERR!$D$2/1.19)/J64)</f>
        <v>0</v>
      </c>
      <c r="V64" s="154">
        <f>T64+S64*EERR!$D$2</f>
        <v>0</v>
      </c>
      <c r="W64" s="149">
        <f ca="1">SUMIF(Siteminder!$A$5:$K$153,Dic!G64,Siteminder!$O$5:$O$153)</f>
        <v>0</v>
      </c>
      <c r="X64" s="278">
        <f>SUMIF(Transbank!$A$2:$A$486,B64,Transbank!$L$2:$L$486)+SUMIF(Transbank!$A$2:$A$486,C64,Transbank!$L$2:$L$486)+SUMIF(Transbank!$A$2:$A$486,D64,Transbank!$L$2:$L$486)+(K64+O64)+(L64+P64)*EERR!$D$2</f>
        <v>0</v>
      </c>
      <c r="Y64" s="278">
        <f>X64/EERR!$D$2</f>
        <v>0</v>
      </c>
      <c r="Z64" s="292">
        <f t="shared" si="2"/>
        <v>0</v>
      </c>
    </row>
    <row r="65" spans="1:26" ht="13.8" x14ac:dyDescent="0.3">
      <c r="A65" s="249"/>
      <c r="B65" s="249"/>
      <c r="C65" s="249"/>
      <c r="D65" s="249"/>
      <c r="E65" s="249"/>
      <c r="F65" s="249"/>
      <c r="G65" s="249"/>
      <c r="H65" s="254"/>
      <c r="I65" s="254"/>
      <c r="J65" s="255">
        <f t="shared" ref="J65:P65" si="5">SUM(J3:J64)</f>
        <v>192</v>
      </c>
      <c r="K65" s="255">
        <f t="shared" si="5"/>
        <v>0</v>
      </c>
      <c r="L65" s="255">
        <f t="shared" si="5"/>
        <v>8329</v>
      </c>
      <c r="M65" s="255">
        <f t="shared" si="5"/>
        <v>569843</v>
      </c>
      <c r="N65" s="255">
        <f t="shared" si="5"/>
        <v>21160.5</v>
      </c>
      <c r="O65" s="255">
        <f t="shared" si="5"/>
        <v>0</v>
      </c>
      <c r="P65" s="255">
        <f t="shared" si="5"/>
        <v>0</v>
      </c>
      <c r="Q65" s="255"/>
      <c r="R65" s="255"/>
      <c r="S65" s="255">
        <f>SUM(S3:S64)</f>
        <v>40156.5</v>
      </c>
      <c r="T65" s="255">
        <f>SUM(T3:T64)</f>
        <v>752948</v>
      </c>
      <c r="U65" s="255">
        <f>IF(J65=0,(S65+T65/EERR!$D$2/1.19),(S65+T65/EERR!$D$2/1.19)/J65)</f>
        <v>213.98056947594466</v>
      </c>
      <c r="V65" s="255">
        <f>SUM(V3:V64)</f>
        <v>28139279.434999995</v>
      </c>
      <c r="W65" s="255">
        <f ca="1">SUM(W3:W64)</f>
        <v>191</v>
      </c>
      <c r="X65" s="255">
        <f>SUM(X3:X64)</f>
        <v>28101164.674999997</v>
      </c>
      <c r="Y65" s="255"/>
      <c r="Z65" s="292">
        <f t="shared" si="2"/>
        <v>-38114.759999997914</v>
      </c>
    </row>
    <row r="66" spans="1:26" s="126" customFormat="1" x14ac:dyDescent="0.3">
      <c r="A66" s="265">
        <v>3561</v>
      </c>
      <c r="B66" s="318">
        <v>487</v>
      </c>
      <c r="C66" s="318">
        <v>621</v>
      </c>
      <c r="D66" s="318"/>
      <c r="E66" s="266" t="s">
        <v>873</v>
      </c>
      <c r="F66" s="266" t="s">
        <v>276</v>
      </c>
      <c r="G66" s="291">
        <v>1809093770140</v>
      </c>
      <c r="H66" s="267">
        <v>43435</v>
      </c>
      <c r="I66" s="267">
        <v>43442</v>
      </c>
      <c r="J66" s="266">
        <v>7</v>
      </c>
      <c r="K66" s="268"/>
      <c r="L66" s="269"/>
      <c r="M66" s="268"/>
      <c r="N66" s="268">
        <v>1141.9000000000001</v>
      </c>
      <c r="O66" s="268"/>
      <c r="P66" s="268"/>
      <c r="Q66" s="268"/>
      <c r="R66" s="268">
        <v>194.75</v>
      </c>
      <c r="S66" s="154">
        <f t="shared" ref="S66" si="6">L66+N66+P66+R66</f>
        <v>1336.65</v>
      </c>
      <c r="T66" s="154">
        <f t="shared" ref="T66" si="7">M66+O66+K66+Q66</f>
        <v>0</v>
      </c>
      <c r="U66" s="152">
        <f>IF(J66=0,(S66+T66/EERR!$D$2/1.19),(S66+T66/EERR!$D$2/1.19)/J66)</f>
        <v>190.95000000000002</v>
      </c>
      <c r="V66" s="154">
        <f>T66+S66*EERR!$D$2</f>
        <v>911581.93350000004</v>
      </c>
      <c r="W66" s="149">
        <f ca="1">SUMIF(Siteminder!$A$5:$K$153,Dic!G66,Siteminder!$O$5:$O$153)</f>
        <v>7</v>
      </c>
      <c r="X66" s="278">
        <f>SUMIF(Transbank!$A$2:$A$486,B66,Transbank!$L$2:$L$486)+SUMIF(Transbank!$A$2:$A$486,C66,Transbank!$L$2:$L$486)+SUMIF(Transbank!$A$2:$A$486,D66,Transbank!$L$2:$L$486)+(K66+O66)+(L66+P66)*EERR!$D$2</f>
        <v>910728.92850000004</v>
      </c>
      <c r="Y66" s="283">
        <f>X66/EERR!$D$2</f>
        <v>1335.3992411912197</v>
      </c>
      <c r="Z66" s="292">
        <f t="shared" ref="Z66:Z108" si="8">+X66-V66</f>
        <v>-853.00500000000466</v>
      </c>
    </row>
    <row r="67" spans="1:26" s="149" customFormat="1" x14ac:dyDescent="0.3">
      <c r="A67" s="265">
        <v>3564</v>
      </c>
      <c r="B67" s="318">
        <v>490</v>
      </c>
      <c r="C67" s="318">
        <v>625</v>
      </c>
      <c r="D67" s="318"/>
      <c r="E67" s="266" t="s">
        <v>874</v>
      </c>
      <c r="F67" s="266" t="s">
        <v>276</v>
      </c>
      <c r="G67" s="291">
        <v>1808163705192</v>
      </c>
      <c r="H67" s="267">
        <v>43436</v>
      </c>
      <c r="I67" s="267">
        <v>43439</v>
      </c>
      <c r="J67" s="266">
        <v>3</v>
      </c>
      <c r="K67" s="268"/>
      <c r="L67" s="269"/>
      <c r="M67" s="268"/>
      <c r="N67" s="268">
        <v>389.5</v>
      </c>
      <c r="O67" s="268"/>
      <c r="P67" s="268"/>
      <c r="Q67" s="268"/>
      <c r="R67" s="268">
        <v>194.75</v>
      </c>
      <c r="S67" s="154">
        <f t="shared" ref="S67:S84" si="9">L67+N67+P67+R67</f>
        <v>584.25</v>
      </c>
      <c r="T67" s="154">
        <f t="shared" ref="T67:T84" si="10">M67+O67+K67+Q67</f>
        <v>0</v>
      </c>
      <c r="U67" s="152">
        <f>IF(J67=0,(S67+T67/EERR!$D$2/1.19),(S67+T67/EERR!$D$2/1.19)/J67)</f>
        <v>194.75</v>
      </c>
      <c r="V67" s="154">
        <f>T67+S67*EERR!$D$2</f>
        <v>398452.65750000003</v>
      </c>
      <c r="W67" s="149">
        <f ca="1">SUMIF(Siteminder!$A$5:$K$153,Dic!G67,Siteminder!$O$5:$O$153)</f>
        <v>3</v>
      </c>
      <c r="X67" s="278">
        <f>SUMIF(Transbank!$A$2:$A$486,B67,Transbank!$L$2:$L$486)+SUMIF(Transbank!$A$2:$A$486,C67,Transbank!$L$2:$L$486)+SUMIF(Transbank!$A$2:$A$486,D67,Transbank!$L$2:$L$486)+(K67+O67)+(L67+P67)*EERR!$D$2</f>
        <v>397599.65249999997</v>
      </c>
      <c r="Y67" s="283">
        <f>X67/EERR!$D$2</f>
        <v>582.99924119121977</v>
      </c>
      <c r="Z67" s="292">
        <f t="shared" si="8"/>
        <v>-853.00500000006286</v>
      </c>
    </row>
    <row r="68" spans="1:26" s="149" customFormat="1" x14ac:dyDescent="0.3">
      <c r="A68" s="265">
        <v>3569</v>
      </c>
      <c r="B68" s="318">
        <v>499</v>
      </c>
      <c r="C68" s="318"/>
      <c r="D68" s="318"/>
      <c r="E68" s="266" t="s">
        <v>875</v>
      </c>
      <c r="F68" s="266" t="s">
        <v>276</v>
      </c>
      <c r="G68" s="291">
        <v>1809153787661</v>
      </c>
      <c r="H68" s="267">
        <v>43438</v>
      </c>
      <c r="I68" s="267">
        <v>43445</v>
      </c>
      <c r="J68" s="266">
        <v>7</v>
      </c>
      <c r="K68" s="268"/>
      <c r="L68" s="269">
        <v>1128.5999999999999</v>
      </c>
      <c r="M68" s="268"/>
      <c r="N68" s="268"/>
      <c r="O68" s="268"/>
      <c r="P68" s="268"/>
      <c r="Q68" s="268"/>
      <c r="R68" s="268">
        <v>188.1</v>
      </c>
      <c r="S68" s="154">
        <f t="shared" si="9"/>
        <v>1316.6999999999998</v>
      </c>
      <c r="T68" s="154">
        <f t="shared" si="10"/>
        <v>0</v>
      </c>
      <c r="U68" s="152">
        <f>IF(J68=0,(S68+T68/EERR!$D$2/1.19),(S68+T68/EERR!$D$2/1.19)/J68)</f>
        <v>188.09999999999997</v>
      </c>
      <c r="V68" s="154">
        <f>T68+S68*EERR!$D$2</f>
        <v>897976.23299999989</v>
      </c>
      <c r="W68" s="149">
        <f ca="1">SUMIF(Siteminder!$A$5:$K$153,Dic!G68,Siteminder!$O$5:$O$153)</f>
        <v>7</v>
      </c>
      <c r="X68" s="278">
        <f>SUMIF(Transbank!$A$2:$A$486,B68,Transbank!$L$2:$L$486)+SUMIF(Transbank!$A$2:$A$486,C68,Transbank!$L$2:$L$486)+SUMIF(Transbank!$A$2:$A$486,D68,Transbank!$L$2:$L$486)+(K68+O68)+(L68+P68)*EERR!$D$2</f>
        <v>897152.35499999998</v>
      </c>
      <c r="Y68" s="283">
        <f>X68/EERR!$D$2</f>
        <v>1315.4919500285928</v>
      </c>
      <c r="Z68" s="292">
        <f t="shared" si="8"/>
        <v>-823.87799999990966</v>
      </c>
    </row>
    <row r="69" spans="1:26" s="149" customFormat="1" x14ac:dyDescent="0.3">
      <c r="A69" s="265">
        <v>3575</v>
      </c>
      <c r="B69" s="318"/>
      <c r="C69" s="318"/>
      <c r="D69" s="318"/>
      <c r="E69" s="266" t="s">
        <v>839</v>
      </c>
      <c r="F69" s="266" t="s">
        <v>276</v>
      </c>
      <c r="G69" s="291">
        <v>1812074006793</v>
      </c>
      <c r="H69" s="267">
        <v>43441</v>
      </c>
      <c r="I69" s="267">
        <v>43442</v>
      </c>
      <c r="J69" s="266">
        <v>1</v>
      </c>
      <c r="K69" s="268"/>
      <c r="L69" s="269">
        <v>188.1</v>
      </c>
      <c r="M69" s="268"/>
      <c r="N69" s="268"/>
      <c r="O69" s="268"/>
      <c r="P69" s="268"/>
      <c r="Q69" s="268"/>
      <c r="R69" s="268"/>
      <c r="S69" s="154">
        <f t="shared" si="9"/>
        <v>188.1</v>
      </c>
      <c r="T69" s="154">
        <f t="shared" si="10"/>
        <v>0</v>
      </c>
      <c r="U69" s="152">
        <f>IF(J69=0,(S69+T69/EERR!$D$2/1.19),(S69+T69/EERR!$D$2/1.19)/J69)</f>
        <v>188.1</v>
      </c>
      <c r="V69" s="154">
        <f>T69+S69*EERR!$D$2</f>
        <v>128282.319</v>
      </c>
      <c r="W69" s="149">
        <f ca="1">SUMIF(Siteminder!$A$5:$K$153,Dic!G69,Siteminder!$O$5:$O$153)</f>
        <v>1</v>
      </c>
      <c r="X69" s="278">
        <f>SUMIF(Transbank!$A$2:$A$486,B69,Transbank!$L$2:$L$486)+SUMIF(Transbank!$A$2:$A$486,C69,Transbank!$L$2:$L$486)+SUMIF(Transbank!$A$2:$A$486,D69,Transbank!$L$2:$L$486)+(K69+O69)+(L69+P69)*EERR!$D$2</f>
        <v>128282.319</v>
      </c>
      <c r="Y69" s="283">
        <f>X69/EERR!$D$2</f>
        <v>188.1</v>
      </c>
      <c r="Z69" s="292">
        <f t="shared" si="8"/>
        <v>0</v>
      </c>
    </row>
    <row r="70" spans="1:26" s="149" customFormat="1" x14ac:dyDescent="0.3">
      <c r="A70" s="265">
        <v>63898</v>
      </c>
      <c r="B70" s="318">
        <v>517</v>
      </c>
      <c r="C70" s="318">
        <v>657</v>
      </c>
      <c r="D70" s="318">
        <v>658</v>
      </c>
      <c r="E70" s="266" t="s">
        <v>876</v>
      </c>
      <c r="F70" s="266" t="s">
        <v>276</v>
      </c>
      <c r="G70" s="291">
        <v>1810123863898</v>
      </c>
      <c r="H70" s="267">
        <v>43442</v>
      </c>
      <c r="I70" s="267">
        <v>43445</v>
      </c>
      <c r="J70" s="266">
        <v>3</v>
      </c>
      <c r="K70" s="268"/>
      <c r="L70" s="269"/>
      <c r="M70" s="268">
        <v>303524</v>
      </c>
      <c r="N70" s="268"/>
      <c r="O70" s="268"/>
      <c r="P70" s="268"/>
      <c r="Q70" s="268">
        <v>151315</v>
      </c>
      <c r="R70" s="268"/>
      <c r="S70" s="154">
        <f t="shared" si="9"/>
        <v>0</v>
      </c>
      <c r="T70" s="154">
        <f t="shared" si="10"/>
        <v>454839</v>
      </c>
      <c r="U70" s="152">
        <f>IF(J70=0,(S70+T70/EERR!$D$2/1.19),(S70+T70/EERR!$D$2/1.19)/J70)</f>
        <v>186.81488343368846</v>
      </c>
      <c r="V70" s="154">
        <f>T70+S70*EERR!$D$2</f>
        <v>454839</v>
      </c>
      <c r="W70" s="149">
        <f ca="1">SUMIF(Siteminder!$A$5:$K$153,Dic!G70,Siteminder!$O$5:$O$153)</f>
        <v>3</v>
      </c>
      <c r="X70" s="278">
        <f>SUMIF(Transbank!$A$2:$A$486,B70,Transbank!$L$2:$L$486)+SUMIF(Transbank!$A$2:$A$486,C70,Transbank!$L$2:$L$486)+SUMIF(Transbank!$A$2:$A$486,D70,Transbank!$L$2:$L$486)+(K70+O70)+(L70+P70)*EERR!$D$2</f>
        <v>454839</v>
      </c>
      <c r="Y70" s="283">
        <f>X70/EERR!$D$2</f>
        <v>666.92913385826773</v>
      </c>
      <c r="Z70" s="292">
        <f t="shared" si="8"/>
        <v>0</v>
      </c>
    </row>
    <row r="71" spans="1:26" s="149" customFormat="1" x14ac:dyDescent="0.3">
      <c r="A71" s="265">
        <v>58232</v>
      </c>
      <c r="B71" s="318">
        <v>516</v>
      </c>
      <c r="C71" s="318">
        <v>656</v>
      </c>
      <c r="D71" s="318"/>
      <c r="E71" s="266" t="s">
        <v>877</v>
      </c>
      <c r="F71" s="266" t="s">
        <v>276</v>
      </c>
      <c r="G71" s="291">
        <v>1810103858232</v>
      </c>
      <c r="H71" s="267">
        <v>43442</v>
      </c>
      <c r="I71" s="267">
        <v>43445</v>
      </c>
      <c r="J71" s="266">
        <v>3</v>
      </c>
      <c r="K71" s="268"/>
      <c r="L71" s="269"/>
      <c r="M71" s="268">
        <v>303525</v>
      </c>
      <c r="N71" s="268"/>
      <c r="O71" s="268"/>
      <c r="P71" s="268"/>
      <c r="Q71" s="268">
        <v>151315</v>
      </c>
      <c r="R71" s="268"/>
      <c r="S71" s="154">
        <f t="shared" si="9"/>
        <v>0</v>
      </c>
      <c r="T71" s="154">
        <f t="shared" si="10"/>
        <v>454840</v>
      </c>
      <c r="U71" s="152">
        <f>IF(J71=0,(S71+T71/EERR!$D$2/1.19),(S71+T71/EERR!$D$2/1.19)/J71)</f>
        <v>186.81529416118417</v>
      </c>
      <c r="V71" s="154">
        <f>T71+S71*EERR!$D$2</f>
        <v>454840</v>
      </c>
      <c r="W71" s="149">
        <f ca="1">SUMIF(Siteminder!$A$5:$K$153,Dic!G71,Siteminder!$O$5:$O$153)</f>
        <v>3</v>
      </c>
      <c r="X71" s="278">
        <f>SUMIF(Transbank!$A$2:$A$486,B71,Transbank!$L$2:$L$486)+SUMIF(Transbank!$A$2:$A$486,C71,Transbank!$L$2:$L$486)+SUMIF(Transbank!$A$2:$A$486,D71,Transbank!$L$2:$L$486)+(K71+O71)+(L71+P71)*EERR!$D$2</f>
        <v>454840</v>
      </c>
      <c r="Y71" s="283">
        <f>X71/EERR!$D$2</f>
        <v>666.93060015542744</v>
      </c>
      <c r="Z71" s="292">
        <f t="shared" si="8"/>
        <v>0</v>
      </c>
    </row>
    <row r="72" spans="1:26" s="149" customFormat="1" x14ac:dyDescent="0.3">
      <c r="A72" s="265">
        <v>3581</v>
      </c>
      <c r="B72" s="318"/>
      <c r="C72" s="318">
        <v>671</v>
      </c>
      <c r="D72" s="318"/>
      <c r="E72" s="266" t="s">
        <v>835</v>
      </c>
      <c r="F72" s="266" t="s">
        <v>276</v>
      </c>
      <c r="G72" s="291">
        <v>1812054002052</v>
      </c>
      <c r="H72" s="267">
        <v>43444</v>
      </c>
      <c r="I72" s="267">
        <v>43445</v>
      </c>
      <c r="J72" s="266">
        <v>1</v>
      </c>
      <c r="K72" s="268"/>
      <c r="L72" s="269"/>
      <c r="M72" s="268"/>
      <c r="N72" s="268">
        <v>188.1</v>
      </c>
      <c r="O72" s="268"/>
      <c r="P72" s="268"/>
      <c r="Q72" s="268"/>
      <c r="R72" s="268"/>
      <c r="S72" s="154">
        <f t="shared" si="9"/>
        <v>188.1</v>
      </c>
      <c r="T72" s="154">
        <f t="shared" si="10"/>
        <v>0</v>
      </c>
      <c r="U72" s="152">
        <f>IF(J72=0,(S72+T72/EERR!$D$2/1.19),(S72+T72/EERR!$D$2/1.19)/J72)</f>
        <v>188.1</v>
      </c>
      <c r="V72" s="154">
        <f>T72+S72*EERR!$D$2</f>
        <v>128282.319</v>
      </c>
      <c r="W72" s="149">
        <f ca="1">SUMIF(Siteminder!$A$5:$K$153,Dic!G72,Siteminder!$O$5:$O$153)</f>
        <v>1</v>
      </c>
      <c r="X72" s="278">
        <f>SUMIF(Transbank!$A$2:$A$486,B72,Transbank!$L$2:$L$486)+SUMIF(Transbank!$A$2:$A$486,C72,Transbank!$L$2:$L$486)+SUMIF(Transbank!$A$2:$A$486,D72,Transbank!$L$2:$L$486)+(K72+O72)+(L72+P72)*EERR!$D$2</f>
        <v>128282.319</v>
      </c>
      <c r="Y72" s="283">
        <f>X72/EERR!$D$2</f>
        <v>188.1</v>
      </c>
      <c r="Z72" s="292">
        <f t="shared" si="8"/>
        <v>0</v>
      </c>
    </row>
    <row r="73" spans="1:26" s="149" customFormat="1" x14ac:dyDescent="0.3">
      <c r="A73" s="265">
        <v>3589</v>
      </c>
      <c r="B73" s="318">
        <v>637</v>
      </c>
      <c r="C73" s="318"/>
      <c r="D73" s="318"/>
      <c r="E73" s="266" t="s">
        <v>878</v>
      </c>
      <c r="F73" s="266" t="s">
        <v>276</v>
      </c>
      <c r="G73" s="291">
        <v>1811293988792</v>
      </c>
      <c r="H73" s="267">
        <v>43449</v>
      </c>
      <c r="I73" s="267">
        <v>43450</v>
      </c>
      <c r="J73" s="266">
        <v>1</v>
      </c>
      <c r="K73" s="268"/>
      <c r="L73" s="269"/>
      <c r="M73" s="268"/>
      <c r="N73" s="268"/>
      <c r="O73" s="268"/>
      <c r="P73" s="268"/>
      <c r="Q73" s="268"/>
      <c r="R73" s="268">
        <v>194.75</v>
      </c>
      <c r="S73" s="154">
        <f t="shared" ref="S73:S76" si="11">L73+N73+P73+R73</f>
        <v>194.75</v>
      </c>
      <c r="T73" s="154">
        <f t="shared" ref="T73:T76" si="12">M73+O73+K73+Q73</f>
        <v>0</v>
      </c>
      <c r="U73" s="152">
        <f>IF(J73=0,(S73+T73/EERR!$D$2/1.19),(S73+T73/EERR!$D$2/1.19)/J73)</f>
        <v>194.75</v>
      </c>
      <c r="V73" s="154">
        <f>T73+S73*EERR!$D$2</f>
        <v>132817.55249999999</v>
      </c>
      <c r="W73" s="149">
        <f ca="1">SUMIF(Siteminder!$A$5:$K$153,Dic!G73,Siteminder!$O$5:$O$153)</f>
        <v>1</v>
      </c>
      <c r="X73" s="278">
        <f>SUMIF(Transbank!$A$2:$A$486,B73,Transbank!$L$2:$L$486)+SUMIF(Transbank!$A$2:$A$486,C73,Transbank!$L$2:$L$486)+SUMIF(Transbank!$A$2:$A$486,D73,Transbank!$L$2:$L$486)+(K73+O73)+(L73+P73)*EERR!$D$2</f>
        <v>132817.55249999999</v>
      </c>
      <c r="Y73" s="283">
        <f>X73/EERR!$D$2</f>
        <v>194.74999999999997</v>
      </c>
      <c r="Z73" s="292">
        <f t="shared" si="8"/>
        <v>0</v>
      </c>
    </row>
    <row r="74" spans="1:26" s="149" customFormat="1" x14ac:dyDescent="0.3">
      <c r="A74" s="265">
        <v>3595</v>
      </c>
      <c r="B74" s="318">
        <v>569</v>
      </c>
      <c r="C74" s="318">
        <v>702</v>
      </c>
      <c r="D74" s="318"/>
      <c r="E74" s="266" t="s">
        <v>879</v>
      </c>
      <c r="F74" s="266" t="s">
        <v>276</v>
      </c>
      <c r="G74" s="291">
        <v>1810223888549</v>
      </c>
      <c r="H74" s="267">
        <v>43454</v>
      </c>
      <c r="I74" s="267">
        <v>43456</v>
      </c>
      <c r="J74" s="266">
        <v>2</v>
      </c>
      <c r="K74" s="268"/>
      <c r="L74" s="269"/>
      <c r="M74" s="268"/>
      <c r="N74" s="268">
        <v>218.5</v>
      </c>
      <c r="O74" s="268"/>
      <c r="P74" s="268"/>
      <c r="Q74" s="268"/>
      <c r="R74" s="268">
        <v>194.75</v>
      </c>
      <c r="S74" s="154">
        <f t="shared" si="11"/>
        <v>413.25</v>
      </c>
      <c r="T74" s="154">
        <f t="shared" si="12"/>
        <v>0</v>
      </c>
      <c r="U74" s="152">
        <f>IF(J74=0,(S74+T74/EERR!$D$2/1.19),(S74+T74/EERR!$D$2/1.19)/J74)</f>
        <v>206.625</v>
      </c>
      <c r="V74" s="154">
        <f>T74+S74*EERR!$D$2</f>
        <v>281832.36749999999</v>
      </c>
      <c r="W74" s="149">
        <f ca="1">SUMIF(Siteminder!$A$5:$K$153,Dic!G74,Siteminder!$O$5:$O$153)</f>
        <v>2</v>
      </c>
      <c r="X74" s="278">
        <f>SUMIF(Transbank!$A$2:$A$486,B74,Transbank!$L$2:$L$486)+SUMIF(Transbank!$A$2:$A$486,C74,Transbank!$L$2:$L$486)+SUMIF(Transbank!$A$2:$A$486,D74,Transbank!$L$2:$L$486)+(K74+O74)+(L74+P74)*EERR!$D$2</f>
        <v>280979.36250000005</v>
      </c>
      <c r="Y74" s="283">
        <f>X74/EERR!$D$2</f>
        <v>411.99924119121988</v>
      </c>
      <c r="Z74" s="292">
        <f t="shared" si="8"/>
        <v>-853.00499999994645</v>
      </c>
    </row>
    <row r="75" spans="1:26" s="149" customFormat="1" x14ac:dyDescent="0.3">
      <c r="A75" s="265">
        <v>3597</v>
      </c>
      <c r="B75" s="318">
        <v>575</v>
      </c>
      <c r="C75" s="318">
        <v>703</v>
      </c>
      <c r="D75" s="318"/>
      <c r="E75" s="266" t="s">
        <v>880</v>
      </c>
      <c r="F75" s="266" t="s">
        <v>276</v>
      </c>
      <c r="G75" s="291">
        <v>1810293908219</v>
      </c>
      <c r="H75" s="267">
        <v>43455</v>
      </c>
      <c r="I75" s="267">
        <v>43458</v>
      </c>
      <c r="J75" s="266">
        <v>3</v>
      </c>
      <c r="K75" s="268"/>
      <c r="L75" s="269"/>
      <c r="M75" s="268"/>
      <c r="N75" s="268">
        <v>437</v>
      </c>
      <c r="O75" s="268"/>
      <c r="P75" s="268"/>
      <c r="Q75" s="268"/>
      <c r="R75" s="268">
        <v>218.5</v>
      </c>
      <c r="S75" s="154">
        <f t="shared" si="11"/>
        <v>655.5</v>
      </c>
      <c r="T75" s="154">
        <f t="shared" si="12"/>
        <v>0</v>
      </c>
      <c r="U75" s="152">
        <f>IF(J75=0,(S75+T75/EERR!$D$2/1.19),(S75+T75/EERR!$D$2/1.19)/J75)</f>
        <v>218.5</v>
      </c>
      <c r="V75" s="154">
        <f>T75+S75*EERR!$D$2</f>
        <v>447044.44500000001</v>
      </c>
      <c r="W75" s="149">
        <f ca="1">SUMIF(Siteminder!$A$5:$K$153,Dic!G75,Siteminder!$O$5:$O$153)</f>
        <v>3</v>
      </c>
      <c r="X75" s="278">
        <f>SUMIF(Transbank!$A$2:$A$486,B75,Transbank!$L$2:$L$486)+SUMIF(Transbank!$A$2:$A$486,C75,Transbank!$L$2:$L$486)+SUMIF(Transbank!$A$2:$A$486,D75,Transbank!$L$2:$L$486)+(K75+O75)+(L75+P75)*EERR!$D$2</f>
        <v>446087.41500000004</v>
      </c>
      <c r="Y75" s="283">
        <f>X75/EERR!$D$2</f>
        <v>654.09670962917346</v>
      </c>
      <c r="Z75" s="292">
        <f t="shared" si="8"/>
        <v>-957.02999999996973</v>
      </c>
    </row>
    <row r="76" spans="1:26" s="149" customFormat="1" x14ac:dyDescent="0.3">
      <c r="A76" s="265">
        <v>3601</v>
      </c>
      <c r="B76" s="318">
        <v>714</v>
      </c>
      <c r="C76" s="318"/>
      <c r="D76" s="318"/>
      <c r="E76" s="266" t="s">
        <v>852</v>
      </c>
      <c r="F76" s="266" t="s">
        <v>276</v>
      </c>
      <c r="G76" s="291">
        <v>1812224038438</v>
      </c>
      <c r="H76" s="267">
        <v>43456</v>
      </c>
      <c r="I76" s="267">
        <v>43457</v>
      </c>
      <c r="J76" s="266">
        <v>1</v>
      </c>
      <c r="K76" s="268"/>
      <c r="L76" s="269"/>
      <c r="M76" s="268"/>
      <c r="N76" s="268"/>
      <c r="O76" s="268"/>
      <c r="P76" s="268"/>
      <c r="Q76" s="268"/>
      <c r="R76" s="268">
        <v>218.5</v>
      </c>
      <c r="S76" s="154">
        <f t="shared" si="11"/>
        <v>218.5</v>
      </c>
      <c r="T76" s="154">
        <f t="shared" si="12"/>
        <v>0</v>
      </c>
      <c r="U76" s="152">
        <f>IF(J76=0,(S76+T76/EERR!$D$2/1.19),(S76+T76/EERR!$D$2/1.19)/J76)</f>
        <v>218.5</v>
      </c>
      <c r="V76" s="154">
        <f>T76+S76*EERR!$D$2</f>
        <v>149014.815</v>
      </c>
      <c r="W76" s="149">
        <f ca="1">SUMIF(Siteminder!$A$5:$K$153,Dic!G76,Siteminder!$O$5:$O$153)</f>
        <v>1</v>
      </c>
      <c r="X76" s="278">
        <f>SUMIF(Transbank!$A$2:$A$486,B76,Transbank!$L$2:$L$486)+SUMIF(Transbank!$A$2:$A$486,C76,Transbank!$L$2:$L$486)+SUMIF(Transbank!$A$2:$A$486,D76,Transbank!$L$2:$L$486)+(K76+O76)+(L76+P76)*EERR!$D$2</f>
        <v>149014.815</v>
      </c>
      <c r="Y76" s="283">
        <f>X76/EERR!$D$2</f>
        <v>218.5</v>
      </c>
      <c r="Z76" s="292">
        <f t="shared" si="8"/>
        <v>0</v>
      </c>
    </row>
    <row r="77" spans="1:26" s="149" customFormat="1" x14ac:dyDescent="0.3">
      <c r="A77" s="265">
        <v>3619</v>
      </c>
      <c r="B77" s="318">
        <v>612</v>
      </c>
      <c r="C77" s="318">
        <v>745</v>
      </c>
      <c r="D77" s="318"/>
      <c r="E77" s="266" t="s">
        <v>881</v>
      </c>
      <c r="F77" s="266" t="s">
        <v>276</v>
      </c>
      <c r="G77" s="291">
        <v>1805243469694</v>
      </c>
      <c r="H77" s="267">
        <v>43462</v>
      </c>
      <c r="I77" s="267">
        <v>43465</v>
      </c>
      <c r="J77" s="266">
        <v>6</v>
      </c>
      <c r="K77" s="268"/>
      <c r="L77" s="269"/>
      <c r="M77" s="268"/>
      <c r="N77" s="268">
        <v>874</v>
      </c>
      <c r="O77" s="268"/>
      <c r="P77" s="268"/>
      <c r="Q77" s="268"/>
      <c r="R77" s="268">
        <v>437</v>
      </c>
      <c r="S77" s="154">
        <f t="shared" si="9"/>
        <v>1311</v>
      </c>
      <c r="T77" s="154">
        <f t="shared" si="10"/>
        <v>0</v>
      </c>
      <c r="U77" s="152">
        <f>IF(J77=0,(S77+T77/EERR!$D$2/1.19),(S77+T77/EERR!$D$2/1.19)/J77)</f>
        <v>218.5</v>
      </c>
      <c r="V77" s="154">
        <f>T77+S77*EERR!$D$2</f>
        <v>894088.89</v>
      </c>
      <c r="W77" s="149">
        <f ca="1">SUMIF(Siteminder!$A$5:$K$153,Dic!G77,Siteminder!$O$5:$O$153)</f>
        <v>6</v>
      </c>
      <c r="X77" s="278">
        <f>SUMIF(Transbank!$A$2:$A$486,B77,Transbank!$L$2:$L$486)+SUMIF(Transbank!$A$2:$A$486,C77,Transbank!$L$2:$L$486)+SUMIF(Transbank!$A$2:$A$486,D77,Transbank!$L$2:$L$486)+(K77+O77)+(L77+P77)*EERR!$D$2</f>
        <v>892174.83000000007</v>
      </c>
      <c r="Y77" s="283">
        <f>X77/EERR!$D$2</f>
        <v>1308.1934192583469</v>
      </c>
      <c r="Z77" s="292">
        <f t="shared" si="8"/>
        <v>-1914.0599999999395</v>
      </c>
    </row>
    <row r="78" spans="1:26" s="149" customFormat="1" x14ac:dyDescent="0.3">
      <c r="A78" s="265">
        <v>3620</v>
      </c>
      <c r="B78" s="318">
        <v>668</v>
      </c>
      <c r="C78" s="318"/>
      <c r="D78" s="318"/>
      <c r="E78" s="266" t="s">
        <v>882</v>
      </c>
      <c r="F78" s="266" t="s">
        <v>276</v>
      </c>
      <c r="G78" s="291">
        <v>1812094011283</v>
      </c>
      <c r="H78" s="267">
        <v>43462</v>
      </c>
      <c r="I78" s="267">
        <v>43463</v>
      </c>
      <c r="J78" s="266">
        <v>1</v>
      </c>
      <c r="K78" s="268"/>
      <c r="L78" s="269"/>
      <c r="M78" s="268"/>
      <c r="N78" s="268"/>
      <c r="O78" s="268"/>
      <c r="P78" s="268"/>
      <c r="Q78" s="268"/>
      <c r="R78" s="268">
        <v>218.5</v>
      </c>
      <c r="S78" s="154">
        <f t="shared" si="9"/>
        <v>218.5</v>
      </c>
      <c r="T78" s="154">
        <f t="shared" si="10"/>
        <v>0</v>
      </c>
      <c r="U78" s="152">
        <f>IF(J78=0,(S78+T78/EERR!$D$2/1.19),(S78+T78/EERR!$D$2/1.19)/J78)</f>
        <v>218.5</v>
      </c>
      <c r="V78" s="154">
        <f>T78+S78*EERR!$D$2</f>
        <v>149014.815</v>
      </c>
      <c r="W78" s="149">
        <f ca="1">SUMIF(Siteminder!$A$5:$K$153,Dic!G78,Siteminder!$O$5:$O$153)</f>
        <v>1</v>
      </c>
      <c r="X78" s="278">
        <f>SUMIF(Transbank!$A$2:$A$486,B78,Transbank!$L$2:$L$486)+SUMIF(Transbank!$A$2:$A$486,C78,Transbank!$L$2:$L$486)+SUMIF(Transbank!$A$2:$A$486,D78,Transbank!$L$2:$L$486)+(K78+O78)+(L78+P78)*EERR!$D$2</f>
        <v>149014.815</v>
      </c>
      <c r="Y78" s="283">
        <f>X78/EERR!$D$2</f>
        <v>218.5</v>
      </c>
      <c r="Z78" s="292">
        <f t="shared" si="8"/>
        <v>0</v>
      </c>
    </row>
    <row r="79" spans="1:26" s="149" customFormat="1" x14ac:dyDescent="0.3">
      <c r="A79" s="265">
        <v>3624</v>
      </c>
      <c r="B79" s="318">
        <v>669</v>
      </c>
      <c r="C79" s="318"/>
      <c r="D79" s="318"/>
      <c r="E79" s="266" t="s">
        <v>881</v>
      </c>
      <c r="F79" s="266" t="s">
        <v>276</v>
      </c>
      <c r="G79" s="291">
        <v>1812094011285</v>
      </c>
      <c r="H79" s="267">
        <v>43464</v>
      </c>
      <c r="I79" s="267">
        <v>43465</v>
      </c>
      <c r="J79" s="266">
        <v>1</v>
      </c>
      <c r="K79" s="268"/>
      <c r="L79" s="269"/>
      <c r="M79" s="268"/>
      <c r="N79" s="268"/>
      <c r="O79" s="268"/>
      <c r="P79" s="268"/>
      <c r="Q79" s="268"/>
      <c r="R79" s="268">
        <v>218.5</v>
      </c>
      <c r="S79" s="154">
        <f t="shared" si="9"/>
        <v>218.5</v>
      </c>
      <c r="T79" s="154">
        <f t="shared" si="10"/>
        <v>0</v>
      </c>
      <c r="U79" s="152">
        <f>IF(J79=0,(S79+T79/EERR!$D$2/1.19),(S79+T79/EERR!$D$2/1.19)/J79)</f>
        <v>218.5</v>
      </c>
      <c r="V79" s="154">
        <f>T79+S79*EERR!$D$2</f>
        <v>149014.815</v>
      </c>
      <c r="W79" s="149">
        <f ca="1">SUMIF(Siteminder!$A$5:$K$153,Dic!G79,Siteminder!$O$5:$O$153)</f>
        <v>1</v>
      </c>
      <c r="X79" s="278">
        <f>SUMIF(Transbank!$A$2:$A$486,B79,Transbank!$L$2:$L$486)+SUMIF(Transbank!$A$2:$A$486,C79,Transbank!$L$2:$L$486)+SUMIF(Transbank!$A$2:$A$486,D79,Transbank!$L$2:$L$486)+(K79+O79)+(L79+P79)*EERR!$D$2</f>
        <v>149014.815</v>
      </c>
      <c r="Y79" s="283">
        <f>X79/EERR!$D$2</f>
        <v>218.5</v>
      </c>
      <c r="Z79" s="292">
        <f t="shared" si="8"/>
        <v>0</v>
      </c>
    </row>
    <row r="80" spans="1:26" s="149" customFormat="1" x14ac:dyDescent="0.3">
      <c r="A80" s="323">
        <v>3591</v>
      </c>
      <c r="B80" s="318">
        <v>545</v>
      </c>
      <c r="C80" s="318">
        <v>693</v>
      </c>
      <c r="D80" s="318"/>
      <c r="E80" s="266" t="s">
        <v>1567</v>
      </c>
      <c r="F80" s="266" t="s">
        <v>1568</v>
      </c>
      <c r="G80" s="291">
        <v>1808143699605</v>
      </c>
      <c r="H80" s="267">
        <v>43450</v>
      </c>
      <c r="I80" s="267">
        <v>43455</v>
      </c>
      <c r="J80" s="266">
        <v>5</v>
      </c>
      <c r="K80" s="268"/>
      <c r="L80" s="269"/>
      <c r="M80" s="268"/>
      <c r="N80" s="268">
        <v>779</v>
      </c>
      <c r="O80" s="268"/>
      <c r="P80" s="268"/>
      <c r="Q80" s="268"/>
      <c r="R80" s="268">
        <v>194.75</v>
      </c>
      <c r="S80" s="154">
        <f t="shared" si="9"/>
        <v>973.75</v>
      </c>
      <c r="T80" s="154">
        <f t="shared" si="10"/>
        <v>0</v>
      </c>
      <c r="U80" s="152">
        <f>IF(J80=0,(S80+T80/EERR!$D$2/1.19),(S80+T80/EERR!$D$2/1.19)/J80)</f>
        <v>194.75</v>
      </c>
      <c r="V80" s="154">
        <f>T80+S80*EERR!$D$2</f>
        <v>664087.76249999995</v>
      </c>
      <c r="W80" s="149">
        <f ca="1">SUMIF(Siteminder!$A$5:$K$153,Dic!G80,Siteminder!$O$5:$O$153)</f>
        <v>5</v>
      </c>
      <c r="X80" s="278">
        <f>SUMIF(Transbank!$A$2:$A$486,B80,Transbank!$L$2:$L$486)+SUMIF(Transbank!$A$2:$A$486,C80,Transbank!$L$2:$L$486)+SUMIF(Transbank!$A$2:$A$486,D80,Transbank!$L$2:$L$486)+(K80+O80)+(L80+P80)*EERR!$D$2</f>
        <v>663234.75749999995</v>
      </c>
      <c r="Y80" s="283">
        <f>X80/EERR!$D$2</f>
        <v>972.49924119121977</v>
      </c>
      <c r="Z80" s="292">
        <f t="shared" si="8"/>
        <v>-853.00500000000466</v>
      </c>
    </row>
    <row r="81" spans="1:26" s="149" customFormat="1" x14ac:dyDescent="0.3">
      <c r="A81" s="265"/>
      <c r="B81" s="318"/>
      <c r="C81" s="318"/>
      <c r="D81" s="318"/>
      <c r="E81" s="266"/>
      <c r="F81" s="266"/>
      <c r="G81" s="266"/>
      <c r="H81" s="267"/>
      <c r="I81" s="267"/>
      <c r="J81" s="266"/>
      <c r="K81" s="268"/>
      <c r="L81" s="269"/>
      <c r="M81" s="268"/>
      <c r="N81" s="268"/>
      <c r="O81" s="268"/>
      <c r="P81" s="268"/>
      <c r="Q81" s="268"/>
      <c r="R81" s="268"/>
      <c r="S81" s="154">
        <f t="shared" si="9"/>
        <v>0</v>
      </c>
      <c r="T81" s="154">
        <f t="shared" si="10"/>
        <v>0</v>
      </c>
      <c r="U81" s="152">
        <f>IF(J81=0,(S81+T81/EERR!$D$2/1.19),(S81+T81/EERR!$D$2/1.19)/J81)</f>
        <v>0</v>
      </c>
      <c r="V81" s="154">
        <f>T81+S81*EERR!$D$2</f>
        <v>0</v>
      </c>
      <c r="W81" s="149">
        <f ca="1">SUMIF(Siteminder!$A$5:$K$153,Dic!G81,Siteminder!$O$5:$O$153)</f>
        <v>0</v>
      </c>
      <c r="X81" s="278">
        <f>SUMIF(Transbank!$A$2:$A$486,B81,Transbank!$L$2:$L$486)+(K81+O81)+(L81+P81)*EERR!$D$2</f>
        <v>0</v>
      </c>
      <c r="Y81" s="283">
        <f>X81/EERR!$D$2</f>
        <v>0</v>
      </c>
      <c r="Z81" s="292">
        <f t="shared" si="8"/>
        <v>0</v>
      </c>
    </row>
    <row r="82" spans="1:26" s="149" customFormat="1" x14ac:dyDescent="0.3">
      <c r="A82" s="265"/>
      <c r="B82" s="318"/>
      <c r="C82" s="318"/>
      <c r="D82" s="318"/>
      <c r="E82" s="266"/>
      <c r="F82" s="266"/>
      <c r="G82" s="266"/>
      <c r="H82" s="267"/>
      <c r="I82" s="267"/>
      <c r="J82" s="266"/>
      <c r="K82" s="268"/>
      <c r="L82" s="269"/>
      <c r="M82" s="268"/>
      <c r="N82" s="268"/>
      <c r="O82" s="268"/>
      <c r="P82" s="268"/>
      <c r="Q82" s="268"/>
      <c r="R82" s="268"/>
      <c r="S82" s="154">
        <f t="shared" si="9"/>
        <v>0</v>
      </c>
      <c r="T82" s="154">
        <f t="shared" si="10"/>
        <v>0</v>
      </c>
      <c r="U82" s="152">
        <f>IF(J82=0,(S82+T82/EERR!$D$2/1.19),(S82+T82/EERR!$D$2/1.19)/J82)</f>
        <v>0</v>
      </c>
      <c r="V82" s="154">
        <f>T82+S82*EERR!$D$2</f>
        <v>0</v>
      </c>
      <c r="W82" s="149">
        <f ca="1">SUMIF(Siteminder!$A$5:$K$153,Dic!G82,Siteminder!$O$5:$O$153)</f>
        <v>0</v>
      </c>
      <c r="X82" s="278">
        <f>SUMIF(Transbank!$A$2:$A$486,B82,Transbank!$L$2:$L$486)+(K82+O82)+(L82+P82)*EERR!$D$2</f>
        <v>0</v>
      </c>
      <c r="Y82" s="283">
        <f>X82/EERR!$D$2</f>
        <v>0</v>
      </c>
      <c r="Z82" s="292">
        <f t="shared" si="8"/>
        <v>0</v>
      </c>
    </row>
    <row r="83" spans="1:26" s="149" customFormat="1" x14ac:dyDescent="0.3">
      <c r="A83" s="265"/>
      <c r="B83" s="318"/>
      <c r="C83" s="318"/>
      <c r="D83" s="318"/>
      <c r="E83" s="266"/>
      <c r="F83" s="266"/>
      <c r="G83" s="266"/>
      <c r="H83" s="267"/>
      <c r="I83" s="267"/>
      <c r="J83" s="266"/>
      <c r="K83" s="268"/>
      <c r="L83" s="269"/>
      <c r="M83" s="268"/>
      <c r="N83" s="268"/>
      <c r="O83" s="268"/>
      <c r="P83" s="268"/>
      <c r="Q83" s="268"/>
      <c r="R83" s="268"/>
      <c r="S83" s="154">
        <f t="shared" si="9"/>
        <v>0</v>
      </c>
      <c r="T83" s="154">
        <f t="shared" si="10"/>
        <v>0</v>
      </c>
      <c r="U83" s="152">
        <f>IF(J83=0,(S83+T83/EERR!$D$2/1.19),(S83+T83/EERR!$D$2/1.19)/J83)</f>
        <v>0</v>
      </c>
      <c r="V83" s="154">
        <f>T83+S83*EERR!$D$2</f>
        <v>0</v>
      </c>
      <c r="W83" s="149">
        <f ca="1">SUMIF(Siteminder!$A$5:$K$153,Dic!G83,Siteminder!$O$5:$O$153)</f>
        <v>0</v>
      </c>
      <c r="X83" s="278">
        <f>SUMIF(Transbank!$A$2:$A$486,B83,Transbank!$L$2:$L$486)+(K83+O83)+(L83+P83)*EERR!$D$2</f>
        <v>0</v>
      </c>
      <c r="Y83" s="283">
        <f>X83/EERR!$D$2</f>
        <v>0</v>
      </c>
      <c r="Z83" s="292">
        <f t="shared" si="8"/>
        <v>0</v>
      </c>
    </row>
    <row r="84" spans="1:26" s="149" customFormat="1" x14ac:dyDescent="0.3">
      <c r="A84" s="265"/>
      <c r="B84" s="318"/>
      <c r="C84" s="318"/>
      <c r="D84" s="318"/>
      <c r="E84" s="266"/>
      <c r="F84" s="266"/>
      <c r="G84" s="266"/>
      <c r="H84" s="267"/>
      <c r="I84" s="267"/>
      <c r="J84" s="266"/>
      <c r="K84" s="268"/>
      <c r="L84" s="269"/>
      <c r="M84" s="268"/>
      <c r="N84" s="268"/>
      <c r="O84" s="268"/>
      <c r="P84" s="268"/>
      <c r="Q84" s="268"/>
      <c r="R84" s="268"/>
      <c r="S84" s="154">
        <f t="shared" si="9"/>
        <v>0</v>
      </c>
      <c r="T84" s="154">
        <f t="shared" si="10"/>
        <v>0</v>
      </c>
      <c r="U84" s="152">
        <f>IF(J84=0,(S84+T84/EERR!$D$2/1.19),(S84+T84/EERR!$D$2/1.19)/J84)</f>
        <v>0</v>
      </c>
      <c r="V84" s="154">
        <f>T84+S84*EERR!$D$2</f>
        <v>0</v>
      </c>
      <c r="W84" s="149">
        <f ca="1">SUMIF(Siteminder!$A$5:$K$153,Dic!G84,Siteminder!$K$5:$K$153)</f>
        <v>0</v>
      </c>
      <c r="X84" s="278">
        <f>SUMIF(Transbank!$A$2:$A$486,B84,Transbank!$L$2:$L$486)+(K84+O84)+(L84+P84)*EERR!$D$2</f>
        <v>0</v>
      </c>
      <c r="Y84" s="283">
        <f>X84/EERR!$D$2</f>
        <v>0</v>
      </c>
      <c r="Z84" s="292">
        <f t="shared" si="8"/>
        <v>0</v>
      </c>
    </row>
    <row r="85" spans="1:26" ht="13.8" x14ac:dyDescent="0.3">
      <c r="A85" s="249"/>
      <c r="B85" s="249"/>
      <c r="C85" s="249"/>
      <c r="D85" s="249"/>
      <c r="E85" s="249"/>
      <c r="F85" s="249"/>
      <c r="G85" s="249"/>
      <c r="H85" s="254"/>
      <c r="I85" s="254"/>
      <c r="J85" s="255">
        <f>SUM(J66:J84)</f>
        <v>45</v>
      </c>
      <c r="K85" s="255">
        <f t="shared" ref="K85:T85" si="13">SUM(K66:K84)</f>
        <v>0</v>
      </c>
      <c r="L85" s="255">
        <f t="shared" si="13"/>
        <v>1316.6999999999998</v>
      </c>
      <c r="M85" s="255">
        <f t="shared" si="13"/>
        <v>607049</v>
      </c>
      <c r="N85" s="255">
        <f t="shared" si="13"/>
        <v>4028</v>
      </c>
      <c r="O85" s="255">
        <f t="shared" si="13"/>
        <v>0</v>
      </c>
      <c r="P85" s="255">
        <f t="shared" si="13"/>
        <v>0</v>
      </c>
      <c r="Q85" s="255">
        <f t="shared" si="13"/>
        <v>302630</v>
      </c>
      <c r="R85" s="255">
        <f t="shared" si="13"/>
        <v>2472.85</v>
      </c>
      <c r="S85" s="255">
        <f>SUM(S66:S84)</f>
        <v>7817.5499999999993</v>
      </c>
      <c r="T85" s="255">
        <f t="shared" si="13"/>
        <v>909679</v>
      </c>
      <c r="U85" s="255">
        <f>IF(J85=0,(S85+T85/EERR!$D$2/1.19),(S85+T85/EERR!$D$2/1.19)/J85)</f>
        <v>198.63201183965819</v>
      </c>
      <c r="V85" s="255">
        <f>SUM(V66:V84)</f>
        <v>6241169.9245000016</v>
      </c>
      <c r="W85" s="255">
        <f ca="1">SUM(W66:W84)</f>
        <v>45</v>
      </c>
      <c r="X85" s="255">
        <f>SUM(X66:X84)</f>
        <v>6234062.9365000017</v>
      </c>
      <c r="Y85" s="255"/>
      <c r="Z85" s="292">
        <f t="shared" si="8"/>
        <v>-7106.9879999998957</v>
      </c>
    </row>
    <row r="86" spans="1:26" x14ac:dyDescent="0.3">
      <c r="A86" s="265">
        <v>3583</v>
      </c>
      <c r="B86" s="318">
        <v>628</v>
      </c>
      <c r="C86" s="318"/>
      <c r="D86" s="318"/>
      <c r="E86" s="266" t="s">
        <v>883</v>
      </c>
      <c r="F86" s="266" t="s">
        <v>884</v>
      </c>
      <c r="G86" s="266">
        <v>1157059306</v>
      </c>
      <c r="H86" s="267">
        <v>43446</v>
      </c>
      <c r="I86" s="267">
        <v>43447</v>
      </c>
      <c r="J86" s="266">
        <v>1</v>
      </c>
      <c r="K86" s="268"/>
      <c r="L86" s="269"/>
      <c r="M86" s="268"/>
      <c r="N86" s="268"/>
      <c r="O86" s="268"/>
      <c r="P86" s="268"/>
      <c r="Q86" s="268"/>
      <c r="R86" s="268">
        <v>198</v>
      </c>
      <c r="S86" s="154">
        <f t="shared" ref="S86" si="14">L86+N86+P86+R86</f>
        <v>198</v>
      </c>
      <c r="T86" s="154">
        <f t="shared" ref="T86" si="15">M86+O86+K86+Q86</f>
        <v>0</v>
      </c>
      <c r="U86" s="152">
        <f>IF(J86=0,(S86+T86/EERR!$D$2/1.19),(S86+T86/EERR!$D$2/1.19)/J86)</f>
        <v>198</v>
      </c>
      <c r="V86" s="154">
        <f>T86+S86*EERR!$D$2</f>
        <v>135034.01999999999</v>
      </c>
      <c r="W86" s="149">
        <f ca="1">SUMIF(Siteminder!$A$5:$K$153,Dic!G86,Siteminder!$O$5:$O$153)</f>
        <v>1</v>
      </c>
      <c r="X86" s="278">
        <f>SUMIF(Transbank!$A$2:$A$486,B86,Transbank!$L$2:$L$486)+SUMIF(Transbank!$A$2:$A$486,C86,Transbank!$L$2:$L$486)+SUMIF(Transbank!$A$2:$A$486,D86,Transbank!$L$2:$L$486)+(K86+O86)+(L86+P86)*EERR!$D$2</f>
        <v>135034.01999999999</v>
      </c>
      <c r="Y86" s="284">
        <f>X86/EERR!$D$2</f>
        <v>197.99999999999997</v>
      </c>
      <c r="Z86" s="292">
        <f t="shared" si="8"/>
        <v>0</v>
      </c>
    </row>
    <row r="87" spans="1:26" s="149" customFormat="1" x14ac:dyDescent="0.3">
      <c r="A87" s="265">
        <v>3566</v>
      </c>
      <c r="B87" s="318">
        <v>496</v>
      </c>
      <c r="C87" s="318">
        <v>627</v>
      </c>
      <c r="D87" s="318"/>
      <c r="E87" s="266" t="s">
        <v>885</v>
      </c>
      <c r="F87" s="266" t="s">
        <v>236</v>
      </c>
      <c r="G87" s="266">
        <v>1051195434</v>
      </c>
      <c r="H87" s="267">
        <v>43437</v>
      </c>
      <c r="I87" s="267">
        <v>43439</v>
      </c>
      <c r="J87" s="266">
        <v>2</v>
      </c>
      <c r="K87" s="268"/>
      <c r="L87" s="269"/>
      <c r="M87" s="268"/>
      <c r="N87" s="268">
        <v>205</v>
      </c>
      <c r="O87" s="268"/>
      <c r="P87" s="268"/>
      <c r="Q87" s="268"/>
      <c r="R87" s="268">
        <v>205</v>
      </c>
      <c r="S87" s="154">
        <f t="shared" ref="S87:S108" si="16">L87+N87+P87+R87</f>
        <v>410</v>
      </c>
      <c r="T87" s="154">
        <f t="shared" ref="T87:T108" si="17">M87+O87+K87+Q87</f>
        <v>0</v>
      </c>
      <c r="U87" s="152">
        <f>IF(J87=0,(S87+T87/EERR!$D$2/1.19),(S87+T87/EERR!$D$2/1.19)/J87)</f>
        <v>205</v>
      </c>
      <c r="V87" s="154">
        <f>T87+S87*EERR!$D$2</f>
        <v>279615.90000000002</v>
      </c>
      <c r="W87" s="149">
        <f ca="1">SUMIF(Siteminder!$A$5:$K$153,Dic!G87,Siteminder!$O$5:$O$153)</f>
        <v>2</v>
      </c>
      <c r="X87" s="278">
        <f>SUMIF(Transbank!$A$2:$A$486,B87,Transbank!$L$2:$L$486)+SUMIF(Transbank!$A$2:$A$486,C87,Transbank!$L$2:$L$486)+SUMIF(Transbank!$A$2:$A$486,D87,Transbank!$L$2:$L$486)+(K87+O87)+(L87+P87)*EERR!$D$2</f>
        <v>278718</v>
      </c>
      <c r="Y87" s="284">
        <f>X87/EERR!$D$2</f>
        <v>408.68341178023138</v>
      </c>
      <c r="Z87" s="292">
        <f t="shared" si="8"/>
        <v>-897.90000000002328</v>
      </c>
    </row>
    <row r="88" spans="1:26" s="149" customFormat="1" x14ac:dyDescent="0.3">
      <c r="A88" s="265">
        <v>3573</v>
      </c>
      <c r="B88" s="318">
        <v>629</v>
      </c>
      <c r="C88" s="318">
        <v>646</v>
      </c>
      <c r="D88" s="318"/>
      <c r="E88" s="266" t="s">
        <v>883</v>
      </c>
      <c r="F88" s="266" t="s">
        <v>236</v>
      </c>
      <c r="G88" s="266">
        <v>1157057239</v>
      </c>
      <c r="H88" s="267">
        <v>43440</v>
      </c>
      <c r="I88" s="267">
        <v>43443</v>
      </c>
      <c r="J88" s="266">
        <v>3</v>
      </c>
      <c r="K88" s="268"/>
      <c r="L88" s="269"/>
      <c r="M88" s="268"/>
      <c r="N88" s="268">
        <v>396</v>
      </c>
      <c r="O88" s="268"/>
      <c r="P88" s="268"/>
      <c r="Q88" s="268"/>
      <c r="R88" s="268">
        <v>198</v>
      </c>
      <c r="S88" s="154">
        <f t="shared" si="16"/>
        <v>594</v>
      </c>
      <c r="T88" s="154">
        <f t="shared" si="17"/>
        <v>0</v>
      </c>
      <c r="U88" s="152">
        <f>IF(J88=0,(S88+T88/EERR!$D$2/1.19),(S88+T88/EERR!$D$2/1.19)/J88)</f>
        <v>198</v>
      </c>
      <c r="V88" s="154">
        <f>T88+S88*EERR!$D$2</f>
        <v>405102.06</v>
      </c>
      <c r="W88" s="149">
        <f ca="1">SUMIF(Siteminder!$A$5:$K$153,Dic!G88,Siteminder!$O$5:$O$153)</f>
        <v>3</v>
      </c>
      <c r="X88" s="278">
        <f>SUMIF(Transbank!$A$2:$A$486,B88,Transbank!$L$2:$L$486)+SUMIF(Transbank!$A$2:$A$486,C88,Transbank!$L$2:$L$486)+SUMIF(Transbank!$A$2:$A$486,D88,Transbank!$L$2:$L$486)+(K88+O88)+(L88+P88)*EERR!$D$2</f>
        <v>405102.05999999994</v>
      </c>
      <c r="Y88" s="284">
        <f>X88/EERR!$D$2</f>
        <v>593.99999999999989</v>
      </c>
      <c r="Z88" s="292">
        <f t="shared" si="8"/>
        <v>0</v>
      </c>
    </row>
    <row r="89" spans="1:26" s="149" customFormat="1" x14ac:dyDescent="0.3">
      <c r="A89" s="265">
        <v>3577</v>
      </c>
      <c r="B89" s="318">
        <v>511</v>
      </c>
      <c r="C89" s="318">
        <v>654</v>
      </c>
      <c r="D89" s="318"/>
      <c r="E89" s="266" t="s">
        <v>886</v>
      </c>
      <c r="F89" s="266" t="s">
        <v>236</v>
      </c>
      <c r="G89" s="266">
        <v>1106455097</v>
      </c>
      <c r="H89" s="267">
        <v>43441</v>
      </c>
      <c r="I89" s="267">
        <v>43444</v>
      </c>
      <c r="J89" s="266">
        <v>3</v>
      </c>
      <c r="K89" s="268"/>
      <c r="L89" s="269"/>
      <c r="M89" s="268"/>
      <c r="N89" s="268">
        <v>396</v>
      </c>
      <c r="O89" s="268"/>
      <c r="P89" s="268"/>
      <c r="Q89" s="268"/>
      <c r="R89" s="268">
        <v>198</v>
      </c>
      <c r="S89" s="154">
        <f t="shared" si="16"/>
        <v>594</v>
      </c>
      <c r="T89" s="154">
        <f t="shared" si="17"/>
        <v>0</v>
      </c>
      <c r="U89" s="152">
        <f>IF(J89=0,(S89+T89/EERR!$D$2/1.19),(S89+T89/EERR!$D$2/1.19)/J89)</f>
        <v>198</v>
      </c>
      <c r="V89" s="154">
        <f>T89+S89*EERR!$D$2</f>
        <v>405102.06</v>
      </c>
      <c r="W89" s="149">
        <f ca="1">SUMIF(Siteminder!$A$5:$K$153,Dic!G89,Siteminder!$O$5:$O$153)</f>
        <v>3</v>
      </c>
      <c r="X89" s="278">
        <f>SUMIF(Transbank!$A$2:$A$486,B89,Transbank!$L$2:$L$486)+SUMIF(Transbank!$A$2:$A$486,C89,Transbank!$L$2:$L$486)+SUMIF(Transbank!$A$2:$A$486,D89,Transbank!$L$2:$L$486)+(K89+O89)+(L89+P89)*EERR!$D$2</f>
        <v>404234.81999999995</v>
      </c>
      <c r="Y89" s="284">
        <f>X89/EERR!$D$2</f>
        <v>592.72836845115023</v>
      </c>
      <c r="Z89" s="292">
        <f t="shared" si="8"/>
        <v>-867.24000000004889</v>
      </c>
    </row>
    <row r="90" spans="1:26" s="149" customFormat="1" x14ac:dyDescent="0.3">
      <c r="A90" s="265">
        <v>3588</v>
      </c>
      <c r="B90" s="318">
        <v>541</v>
      </c>
      <c r="C90" s="318">
        <v>689</v>
      </c>
      <c r="D90" s="318"/>
      <c r="E90" s="266" t="s">
        <v>887</v>
      </c>
      <c r="F90" s="266" t="s">
        <v>236</v>
      </c>
      <c r="G90" s="266">
        <v>1041592774</v>
      </c>
      <c r="H90" s="267">
        <v>43448</v>
      </c>
      <c r="I90" s="267">
        <v>43452</v>
      </c>
      <c r="J90" s="266">
        <v>4</v>
      </c>
      <c r="K90" s="268"/>
      <c r="L90" s="269"/>
      <c r="M90" s="268"/>
      <c r="N90" s="268">
        <v>615</v>
      </c>
      <c r="O90" s="268"/>
      <c r="P90" s="268"/>
      <c r="Q90" s="268"/>
      <c r="R90" s="268">
        <v>205</v>
      </c>
      <c r="S90" s="154">
        <f t="shared" si="16"/>
        <v>820</v>
      </c>
      <c r="T90" s="154">
        <f t="shared" si="17"/>
        <v>0</v>
      </c>
      <c r="U90" s="152">
        <f>IF(J90=0,(S90+T90/EERR!$D$2/1.19),(S90+T90/EERR!$D$2/1.19)/J90)</f>
        <v>205</v>
      </c>
      <c r="V90" s="154">
        <f>T90+S90*EERR!$D$2</f>
        <v>559231.80000000005</v>
      </c>
      <c r="W90" s="149">
        <f ca="1">SUMIF(Siteminder!$A$5:$K$153,Dic!G90,Siteminder!$O$5:$O$153)</f>
        <v>4</v>
      </c>
      <c r="X90" s="278">
        <f>SUMIF(Transbank!$A$2:$A$486,B90,Transbank!$L$2:$L$486)+SUMIF(Transbank!$A$2:$A$486,C90,Transbank!$L$2:$L$486)+SUMIF(Transbank!$A$2:$A$486,D90,Transbank!$L$2:$L$486)+(K90+O90)+(L90+P90)*EERR!$D$2</f>
        <v>558333.89999999991</v>
      </c>
      <c r="Y90" s="284">
        <f>X90/EERR!$D$2</f>
        <v>818.68341178023127</v>
      </c>
      <c r="Z90" s="292">
        <f t="shared" si="8"/>
        <v>-897.9000000001397</v>
      </c>
    </row>
    <row r="91" spans="1:26" s="149" customFormat="1" x14ac:dyDescent="0.3">
      <c r="A91" s="265">
        <v>3593</v>
      </c>
      <c r="B91" s="318">
        <v>613</v>
      </c>
      <c r="C91" s="318"/>
      <c r="D91" s="318"/>
      <c r="E91" s="266" t="s">
        <v>888</v>
      </c>
      <c r="F91" s="266" t="s">
        <v>236</v>
      </c>
      <c r="G91" s="266">
        <v>1156346575</v>
      </c>
      <c r="H91" s="267">
        <v>43451</v>
      </c>
      <c r="I91" s="267">
        <v>43452</v>
      </c>
      <c r="J91" s="266">
        <v>1</v>
      </c>
      <c r="K91" s="268"/>
      <c r="L91" s="269"/>
      <c r="M91" s="268"/>
      <c r="N91" s="268"/>
      <c r="O91" s="268"/>
      <c r="P91" s="268"/>
      <c r="Q91" s="268"/>
      <c r="R91" s="268">
        <v>205</v>
      </c>
      <c r="S91" s="154">
        <f t="shared" si="16"/>
        <v>205</v>
      </c>
      <c r="T91" s="154">
        <f t="shared" si="17"/>
        <v>0</v>
      </c>
      <c r="U91" s="152">
        <f>IF(J91=0,(S91+T91/EERR!$D$2/1.19),(S91+T91/EERR!$D$2/1.19)/J91)</f>
        <v>205</v>
      </c>
      <c r="V91" s="154">
        <f>T91+S91*EERR!$D$2</f>
        <v>139807.95000000001</v>
      </c>
      <c r="W91" s="149">
        <f ca="1">SUMIF(Siteminder!$A$5:$K$153,Dic!G91,Siteminder!$O$5:$O$153)</f>
        <v>1</v>
      </c>
      <c r="X91" s="278">
        <f>SUMIF(Transbank!$A$2:$A$486,B91,Transbank!$L$2:$L$486)+SUMIF(Transbank!$A$2:$A$486,C91,Transbank!$L$2:$L$486)+SUMIF(Transbank!$A$2:$A$486,D91,Transbank!$L$2:$L$486)+(K91+O91)+(L91+P91)*EERR!$D$2</f>
        <v>138910.04999999999</v>
      </c>
      <c r="Y91" s="284">
        <f>X91/EERR!$D$2</f>
        <v>203.68341178023135</v>
      </c>
      <c r="Z91" s="292">
        <f t="shared" si="8"/>
        <v>-897.90000000002328</v>
      </c>
    </row>
    <row r="92" spans="1:26" s="149" customFormat="1" x14ac:dyDescent="0.3">
      <c r="A92" s="265">
        <v>3594</v>
      </c>
      <c r="B92" s="318">
        <v>563</v>
      </c>
      <c r="C92" s="318">
        <v>699</v>
      </c>
      <c r="D92" s="318"/>
      <c r="E92" s="266" t="s">
        <v>889</v>
      </c>
      <c r="F92" s="266" t="s">
        <v>236</v>
      </c>
      <c r="G92" s="266">
        <v>1125004701</v>
      </c>
      <c r="H92" s="267">
        <v>43453</v>
      </c>
      <c r="I92" s="267">
        <v>43455</v>
      </c>
      <c r="J92" s="266">
        <v>2</v>
      </c>
      <c r="K92" s="268"/>
      <c r="L92" s="269"/>
      <c r="M92" s="268"/>
      <c r="N92" s="268">
        <v>205</v>
      </c>
      <c r="O92" s="268"/>
      <c r="P92" s="268"/>
      <c r="Q92" s="268"/>
      <c r="R92" s="268">
        <v>205</v>
      </c>
      <c r="S92" s="154">
        <f t="shared" si="16"/>
        <v>410</v>
      </c>
      <c r="T92" s="154">
        <f t="shared" si="17"/>
        <v>0</v>
      </c>
      <c r="U92" s="152">
        <f>IF(J92=0,(S92+T92/EERR!$D$2/1.19),(S92+T92/EERR!$D$2/1.19)/J92)</f>
        <v>205</v>
      </c>
      <c r="V92" s="154">
        <f>T92+S92*EERR!$D$2</f>
        <v>279615.90000000002</v>
      </c>
      <c r="W92" s="149">
        <f ca="1">SUMIF(Siteminder!$A$5:$K$153,Dic!G92,Siteminder!$O$5:$O$153)</f>
        <v>2</v>
      </c>
      <c r="X92" s="278">
        <f>SUMIF(Transbank!$A$2:$A$486,B92,Transbank!$L$2:$L$486)+SUMIF(Transbank!$A$2:$A$486,C92,Transbank!$L$2:$L$486)+SUMIF(Transbank!$A$2:$A$486,D92,Transbank!$L$2:$L$486)+(K92+O92)+(L92+P92)*EERR!$D$2</f>
        <v>278718</v>
      </c>
      <c r="Y92" s="284">
        <f>X92/EERR!$D$2</f>
        <v>408.68341178023138</v>
      </c>
      <c r="Z92" s="292">
        <f t="shared" si="8"/>
        <v>-897.90000000002328</v>
      </c>
    </row>
    <row r="93" spans="1:26" s="149" customFormat="1" x14ac:dyDescent="0.3">
      <c r="A93" s="265">
        <v>3608</v>
      </c>
      <c r="B93" s="318">
        <v>596</v>
      </c>
      <c r="C93" s="318">
        <v>726</v>
      </c>
      <c r="D93" s="318"/>
      <c r="E93" s="266" t="s">
        <v>890</v>
      </c>
      <c r="F93" s="266" t="s">
        <v>236</v>
      </c>
      <c r="G93" s="266">
        <v>1091397929</v>
      </c>
      <c r="H93" s="267">
        <v>43458</v>
      </c>
      <c r="I93" s="267">
        <v>43462</v>
      </c>
      <c r="J93" s="266">
        <v>4</v>
      </c>
      <c r="K93" s="268"/>
      <c r="L93" s="269"/>
      <c r="M93" s="268"/>
      <c r="N93" s="268">
        <v>640</v>
      </c>
      <c r="O93" s="268"/>
      <c r="P93" s="268"/>
      <c r="Q93" s="268"/>
      <c r="R93" s="268">
        <v>230</v>
      </c>
      <c r="S93" s="154">
        <f t="shared" si="16"/>
        <v>870</v>
      </c>
      <c r="T93" s="154">
        <f t="shared" si="17"/>
        <v>0</v>
      </c>
      <c r="U93" s="152">
        <f>IF(J93=0,(S93+T93/EERR!$D$2/1.19),(S93+T93/EERR!$D$2/1.19)/J93)</f>
        <v>217.5</v>
      </c>
      <c r="V93" s="154">
        <f>T93+S93*EERR!$D$2</f>
        <v>593331.30000000005</v>
      </c>
      <c r="W93" s="149">
        <f ca="1">SUMIF(Siteminder!$A$5:$K$153,Dic!G93,Siteminder!$O$5:$O$153)</f>
        <v>4</v>
      </c>
      <c r="X93" s="278">
        <f>SUMIF(Transbank!$A$2:$A$486,B93,Transbank!$L$2:$L$486)+SUMIF(Transbank!$A$2:$A$486,C93,Transbank!$L$2:$L$486)+SUMIF(Transbank!$A$2:$A$486,D93,Transbank!$L$2:$L$486)+(K93+O93)+(L93+P93)*EERR!$D$2</f>
        <v>592323.9</v>
      </c>
      <c r="Y93" s="284">
        <f>X93/EERR!$D$2</f>
        <v>868.52285224123523</v>
      </c>
      <c r="Z93" s="292">
        <f t="shared" si="8"/>
        <v>-1007.4000000000233</v>
      </c>
    </row>
    <row r="94" spans="1:26" s="149" customFormat="1" x14ac:dyDescent="0.3">
      <c r="A94" s="265">
        <v>3609</v>
      </c>
      <c r="B94" s="318">
        <v>597</v>
      </c>
      <c r="C94" s="318">
        <v>727</v>
      </c>
      <c r="D94" s="318"/>
      <c r="E94" s="266" t="s">
        <v>891</v>
      </c>
      <c r="F94" s="266" t="s">
        <v>236</v>
      </c>
      <c r="G94" s="266">
        <v>1091398984</v>
      </c>
      <c r="H94" s="267">
        <v>43458</v>
      </c>
      <c r="I94" s="267">
        <v>43462</v>
      </c>
      <c r="J94" s="266">
        <v>4</v>
      </c>
      <c r="K94" s="268"/>
      <c r="L94" s="269"/>
      <c r="M94" s="268"/>
      <c r="N94" s="268">
        <v>640</v>
      </c>
      <c r="O94" s="268"/>
      <c r="P94" s="268"/>
      <c r="Q94" s="268"/>
      <c r="R94" s="268">
        <v>230</v>
      </c>
      <c r="S94" s="154">
        <f t="shared" si="16"/>
        <v>870</v>
      </c>
      <c r="T94" s="154">
        <f t="shared" si="17"/>
        <v>0</v>
      </c>
      <c r="U94" s="152">
        <f>IF(J94=0,(S94+T94/EERR!$D$2/1.19),(S94+T94/EERR!$D$2/1.19)/J94)</f>
        <v>217.5</v>
      </c>
      <c r="V94" s="154">
        <f>T94+S94*EERR!$D$2</f>
        <v>593331.30000000005</v>
      </c>
      <c r="W94" s="149">
        <f ca="1">SUMIF(Siteminder!$A$5:$K$153,Dic!G94,Siteminder!$O$5:$O$153)</f>
        <v>4</v>
      </c>
      <c r="X94" s="278">
        <f>SUMIF(Transbank!$A$2:$A$486,B94,Transbank!$L$2:$L$486)+SUMIF(Transbank!$A$2:$A$486,C94,Transbank!$L$2:$L$486)+SUMIF(Transbank!$A$2:$A$486,D94,Transbank!$L$2:$L$486)+(K94+O94)+(L94+P94)*EERR!$D$2</f>
        <v>592323.9</v>
      </c>
      <c r="Y94" s="284">
        <f>X94/EERR!$D$2</f>
        <v>868.52285224123523</v>
      </c>
      <c r="Z94" s="292">
        <f t="shared" si="8"/>
        <v>-1007.4000000000233</v>
      </c>
    </row>
    <row r="95" spans="1:26" s="149" customFormat="1" x14ac:dyDescent="0.3">
      <c r="A95" s="265">
        <v>3612</v>
      </c>
      <c r="B95" s="318">
        <v>614</v>
      </c>
      <c r="C95" s="318"/>
      <c r="D95" s="318"/>
      <c r="E95" s="266" t="s">
        <v>892</v>
      </c>
      <c r="F95" s="266" t="s">
        <v>236</v>
      </c>
      <c r="G95" s="266">
        <v>1134230363</v>
      </c>
      <c r="H95" s="267">
        <v>43460</v>
      </c>
      <c r="I95" s="267">
        <v>43461</v>
      </c>
      <c r="J95" s="266">
        <v>1</v>
      </c>
      <c r="K95" s="268"/>
      <c r="L95" s="269"/>
      <c r="M95" s="268"/>
      <c r="N95" s="268"/>
      <c r="O95" s="268"/>
      <c r="P95" s="268"/>
      <c r="Q95" s="268"/>
      <c r="R95" s="268">
        <v>205</v>
      </c>
      <c r="S95" s="154">
        <f t="shared" si="16"/>
        <v>205</v>
      </c>
      <c r="T95" s="154">
        <f t="shared" si="17"/>
        <v>0</v>
      </c>
      <c r="U95" s="152">
        <f>IF(J95=0,(S95+T95/EERR!$D$2/1.19),(S95+T95/EERR!$D$2/1.19)/J95)</f>
        <v>205</v>
      </c>
      <c r="V95" s="154">
        <f>T95+S95*EERR!$D$2</f>
        <v>139807.95000000001</v>
      </c>
      <c r="W95" s="149">
        <f ca="1">SUMIF(Siteminder!$A$5:$K$153,Dic!G95,Siteminder!$O$5:$O$153)</f>
        <v>1</v>
      </c>
      <c r="X95" s="278">
        <f>SUMIF(Transbank!$A$2:$A$486,B95,Transbank!$L$2:$L$486)+SUMIF(Transbank!$A$2:$A$486,C95,Transbank!$L$2:$L$486)+SUMIF(Transbank!$A$2:$A$486,D95,Transbank!$L$2:$L$486)+(K95+O95)+(L95+P95)*EERR!$D$2</f>
        <v>138910.04999999999</v>
      </c>
      <c r="Y95" s="284">
        <f>X95/EERR!$D$2</f>
        <v>203.68341178023135</v>
      </c>
      <c r="Z95" s="292">
        <f t="shared" si="8"/>
        <v>-897.90000000002328</v>
      </c>
    </row>
    <row r="96" spans="1:26" s="149" customFormat="1" x14ac:dyDescent="0.3">
      <c r="A96" s="265">
        <v>3613</v>
      </c>
      <c r="B96" s="318">
        <v>615</v>
      </c>
      <c r="C96" s="318"/>
      <c r="D96" s="318"/>
      <c r="E96" s="266" t="s">
        <v>893</v>
      </c>
      <c r="F96" s="266" t="s">
        <v>236</v>
      </c>
      <c r="G96" s="266">
        <v>1123251878</v>
      </c>
      <c r="H96" s="267">
        <v>43461</v>
      </c>
      <c r="I96" s="267">
        <v>43462</v>
      </c>
      <c r="J96" s="266">
        <v>1</v>
      </c>
      <c r="K96" s="268"/>
      <c r="L96" s="269"/>
      <c r="M96" s="268"/>
      <c r="N96" s="268"/>
      <c r="O96" s="268"/>
      <c r="P96" s="268"/>
      <c r="Q96" s="268"/>
      <c r="R96" s="268">
        <v>205</v>
      </c>
      <c r="S96" s="154">
        <f t="shared" si="16"/>
        <v>205</v>
      </c>
      <c r="T96" s="154">
        <f t="shared" si="17"/>
        <v>0</v>
      </c>
      <c r="U96" s="152">
        <f>IF(J96=0,(S96+T96/EERR!$D$2/1.19),(S96+T96/EERR!$D$2/1.19)/J96)</f>
        <v>205</v>
      </c>
      <c r="V96" s="154">
        <f>T96+S96*EERR!$D$2</f>
        <v>139807.95000000001</v>
      </c>
      <c r="W96" s="149">
        <f ca="1">SUMIF(Siteminder!$A$5:$K$153,Dic!G96,Siteminder!$O$5:$O$153)</f>
        <v>1</v>
      </c>
      <c r="X96" s="278">
        <f>SUMIF(Transbank!$A$2:$A$486,B96,Transbank!$L$2:$L$486)+SUMIF(Transbank!$A$2:$A$486,C96,Transbank!$L$2:$L$486)+SUMIF(Transbank!$A$2:$A$486,D96,Transbank!$L$2:$L$486)+(K96+O96)+(L96+P96)*EERR!$D$2</f>
        <v>138910.04999999999</v>
      </c>
      <c r="Y96" s="284">
        <f>X96/EERR!$D$2</f>
        <v>203.68341178023135</v>
      </c>
      <c r="Z96" s="292">
        <f t="shared" si="8"/>
        <v>-897.90000000002328</v>
      </c>
    </row>
    <row r="97" spans="1:26" s="149" customFormat="1" x14ac:dyDescent="0.3">
      <c r="A97" s="265">
        <v>3618</v>
      </c>
      <c r="B97" s="318">
        <v>639</v>
      </c>
      <c r="C97" s="318"/>
      <c r="D97" s="318"/>
      <c r="E97" s="266" t="s">
        <v>894</v>
      </c>
      <c r="F97" s="266" t="s">
        <v>236</v>
      </c>
      <c r="G97" s="266">
        <v>1137951160</v>
      </c>
      <c r="H97" s="267">
        <v>43462</v>
      </c>
      <c r="I97" s="267">
        <v>43464</v>
      </c>
      <c r="J97" s="266">
        <v>2</v>
      </c>
      <c r="K97" s="268"/>
      <c r="L97" s="269">
        <v>230</v>
      </c>
      <c r="M97" s="268"/>
      <c r="N97" s="268"/>
      <c r="O97" s="268"/>
      <c r="P97" s="268"/>
      <c r="Q97" s="268"/>
      <c r="R97" s="268">
        <v>230</v>
      </c>
      <c r="S97" s="154">
        <f t="shared" si="16"/>
        <v>460</v>
      </c>
      <c r="T97" s="154">
        <f t="shared" si="17"/>
        <v>0</v>
      </c>
      <c r="U97" s="152">
        <f>IF(J97=0,(S97+T97/EERR!$D$2/1.19),(S97+T97/EERR!$D$2/1.19)/J97)</f>
        <v>230</v>
      </c>
      <c r="V97" s="154">
        <f>T97+S97*EERR!$D$2</f>
        <v>313715.40000000002</v>
      </c>
      <c r="W97" s="149">
        <f ca="1">SUMIF(Siteminder!$A$5:$K$153,Dic!G97,Siteminder!$O$5:$O$153)</f>
        <v>2</v>
      </c>
      <c r="X97" s="278">
        <f>SUMIF(Transbank!$A$2:$A$486,B97,Transbank!$L$2:$L$486)+SUMIF(Transbank!$A$2:$A$486,C97,Transbank!$L$2:$L$486)+SUMIF(Transbank!$A$2:$A$486,D97,Transbank!$L$2:$L$486)+(K97+O97)+(L97+P97)*EERR!$D$2</f>
        <v>313715.40000000002</v>
      </c>
      <c r="Y97" s="284">
        <f>X97/EERR!$D$2</f>
        <v>460</v>
      </c>
      <c r="Z97" s="292">
        <f t="shared" si="8"/>
        <v>0</v>
      </c>
    </row>
    <row r="98" spans="1:26" s="149" customFormat="1" x14ac:dyDescent="0.3">
      <c r="A98" s="265">
        <v>3625</v>
      </c>
      <c r="B98" s="318">
        <v>707</v>
      </c>
      <c r="C98" s="318"/>
      <c r="D98" s="318"/>
      <c r="E98" s="266" t="s">
        <v>895</v>
      </c>
      <c r="F98" s="266" t="s">
        <v>236</v>
      </c>
      <c r="G98" s="266">
        <v>1166677429</v>
      </c>
      <c r="H98" s="267">
        <v>43464</v>
      </c>
      <c r="I98" s="267">
        <v>43465</v>
      </c>
      <c r="J98" s="266">
        <v>1</v>
      </c>
      <c r="K98" s="268"/>
      <c r="L98" s="269"/>
      <c r="M98" s="268"/>
      <c r="N98" s="268"/>
      <c r="O98" s="268"/>
      <c r="P98" s="268"/>
      <c r="Q98" s="268"/>
      <c r="R98" s="268">
        <v>230</v>
      </c>
      <c r="S98" s="154">
        <f t="shared" si="16"/>
        <v>230</v>
      </c>
      <c r="T98" s="154">
        <f t="shared" si="17"/>
        <v>0</v>
      </c>
      <c r="U98" s="152">
        <f>IF(J98=0,(S98+T98/EERR!$D$2/1.19),(S98+T98/EERR!$D$2/1.19)/J98)</f>
        <v>230</v>
      </c>
      <c r="V98" s="154">
        <f>T98+S98*EERR!$D$2</f>
        <v>156857.70000000001</v>
      </c>
      <c r="W98" s="149">
        <f ca="1">SUMIF(Siteminder!$A$5:$K$153,Dic!G98,Siteminder!$O$5:$O$153)</f>
        <v>1</v>
      </c>
      <c r="X98" s="278">
        <f>SUMIF(Transbank!$A$2:$A$486,B98,Transbank!$L$2:$L$486)+SUMIF(Transbank!$A$2:$A$486,C98,Transbank!$L$2:$L$486)+SUMIF(Transbank!$A$2:$A$486,D98,Transbank!$L$2:$L$486)+(K98+O98)+(L98+P98)*EERR!$D$2</f>
        <v>156857.70000000001</v>
      </c>
      <c r="Y98" s="284">
        <f>X98/EERR!$D$2</f>
        <v>230</v>
      </c>
      <c r="Z98" s="292">
        <f t="shared" si="8"/>
        <v>0</v>
      </c>
    </row>
    <row r="99" spans="1:26" s="149" customFormat="1" x14ac:dyDescent="0.3">
      <c r="A99" s="265">
        <v>3626</v>
      </c>
      <c r="B99" s="318">
        <v>616</v>
      </c>
      <c r="C99" s="318"/>
      <c r="D99" s="318"/>
      <c r="E99" s="266" t="s">
        <v>896</v>
      </c>
      <c r="F99" s="266" t="s">
        <v>236</v>
      </c>
      <c r="G99" s="266">
        <v>1137449760</v>
      </c>
      <c r="H99" s="267">
        <v>43464</v>
      </c>
      <c r="I99" s="267">
        <v>43465</v>
      </c>
      <c r="J99" s="266">
        <v>1</v>
      </c>
      <c r="K99" s="268"/>
      <c r="L99" s="269"/>
      <c r="M99" s="268"/>
      <c r="N99" s="268"/>
      <c r="O99" s="268"/>
      <c r="P99" s="268"/>
      <c r="Q99" s="268"/>
      <c r="R99" s="268">
        <v>230</v>
      </c>
      <c r="S99" s="154">
        <f t="shared" si="16"/>
        <v>230</v>
      </c>
      <c r="T99" s="154">
        <f t="shared" si="17"/>
        <v>0</v>
      </c>
      <c r="U99" s="152">
        <f>IF(J99=0,(S99+T99/EERR!$D$2/1.19),(S99+T99/EERR!$D$2/1.19)/J99)</f>
        <v>230</v>
      </c>
      <c r="V99" s="154">
        <f>T99+S99*EERR!$D$2</f>
        <v>156857.70000000001</v>
      </c>
      <c r="W99" s="149">
        <f ca="1">SUMIF(Siteminder!$A$5:$K$153,Dic!G99,Siteminder!$O$5:$O$153)</f>
        <v>1</v>
      </c>
      <c r="X99" s="278">
        <f>SUMIF(Transbank!$A$2:$A$486,B99,Transbank!$L$2:$L$486)+SUMIF(Transbank!$A$2:$A$486,C99,Transbank!$L$2:$L$486)+SUMIF(Transbank!$A$2:$A$486,D99,Transbank!$L$2:$L$486)+(K99+O99)+(L99+P99)*EERR!$D$2</f>
        <v>155850.30000000002</v>
      </c>
      <c r="Y99" s="284">
        <f>X99/EERR!$D$2</f>
        <v>228.52285224123523</v>
      </c>
      <c r="Z99" s="292">
        <f t="shared" si="8"/>
        <v>-1007.3999999999942</v>
      </c>
    </row>
    <row r="100" spans="1:26" s="149" customFormat="1" x14ac:dyDescent="0.3">
      <c r="A100" s="265">
        <v>3631</v>
      </c>
      <c r="B100" s="318">
        <v>632</v>
      </c>
      <c r="C100" s="318"/>
      <c r="D100" s="318"/>
      <c r="E100" s="266" t="s">
        <v>897</v>
      </c>
      <c r="F100" s="266" t="s">
        <v>236</v>
      </c>
      <c r="G100" s="266">
        <v>1067768257</v>
      </c>
      <c r="H100" s="267">
        <v>43465</v>
      </c>
      <c r="I100" s="267">
        <v>43466</v>
      </c>
      <c r="J100" s="266">
        <v>1</v>
      </c>
      <c r="K100" s="268"/>
      <c r="L100" s="269"/>
      <c r="M100" s="268"/>
      <c r="N100" s="268"/>
      <c r="O100" s="268"/>
      <c r="P100" s="268"/>
      <c r="Q100" s="268"/>
      <c r="R100" s="268">
        <v>230</v>
      </c>
      <c r="S100" s="154">
        <f t="shared" si="16"/>
        <v>230</v>
      </c>
      <c r="T100" s="154">
        <f t="shared" si="17"/>
        <v>0</v>
      </c>
      <c r="U100" s="152">
        <f>IF(J100=0,(S100+T100/EERR!$D$2/1.19),(S100+T100/EERR!$D$2/1.19)/J100)</f>
        <v>230</v>
      </c>
      <c r="V100" s="154">
        <f>T100+S100*EERR!$D$2</f>
        <v>156857.70000000001</v>
      </c>
      <c r="W100" s="149">
        <f ca="1">SUMIF(Siteminder!$A$5:$K$153,Dic!G100,Siteminder!$O$5:$O$153)</f>
        <v>1</v>
      </c>
      <c r="X100" s="278">
        <f>SUMIF(Transbank!$A$2:$A$486,B100,Transbank!$L$2:$L$486)+SUMIF(Transbank!$A$2:$A$486,C100,Transbank!$L$2:$L$486)+SUMIF(Transbank!$A$2:$A$486,D100,Transbank!$L$2:$L$486)+(K100+O100)+(L100+P100)*EERR!$D$2</f>
        <v>156857.70000000001</v>
      </c>
      <c r="Y100" s="284">
        <f>X100/EERR!$D$2</f>
        <v>230</v>
      </c>
      <c r="Z100" s="292">
        <f t="shared" si="8"/>
        <v>0</v>
      </c>
    </row>
    <row r="101" spans="1:26" s="149" customFormat="1" x14ac:dyDescent="0.3">
      <c r="A101" s="265"/>
      <c r="B101" s="318"/>
      <c r="C101" s="318"/>
      <c r="D101" s="318"/>
      <c r="E101" s="266"/>
      <c r="F101" s="266"/>
      <c r="G101" s="266"/>
      <c r="H101" s="267"/>
      <c r="I101" s="267"/>
      <c r="J101" s="266"/>
      <c r="K101" s="268"/>
      <c r="L101" s="269"/>
      <c r="M101" s="268"/>
      <c r="N101" s="268"/>
      <c r="O101" s="268"/>
      <c r="P101" s="268"/>
      <c r="Q101" s="268"/>
      <c r="R101" s="268"/>
      <c r="S101" s="154"/>
      <c r="T101" s="154"/>
      <c r="U101" s="152"/>
      <c r="V101" s="154"/>
      <c r="W101" s="149">
        <f ca="1">SUMIF(Siteminder!$A$5:$K$153,Dic!G101,Siteminder!$O$5:$O$153)</f>
        <v>0</v>
      </c>
      <c r="X101" s="278">
        <f>SUMIF(Transbank!$A$2:$A$486,B101,Transbank!$L$2:$L$486)+SUMIF(Transbank!$A$2:$A$486,C101,Transbank!$L$2:$L$486)+SUMIF(Transbank!$A$2:$A$486,D101,Transbank!$L$2:$L$486)+(K101+O101)+(L101+P101)*EERR!$D$2</f>
        <v>0</v>
      </c>
      <c r="Y101" s="284">
        <f>X101/EERR!$D$2</f>
        <v>0</v>
      </c>
      <c r="Z101" s="292">
        <f t="shared" si="8"/>
        <v>0</v>
      </c>
    </row>
    <row r="102" spans="1:26" s="149" customFormat="1" x14ac:dyDescent="0.3">
      <c r="A102" s="265"/>
      <c r="B102" s="318"/>
      <c r="C102" s="318"/>
      <c r="D102" s="318"/>
      <c r="E102" s="266"/>
      <c r="F102" s="266"/>
      <c r="G102" s="266"/>
      <c r="H102" s="267"/>
      <c r="I102" s="267"/>
      <c r="J102" s="266"/>
      <c r="K102" s="268"/>
      <c r="L102" s="269"/>
      <c r="M102" s="268"/>
      <c r="N102" s="268"/>
      <c r="O102" s="268"/>
      <c r="P102" s="268"/>
      <c r="Q102" s="268"/>
      <c r="R102" s="268"/>
      <c r="S102" s="154"/>
      <c r="T102" s="154"/>
      <c r="U102" s="152"/>
      <c r="V102" s="154"/>
      <c r="W102" s="149">
        <f ca="1">SUMIF(Siteminder!$A$5:$K$153,Dic!G102,Siteminder!$O$5:$O$153)</f>
        <v>0</v>
      </c>
      <c r="X102" s="278">
        <f>SUMIF(Transbank!$A$2:$A$486,B102,Transbank!$L$2:$L$486)+SUMIF(Transbank!$A$2:$A$486,C102,Transbank!$L$2:$L$486)+SUMIF(Transbank!$A$2:$A$486,D102,Transbank!$L$2:$L$486)+(K102+O102)+(L102+P102)*EERR!$D$2</f>
        <v>0</v>
      </c>
      <c r="Y102" s="284">
        <f>X102/EERR!$D$2</f>
        <v>0</v>
      </c>
      <c r="Z102" s="292">
        <f t="shared" si="8"/>
        <v>0</v>
      </c>
    </row>
    <row r="103" spans="1:26" s="149" customFormat="1" x14ac:dyDescent="0.3">
      <c r="A103" s="265"/>
      <c r="B103" s="318"/>
      <c r="C103" s="318"/>
      <c r="D103" s="318"/>
      <c r="E103" s="266"/>
      <c r="F103" s="266"/>
      <c r="G103" s="266"/>
      <c r="H103" s="267"/>
      <c r="I103" s="267"/>
      <c r="J103" s="266"/>
      <c r="K103" s="268"/>
      <c r="L103" s="269"/>
      <c r="M103" s="268"/>
      <c r="N103" s="268"/>
      <c r="O103" s="268"/>
      <c r="P103" s="268"/>
      <c r="Q103" s="268"/>
      <c r="R103" s="268"/>
      <c r="S103" s="154"/>
      <c r="T103" s="154"/>
      <c r="U103" s="152"/>
      <c r="V103" s="154"/>
      <c r="W103" s="149">
        <f ca="1">SUMIF(Siteminder!$A$5:$K$153,Dic!G103,Siteminder!$O$5:$O$153)</f>
        <v>0</v>
      </c>
      <c r="X103" s="278">
        <f>SUMIF(Transbank!$A$2:$A$486,B103,Transbank!$L$2:$L$486)+SUMIF(Transbank!$A$2:$A$486,C103,Transbank!$L$2:$L$486)+SUMIF(Transbank!$A$2:$A$486,D103,Transbank!$L$2:$L$486)+(K103+O103)+(L103+P103)*EERR!$D$2</f>
        <v>0</v>
      </c>
      <c r="Y103" s="284">
        <f>X103/EERR!$D$2</f>
        <v>0</v>
      </c>
      <c r="Z103" s="292">
        <f t="shared" si="8"/>
        <v>0</v>
      </c>
    </row>
    <row r="104" spans="1:26" s="149" customFormat="1" x14ac:dyDescent="0.3">
      <c r="A104" s="265"/>
      <c r="B104" s="318"/>
      <c r="C104" s="318"/>
      <c r="D104" s="318"/>
      <c r="E104" s="266"/>
      <c r="F104" s="266"/>
      <c r="G104" s="266"/>
      <c r="H104" s="267"/>
      <c r="I104" s="267"/>
      <c r="J104" s="266"/>
      <c r="K104" s="268"/>
      <c r="L104" s="269"/>
      <c r="M104" s="268"/>
      <c r="N104" s="268"/>
      <c r="O104" s="268"/>
      <c r="P104" s="268"/>
      <c r="Q104" s="268"/>
      <c r="R104" s="268"/>
      <c r="S104" s="154">
        <f t="shared" si="16"/>
        <v>0</v>
      </c>
      <c r="T104" s="154">
        <f t="shared" si="17"/>
        <v>0</v>
      </c>
      <c r="U104" s="152">
        <f>IF(J104=0,(S104+T104/EERR!$D$2/1.19),(S104+T104/EERR!$D$2/1.19)/J104)</f>
        <v>0</v>
      </c>
      <c r="V104" s="154">
        <f>T104+S104*EERR!$D$2</f>
        <v>0</v>
      </c>
      <c r="W104" s="149">
        <f ca="1">SUMIF(Siteminder!$A$5:$K$153,Dic!G104,Siteminder!$O$5:$O$153)</f>
        <v>0</v>
      </c>
      <c r="X104" s="278">
        <f>SUMIF(Transbank!$A$2:$A$486,B104,Transbank!$L$2:$L$486)+(K104+O104)+(L104+P104)*EERR!$D$2</f>
        <v>0</v>
      </c>
      <c r="Y104" s="284">
        <f>X104/EERR!$D$2</f>
        <v>0</v>
      </c>
      <c r="Z104" s="292">
        <f t="shared" si="8"/>
        <v>0</v>
      </c>
    </row>
    <row r="105" spans="1:26" s="149" customFormat="1" x14ac:dyDescent="0.3">
      <c r="A105" s="265"/>
      <c r="B105" s="318"/>
      <c r="C105" s="318"/>
      <c r="D105" s="318"/>
      <c r="E105" s="266"/>
      <c r="F105" s="266"/>
      <c r="G105" s="266"/>
      <c r="H105" s="267"/>
      <c r="I105" s="267"/>
      <c r="J105" s="266"/>
      <c r="K105" s="268"/>
      <c r="L105" s="269"/>
      <c r="M105" s="268"/>
      <c r="N105" s="268"/>
      <c r="O105" s="268"/>
      <c r="P105" s="268"/>
      <c r="Q105" s="268"/>
      <c r="R105" s="268"/>
      <c r="S105" s="154">
        <f t="shared" si="16"/>
        <v>0</v>
      </c>
      <c r="T105" s="154">
        <f t="shared" si="17"/>
        <v>0</v>
      </c>
      <c r="U105" s="152">
        <f>IF(J105=0,(S105+T105/EERR!$D$2/1.19),(S105+T105/EERR!$D$2/1.19)/J105)</f>
        <v>0</v>
      </c>
      <c r="V105" s="154">
        <f>T105+S105*EERR!$D$2</f>
        <v>0</v>
      </c>
      <c r="W105" s="149">
        <f ca="1">SUMIF(Siteminder!$A$5:$K$153,Dic!G105,Siteminder!$K$5:$K$153)</f>
        <v>0</v>
      </c>
      <c r="X105" s="278">
        <f>SUMIF(Transbank!$A$2:$A$486,B105,Transbank!$L$2:$L$486)+(K105+O105)+(L105+P105)*EERR!$D$2</f>
        <v>0</v>
      </c>
      <c r="Y105" s="284">
        <f>X105/EERR!$D$2</f>
        <v>0</v>
      </c>
      <c r="Z105" s="292">
        <f t="shared" si="8"/>
        <v>0</v>
      </c>
    </row>
    <row r="106" spans="1:26" s="149" customFormat="1" x14ac:dyDescent="0.3">
      <c r="A106" s="265"/>
      <c r="B106" s="318"/>
      <c r="C106" s="318"/>
      <c r="D106" s="318"/>
      <c r="E106" s="266"/>
      <c r="F106" s="266"/>
      <c r="G106" s="266"/>
      <c r="H106" s="267"/>
      <c r="I106" s="267"/>
      <c r="J106" s="266"/>
      <c r="K106" s="268"/>
      <c r="L106" s="269"/>
      <c r="M106" s="268"/>
      <c r="N106" s="268"/>
      <c r="O106" s="268"/>
      <c r="P106" s="268"/>
      <c r="Q106" s="268"/>
      <c r="R106" s="268"/>
      <c r="S106" s="154">
        <f t="shared" si="16"/>
        <v>0</v>
      </c>
      <c r="T106" s="154">
        <f t="shared" si="17"/>
        <v>0</v>
      </c>
      <c r="U106" s="152">
        <f>IF(J106=0,(S106+T106/EERR!$D$2/1.19),(S106+T106/EERR!$D$2/1.19)/J106)</f>
        <v>0</v>
      </c>
      <c r="V106" s="154">
        <f>T106+S106*EERR!$D$2</f>
        <v>0</v>
      </c>
      <c r="W106" s="149">
        <f ca="1">SUMIF(Siteminder!$A$5:$K$153,Dic!G106,Siteminder!$K$5:$K$153)</f>
        <v>0</v>
      </c>
      <c r="X106" s="278">
        <f>SUMIF(Transbank!$A$2:$A$486,B106,Transbank!$L$2:$L$486)+(K106+O106)+(L106+P106)*EERR!$D$2</f>
        <v>0</v>
      </c>
      <c r="Y106" s="284">
        <f>X106/EERR!$D$2</f>
        <v>0</v>
      </c>
      <c r="Z106" s="292">
        <f t="shared" si="8"/>
        <v>0</v>
      </c>
    </row>
    <row r="107" spans="1:26" s="149" customFormat="1" x14ac:dyDescent="0.3">
      <c r="A107" s="265"/>
      <c r="B107" s="318"/>
      <c r="C107" s="318"/>
      <c r="D107" s="318"/>
      <c r="E107" s="266"/>
      <c r="F107" s="266"/>
      <c r="G107" s="266"/>
      <c r="H107" s="267"/>
      <c r="I107" s="267"/>
      <c r="J107" s="266"/>
      <c r="K107" s="268"/>
      <c r="L107" s="269"/>
      <c r="M107" s="268"/>
      <c r="N107" s="268"/>
      <c r="O107" s="268"/>
      <c r="P107" s="268"/>
      <c r="Q107" s="268"/>
      <c r="R107" s="268"/>
      <c r="S107" s="154">
        <f t="shared" si="16"/>
        <v>0</v>
      </c>
      <c r="T107" s="154">
        <f t="shared" si="17"/>
        <v>0</v>
      </c>
      <c r="U107" s="152">
        <f>IF(J107=0,(S107+T107/EERR!$D$2/1.19),(S107+T107/EERR!$D$2/1.19)/J107)</f>
        <v>0</v>
      </c>
      <c r="V107" s="154">
        <f>T107+S107*EERR!$D$2</f>
        <v>0</v>
      </c>
      <c r="W107" s="149">
        <f ca="1">SUMIF(Siteminder!$A$5:$K$153,Dic!G107,Siteminder!$K$5:$K$153)</f>
        <v>0</v>
      </c>
      <c r="X107" s="278">
        <f>SUMIF(Transbank!$A$2:$A$486,B107,Transbank!$L$2:$L$486)+(K107+O107)+(L107+P107)*EERR!$D$2</f>
        <v>0</v>
      </c>
      <c r="Y107" s="284">
        <f>X107/EERR!$D$2</f>
        <v>0</v>
      </c>
      <c r="Z107" s="292">
        <f t="shared" si="8"/>
        <v>0</v>
      </c>
    </row>
    <row r="108" spans="1:26" s="149" customFormat="1" x14ac:dyDescent="0.3">
      <c r="A108" s="265"/>
      <c r="B108" s="318"/>
      <c r="C108" s="318"/>
      <c r="D108" s="318"/>
      <c r="E108" s="266"/>
      <c r="F108" s="266"/>
      <c r="G108" s="266"/>
      <c r="H108" s="267"/>
      <c r="I108" s="267"/>
      <c r="J108" s="266"/>
      <c r="K108" s="268"/>
      <c r="L108" s="269"/>
      <c r="M108" s="268"/>
      <c r="N108" s="268"/>
      <c r="O108" s="268"/>
      <c r="P108" s="268"/>
      <c r="Q108" s="268"/>
      <c r="R108" s="268"/>
      <c r="S108" s="154">
        <f t="shared" si="16"/>
        <v>0</v>
      </c>
      <c r="T108" s="154">
        <f t="shared" si="17"/>
        <v>0</v>
      </c>
      <c r="U108" s="152">
        <f>IF(J108=0,(S108+T108/EERR!$D$2/1.19),(S108+T108/EERR!$D$2/1.19)/J108)</f>
        <v>0</v>
      </c>
      <c r="V108" s="154">
        <f>T108+S108*EERR!$D$2</f>
        <v>0</v>
      </c>
      <c r="W108" s="149">
        <f ca="1">SUMIF(Siteminder!$A$5:$K$153,Dic!G108,Siteminder!$K$5:$K$153)</f>
        <v>0</v>
      </c>
      <c r="X108" s="278">
        <f>SUMIF(Transbank!$A$2:$A$486,B108,Transbank!$L$2:$L$486)+(K108+O108)+(L108+P108)*EERR!$D$2</f>
        <v>0</v>
      </c>
      <c r="Y108" s="284">
        <f>X108/EERR!$D$2</f>
        <v>0</v>
      </c>
      <c r="Z108" s="292">
        <f t="shared" si="8"/>
        <v>0</v>
      </c>
    </row>
    <row r="109" spans="1:26" ht="13.8" x14ac:dyDescent="0.3">
      <c r="A109" s="249"/>
      <c r="B109" s="249"/>
      <c r="C109" s="249"/>
      <c r="D109" s="249"/>
      <c r="E109" s="249"/>
      <c r="F109" s="249"/>
      <c r="G109" s="249"/>
      <c r="H109" s="250"/>
      <c r="I109" s="250"/>
      <c r="J109" s="249">
        <f t="shared" ref="J109:P109" si="18">SUM(J86:J108)</f>
        <v>31</v>
      </c>
      <c r="K109" s="249">
        <f t="shared" si="18"/>
        <v>0</v>
      </c>
      <c r="L109" s="249">
        <f t="shared" si="18"/>
        <v>230</v>
      </c>
      <c r="M109" s="249">
        <f t="shared" si="18"/>
        <v>0</v>
      </c>
      <c r="N109" s="249">
        <f t="shared" si="18"/>
        <v>3097</v>
      </c>
      <c r="O109" s="249">
        <f t="shared" si="18"/>
        <v>0</v>
      </c>
      <c r="P109" s="249">
        <f t="shared" si="18"/>
        <v>0</v>
      </c>
      <c r="Q109" s="249"/>
      <c r="R109" s="249"/>
      <c r="S109" s="255">
        <f>SUM(S86:S108)</f>
        <v>6531</v>
      </c>
      <c r="T109" s="255">
        <f>SUM(T86:T108)</f>
        <v>0</v>
      </c>
      <c r="U109" s="255">
        <f>IF(J109=0,(S109+T109/EERR!$D$2/1.19),(S109+T109/EERR!$D$2/1.19)/J109)</f>
        <v>210.67741935483872</v>
      </c>
      <c r="V109" s="255">
        <f>SUM(V86:V108)</f>
        <v>4454076.6900000004</v>
      </c>
      <c r="W109" s="255">
        <f ca="1">SUM(W86:W108)</f>
        <v>31</v>
      </c>
      <c r="X109" s="255">
        <f>SUM(X86:X108)</f>
        <v>4444799.8499999996</v>
      </c>
      <c r="Y109" s="255"/>
    </row>
    <row r="110" spans="1:26" s="149" customFormat="1" x14ac:dyDescent="0.3">
      <c r="A110" s="150"/>
      <c r="B110" s="249"/>
      <c r="C110" s="249"/>
      <c r="D110" s="249"/>
      <c r="E110" s="150"/>
      <c r="F110" s="150"/>
      <c r="G110" s="150"/>
      <c r="H110" s="151"/>
      <c r="I110" s="151"/>
      <c r="J110" s="150"/>
      <c r="K110" s="152"/>
      <c r="L110" s="153"/>
      <c r="M110" s="152"/>
      <c r="N110" s="152"/>
      <c r="O110" s="152"/>
      <c r="P110" s="152"/>
      <c r="Q110" s="152"/>
      <c r="R110" s="152"/>
      <c r="S110" s="154"/>
      <c r="T110" s="154"/>
      <c r="U110" s="152">
        <f>IF(J110=0,(S110+T110/EERR!$D$2/1.19),(S110+T110/EERR!$D$2/1.19)/J110)</f>
        <v>0</v>
      </c>
      <c r="V110" s="150"/>
      <c r="X110" s="158"/>
      <c r="Y110" s="158"/>
    </row>
    <row r="111" spans="1:26" x14ac:dyDescent="0.3">
      <c r="A111" s="256"/>
      <c r="B111" s="319"/>
      <c r="C111" s="319"/>
      <c r="D111" s="319"/>
      <c r="E111" s="256" t="s">
        <v>259</v>
      </c>
      <c r="F111" s="256"/>
      <c r="G111" s="256"/>
      <c r="H111" s="257"/>
      <c r="I111" s="257"/>
      <c r="J111" s="256"/>
      <c r="K111" s="258"/>
      <c r="L111" s="259"/>
      <c r="M111" s="258"/>
      <c r="N111" s="258"/>
      <c r="O111" s="258"/>
      <c r="P111" s="258"/>
      <c r="Q111" s="258"/>
      <c r="R111" s="258"/>
      <c r="S111" s="260"/>
      <c r="T111" s="260">
        <f t="shared" ref="T111" si="19">M111+O111+K111</f>
        <v>0</v>
      </c>
      <c r="U111" s="258">
        <f>IF(J111=0,(S111+T111/EERR!$D$2/1.19),(S111+T111/EERR!$D$2/1.19)/J111)</f>
        <v>0</v>
      </c>
      <c r="V111" s="256"/>
      <c r="X111" s="158">
        <f>IF((M111+N111)&gt;0,SUMIF(Transbank!$A$2:$A$201,Dic!A111,Transbank!$L$2:$L$201),K111+(L111+Dic!P111)*EERR!$D$2+Dic!O111)</f>
        <v>0</v>
      </c>
      <c r="Y111" s="158">
        <f>X111/EERR!$D$2</f>
        <v>0</v>
      </c>
    </row>
    <row r="112" spans="1:26" x14ac:dyDescent="0.3">
      <c r="A112" s="249"/>
      <c r="B112" s="249"/>
      <c r="C112" s="249"/>
      <c r="D112" s="249"/>
      <c r="E112" s="249"/>
      <c r="F112" s="249"/>
      <c r="G112" s="249"/>
      <c r="H112" s="250"/>
      <c r="I112" s="250"/>
      <c r="J112" s="255">
        <f t="shared" ref="J112:T112" si="20">SUM(J111:J111)</f>
        <v>0</v>
      </c>
      <c r="K112" s="255">
        <f t="shared" si="20"/>
        <v>0</v>
      </c>
      <c r="L112" s="255">
        <f t="shared" si="20"/>
        <v>0</v>
      </c>
      <c r="M112" s="255">
        <f t="shared" si="20"/>
        <v>0</v>
      </c>
      <c r="N112" s="255">
        <f>SUM(N110:N111)</f>
        <v>0</v>
      </c>
      <c r="O112" s="255">
        <f t="shared" si="20"/>
        <v>0</v>
      </c>
      <c r="P112" s="255">
        <f t="shared" si="20"/>
        <v>0</v>
      </c>
      <c r="Q112" s="255"/>
      <c r="R112" s="255"/>
      <c r="S112" s="255">
        <f t="shared" si="20"/>
        <v>0</v>
      </c>
      <c r="T112" s="255">
        <f t="shared" si="20"/>
        <v>0</v>
      </c>
      <c r="U112" s="261"/>
      <c r="V112" s="255"/>
      <c r="W112" s="249"/>
      <c r="X112" s="262"/>
      <c r="Y112" s="262"/>
    </row>
    <row r="113" spans="1:25" x14ac:dyDescent="0.3">
      <c r="A113" s="249"/>
      <c r="B113" s="249"/>
      <c r="C113" s="249"/>
      <c r="D113" s="249"/>
      <c r="E113" s="263"/>
      <c r="F113" s="263"/>
      <c r="G113" s="263"/>
      <c r="H113" s="264">
        <f>H65+H85+H109</f>
        <v>0</v>
      </c>
      <c r="I113" s="264">
        <f>I65+I85+I109</f>
        <v>0</v>
      </c>
      <c r="J113" s="264">
        <f t="shared" ref="J113:S113" si="21">J65+J85+J109+J112</f>
        <v>268</v>
      </c>
      <c r="K113" s="264">
        <f t="shared" si="21"/>
        <v>0</v>
      </c>
      <c r="L113" s="264">
        <f t="shared" si="21"/>
        <v>9875.7000000000007</v>
      </c>
      <c r="M113" s="264">
        <f t="shared" si="21"/>
        <v>1176892</v>
      </c>
      <c r="N113" s="264">
        <f t="shared" si="21"/>
        <v>28285.5</v>
      </c>
      <c r="O113" s="264">
        <f t="shared" si="21"/>
        <v>0</v>
      </c>
      <c r="P113" s="264">
        <f t="shared" si="21"/>
        <v>0</v>
      </c>
      <c r="Q113" s="264">
        <f t="shared" si="21"/>
        <v>302630</v>
      </c>
      <c r="R113" s="264">
        <f t="shared" si="21"/>
        <v>2472.85</v>
      </c>
      <c r="S113" s="264">
        <f t="shared" si="21"/>
        <v>54505.05</v>
      </c>
      <c r="T113" s="264">
        <f>(T65+T85+T109+T112)/1.19</f>
        <v>1397165.5462184874</v>
      </c>
      <c r="U113" s="264">
        <f>(U65*J65+U85*J85+U109*J109)/J113</f>
        <v>211.02130549315669</v>
      </c>
      <c r="V113" s="264">
        <f>V65+V85+V109</f>
        <v>38834526.049499996</v>
      </c>
      <c r="W113" s="264">
        <f t="shared" ref="W113" ca="1" si="22">W65+W85+W109+W112</f>
        <v>267</v>
      </c>
      <c r="X113" s="262">
        <f>X65+X85+X109</f>
        <v>38780027.461499996</v>
      </c>
      <c r="Y113" s="262"/>
    </row>
    <row r="114" spans="1:25" ht="13.8" x14ac:dyDescent="0.3">
      <c r="A114" s="249"/>
      <c r="B114" s="249"/>
      <c r="C114" s="249"/>
      <c r="D114" s="249"/>
      <c r="E114" s="249"/>
      <c r="F114" s="249"/>
      <c r="G114" s="249"/>
      <c r="H114" s="255"/>
      <c r="I114" s="255"/>
      <c r="J114" s="255"/>
      <c r="K114" s="255">
        <f>(K113)/EERR!$D$2</f>
        <v>0</v>
      </c>
      <c r="L114" s="255">
        <f>L113</f>
        <v>9875.7000000000007</v>
      </c>
      <c r="M114" s="255">
        <f>(M113)/EERR!$D$2</f>
        <v>1725.6733969706299</v>
      </c>
      <c r="N114" s="255">
        <f>N113</f>
        <v>28285.5</v>
      </c>
      <c r="O114" s="255">
        <f>(O113)/EERR!$D$2</f>
        <v>0</v>
      </c>
      <c r="P114" s="255">
        <f>(P113)/EERR!$D$2</f>
        <v>0</v>
      </c>
      <c r="Q114" s="255"/>
      <c r="R114" s="255"/>
      <c r="S114" s="255">
        <f>S113+S112</f>
        <v>54505.05</v>
      </c>
      <c r="T114" s="255">
        <f>(T113)/EERR!D2</f>
        <v>2048.6598721659957</v>
      </c>
      <c r="U114" s="255">
        <f>U113+U112</f>
        <v>211.02130549315669</v>
      </c>
      <c r="V114" s="255">
        <f>V113+V112</f>
        <v>38834526.049499996</v>
      </c>
      <c r="W114" s="255">
        <f>SUM(K114:V114)</f>
        <v>38931177.654074624</v>
      </c>
      <c r="X114" s="249"/>
      <c r="Y114" s="249"/>
    </row>
    <row r="115" spans="1:25" ht="13.8" x14ac:dyDescent="0.3">
      <c r="J115" s="244">
        <f>J113/300</f>
        <v>0.89333333333333331</v>
      </c>
      <c r="L115" s="38">
        <f>+L113+H119</f>
        <v>3226.7000000000007</v>
      </c>
      <c r="S115" s="337">
        <f>SUM(S114:T114)</f>
        <v>56553.709872166</v>
      </c>
      <c r="T115" s="337"/>
    </row>
    <row r="116" spans="1:25" ht="13.8" x14ac:dyDescent="0.3">
      <c r="L116" s="35">
        <v>2730</v>
      </c>
      <c r="M116" s="35" t="s">
        <v>331</v>
      </c>
      <c r="S116" s="338">
        <f>S115*EERR!D2</f>
        <v>38569064.595718488</v>
      </c>
      <c r="T116" s="338">
        <f>S115*EERR!D2</f>
        <v>38569064.595718488</v>
      </c>
    </row>
    <row r="117" spans="1:25" ht="13.8" x14ac:dyDescent="0.3">
      <c r="K117" s="103">
        <f>K113/1.19</f>
        <v>0</v>
      </c>
      <c r="L117" s="35"/>
      <c r="M117" s="35" t="s">
        <v>287</v>
      </c>
      <c r="Y117" s="149">
        <f>36000*620</f>
        <v>22320000</v>
      </c>
    </row>
    <row r="118" spans="1:25" ht="13.8" x14ac:dyDescent="0.3">
      <c r="G118" s="36" t="s">
        <v>211</v>
      </c>
      <c r="H118" s="36" t="s">
        <v>212</v>
      </c>
      <c r="I118" s="36" t="s">
        <v>6</v>
      </c>
      <c r="J118" s="36" t="s">
        <v>49</v>
      </c>
      <c r="K118" s="36" t="s">
        <v>50</v>
      </c>
      <c r="L118" s="35"/>
      <c r="S118" s="39">
        <f>S113*689</f>
        <v>37553979.450000003</v>
      </c>
      <c r="T118" s="39">
        <f>T113*0.19</f>
        <v>265461.45378151262</v>
      </c>
    </row>
    <row r="119" spans="1:25" ht="13.8" x14ac:dyDescent="0.3">
      <c r="E119" s="29" t="s">
        <v>47</v>
      </c>
      <c r="F119" s="29"/>
      <c r="G119" s="30">
        <f>'BCI '!H176</f>
        <v>-205154</v>
      </c>
      <c r="H119" s="243">
        <f>'BCI '!H177</f>
        <v>-6649</v>
      </c>
      <c r="I119" s="37"/>
      <c r="J119" s="30">
        <f>(K114+L114)*EERR!D2</f>
        <v>6735128.6430000002</v>
      </c>
      <c r="K119" s="41">
        <f>J119/EERR!$D$2</f>
        <v>9875.7000000000007</v>
      </c>
      <c r="L119" s="35"/>
    </row>
    <row r="120" spans="1:25" ht="13.8" x14ac:dyDescent="0.3">
      <c r="E120" s="29" t="s">
        <v>46</v>
      </c>
      <c r="F120" s="29"/>
      <c r="G120" s="29"/>
      <c r="H120" s="30"/>
      <c r="I120" s="37"/>
      <c r="J120" s="30">
        <f>+O114*EERR!D2</f>
        <v>0</v>
      </c>
      <c r="K120" s="41">
        <f>J120/EERR!$D$2</f>
        <v>0</v>
      </c>
      <c r="L120" s="35"/>
    </row>
    <row r="121" spans="1:25" ht="13.8" x14ac:dyDescent="0.3">
      <c r="E121" s="29" t="s">
        <v>48</v>
      </c>
      <c r="F121" s="29"/>
      <c r="G121" s="29"/>
      <c r="H121" s="30"/>
      <c r="I121" s="37"/>
      <c r="J121" s="30"/>
      <c r="K121" s="41">
        <f>J121*EERR!$D$2</f>
        <v>0</v>
      </c>
      <c r="L121" s="35"/>
    </row>
    <row r="122" spans="1:25" ht="13.8" x14ac:dyDescent="0.3">
      <c r="E122" s="75" t="s">
        <v>80</v>
      </c>
      <c r="F122" s="75"/>
      <c r="G122" s="75"/>
      <c r="H122" s="77"/>
      <c r="I122" s="77">
        <f>(I124+I125)*EERR!D2+I127+I128</f>
        <v>37613259.785000004</v>
      </c>
      <c r="J122" s="77">
        <f>(M114+N114)*EERR!D2</f>
        <v>20467320.145</v>
      </c>
      <c r="K122" s="78"/>
      <c r="L122" s="35"/>
      <c r="Y122" s="149">
        <f>635/190</f>
        <v>3.3421052631578947</v>
      </c>
    </row>
    <row r="123" spans="1:25" ht="13.8" x14ac:dyDescent="0.3">
      <c r="E123" s="75"/>
      <c r="F123" s="75"/>
      <c r="G123" s="75"/>
      <c r="H123" s="77"/>
      <c r="I123" s="77">
        <f>SUM(I119:I122)</f>
        <v>37613259.785000004</v>
      </c>
      <c r="J123" s="77">
        <f>SUM(J119:J122)</f>
        <v>27202448.787999999</v>
      </c>
      <c r="K123" s="77">
        <f>SUM(K119:K122)</f>
        <v>9875.7000000000007</v>
      </c>
      <c r="L123" s="35"/>
    </row>
    <row r="124" spans="1:25" ht="13.8" x14ac:dyDescent="0.3">
      <c r="E124" s="34" t="s">
        <v>78</v>
      </c>
      <c r="F124" s="34"/>
      <c r="G124" s="34"/>
      <c r="H124" s="30"/>
      <c r="I124" s="37">
        <f>Transbank!J415</f>
        <v>50621.5</v>
      </c>
      <c r="J124" s="30"/>
      <c r="K124" s="41"/>
      <c r="L124" s="35"/>
    </row>
    <row r="125" spans="1:25" ht="13.8" x14ac:dyDescent="0.3">
      <c r="E125" s="34" t="s">
        <v>81</v>
      </c>
      <c r="F125" s="34"/>
      <c r="G125" s="34"/>
      <c r="H125" s="42"/>
      <c r="I125" s="37">
        <f>[2]Transbank!J83</f>
        <v>0</v>
      </c>
      <c r="J125" s="34"/>
      <c r="K125" s="53"/>
      <c r="L125" s="33"/>
      <c r="V125" s="33">
        <f>SUMIF(Transbank!$A$2:$A$419,B84,Transbank!$L$2:$L$419)</f>
        <v>0</v>
      </c>
    </row>
    <row r="126" spans="1:25" ht="13.8" x14ac:dyDescent="0.3">
      <c r="E126" s="75" t="s">
        <v>82</v>
      </c>
      <c r="F126" s="75"/>
      <c r="G126" s="75"/>
      <c r="H126" s="76"/>
      <c r="I126" s="76">
        <f>SUM(I124:I125)</f>
        <v>50621.5</v>
      </c>
      <c r="J126" s="76">
        <f>N113</f>
        <v>28285.5</v>
      </c>
      <c r="K126" s="76">
        <f t="shared" ref="K126" si="23">SUM(K124:K125)</f>
        <v>0</v>
      </c>
      <c r="L126" s="33"/>
    </row>
    <row r="127" spans="1:25" ht="13.8" x14ac:dyDescent="0.3">
      <c r="E127" s="34" t="s">
        <v>79</v>
      </c>
      <c r="F127" s="85"/>
      <c r="G127" s="85"/>
      <c r="H127" s="79"/>
      <c r="I127" s="80">
        <f>Transbank!I415</f>
        <v>3089903</v>
      </c>
      <c r="J127" s="80"/>
      <c r="K127" s="81">
        <f>J122/EERR!$D$2</f>
        <v>30011.173396970629</v>
      </c>
      <c r="L127" s="33"/>
    </row>
    <row r="128" spans="1:25" ht="13.8" x14ac:dyDescent="0.3">
      <c r="E128" s="34" t="s">
        <v>83</v>
      </c>
      <c r="F128" s="34"/>
      <c r="G128" s="34"/>
      <c r="H128" s="42"/>
      <c r="I128" s="37">
        <f>[2]Transbank!I83</f>
        <v>0</v>
      </c>
      <c r="J128" s="34"/>
      <c r="K128" s="53"/>
      <c r="L128" s="33"/>
      <c r="Y128" s="39">
        <f>SUM(Y86:Y107)</f>
        <v>6517.3973958562437</v>
      </c>
    </row>
    <row r="129" spans="5:25" thickBot="1" x14ac:dyDescent="0.35">
      <c r="E129" s="122" t="s">
        <v>84</v>
      </c>
      <c r="F129" s="122"/>
      <c r="G129" s="75"/>
      <c r="H129" s="76"/>
      <c r="I129" s="76">
        <f>SUM(I127:I128)</f>
        <v>3089903</v>
      </c>
      <c r="J129" s="76">
        <f>M113</f>
        <v>1176892</v>
      </c>
      <c r="K129" s="76">
        <f t="shared" ref="K129" si="24">SUM(K127:K128)</f>
        <v>30011.173396970629</v>
      </c>
      <c r="L129" s="33"/>
      <c r="Y129" s="149">
        <f>+Y128*0.15</f>
        <v>977.60960937843652</v>
      </c>
    </row>
    <row r="130" spans="5:25" ht="16.2" thickBot="1" x14ac:dyDescent="0.35">
      <c r="E130" s="123" t="s">
        <v>100</v>
      </c>
      <c r="F130" s="124">
        <f>(K113+M113)*0.19</f>
        <v>223609.48</v>
      </c>
      <c r="J130" s="36"/>
      <c r="K130" s="39"/>
      <c r="L130" s="33"/>
    </row>
    <row r="131" spans="5:25" ht="13.8" x14ac:dyDescent="0.3">
      <c r="L131" s="33"/>
    </row>
    <row r="132" spans="5:25" ht="13.8" x14ac:dyDescent="0.3">
      <c r="L132" s="33"/>
    </row>
    <row r="133" spans="5:25" ht="13.8" x14ac:dyDescent="0.3">
      <c r="L133" s="33"/>
    </row>
    <row r="134" spans="5:25" ht="13.8" x14ac:dyDescent="0.3">
      <c r="L134" s="33"/>
    </row>
    <row r="135" spans="5:25" ht="13.8" x14ac:dyDescent="0.3">
      <c r="L135" s="33"/>
    </row>
    <row r="136" spans="5:25" ht="13.8" x14ac:dyDescent="0.3">
      <c r="L136" s="33"/>
    </row>
    <row r="137" spans="5:25" ht="13.8" x14ac:dyDescent="0.3">
      <c r="L137" s="33"/>
    </row>
    <row r="138" spans="5:25" ht="13.8" x14ac:dyDescent="0.3">
      <c r="L138" s="33"/>
    </row>
    <row r="139" spans="5:25" ht="13.8" x14ac:dyDescent="0.3">
      <c r="L139" s="33"/>
    </row>
    <row r="140" spans="5:25" ht="13.8" x14ac:dyDescent="0.3">
      <c r="L140" s="33"/>
    </row>
    <row r="141" spans="5:25" ht="13.8" x14ac:dyDescent="0.3">
      <c r="L141" s="33"/>
    </row>
    <row r="142" spans="5:25" ht="13.8" x14ac:dyDescent="0.3">
      <c r="L142" s="33"/>
    </row>
    <row r="143" spans="5:25" ht="13.8" x14ac:dyDescent="0.3">
      <c r="L143" s="33"/>
    </row>
    <row r="144" spans="5:25" ht="13.8" x14ac:dyDescent="0.3">
      <c r="L144" s="33"/>
    </row>
    <row r="145" spans="12:12" ht="13.8" x14ac:dyDescent="0.3">
      <c r="L145" s="33"/>
    </row>
    <row r="146" spans="12:12" ht="13.8" x14ac:dyDescent="0.3">
      <c r="L146" s="33"/>
    </row>
    <row r="147" spans="12:12" ht="13.8" x14ac:dyDescent="0.3">
      <c r="L147" s="33"/>
    </row>
    <row r="148" spans="12:12" ht="13.8" x14ac:dyDescent="0.3">
      <c r="L148" s="33"/>
    </row>
    <row r="149" spans="12:12" ht="13.8" x14ac:dyDescent="0.3">
      <c r="L149" s="33"/>
    </row>
    <row r="150" spans="12:12" ht="13.8" x14ac:dyDescent="0.3">
      <c r="L150" s="33"/>
    </row>
    <row r="151" spans="12:12" ht="13.8" x14ac:dyDescent="0.3">
      <c r="L151" s="33"/>
    </row>
    <row r="152" spans="12:12" ht="13.8" x14ac:dyDescent="0.3">
      <c r="L152" s="33"/>
    </row>
    <row r="153" spans="12:12" ht="13.8" x14ac:dyDescent="0.3">
      <c r="L153" s="33"/>
    </row>
    <row r="154" spans="12:12" ht="13.8" x14ac:dyDescent="0.3">
      <c r="L154" s="33"/>
    </row>
    <row r="155" spans="12:12" ht="13.8" x14ac:dyDescent="0.3">
      <c r="L155" s="33"/>
    </row>
    <row r="156" spans="12:12" ht="13.8" x14ac:dyDescent="0.3">
      <c r="L156" s="33"/>
    </row>
    <row r="157" spans="12:12" ht="13.8" x14ac:dyDescent="0.3">
      <c r="L157" s="33"/>
    </row>
    <row r="158" spans="12:12" ht="13.8" x14ac:dyDescent="0.3">
      <c r="L158" s="33"/>
    </row>
    <row r="159" spans="12:12" ht="13.8" x14ac:dyDescent="0.3">
      <c r="L159" s="33"/>
    </row>
    <row r="160" spans="12:12" ht="13.8" x14ac:dyDescent="0.3">
      <c r="L160" s="33"/>
    </row>
    <row r="161" spans="12:12" ht="13.8" x14ac:dyDescent="0.3">
      <c r="L161" s="33"/>
    </row>
    <row r="162" spans="12:12" ht="13.8" x14ac:dyDescent="0.3">
      <c r="L162" s="33"/>
    </row>
    <row r="163" spans="12:12" ht="13.8" x14ac:dyDescent="0.3">
      <c r="L163" s="33"/>
    </row>
    <row r="164" spans="12:12" ht="13.8" x14ac:dyDescent="0.3">
      <c r="L164" s="33"/>
    </row>
    <row r="165" spans="12:12" ht="13.8" x14ac:dyDescent="0.3">
      <c r="L165" s="33"/>
    </row>
    <row r="166" spans="12:12" ht="13.8" x14ac:dyDescent="0.3">
      <c r="L166" s="33"/>
    </row>
    <row r="167" spans="12:12" ht="13.8" x14ac:dyDescent="0.3">
      <c r="L167" s="33"/>
    </row>
    <row r="168" spans="12:12" ht="13.8" x14ac:dyDescent="0.3">
      <c r="L168" s="33"/>
    </row>
    <row r="169" spans="12:12" ht="13.8" x14ac:dyDescent="0.3">
      <c r="L169" s="33"/>
    </row>
    <row r="170" spans="12:12" ht="13.8" x14ac:dyDescent="0.3">
      <c r="L170" s="33"/>
    </row>
    <row r="171" spans="12:12" ht="13.8" x14ac:dyDescent="0.3">
      <c r="L171" s="33"/>
    </row>
    <row r="172" spans="12:12" ht="13.8" x14ac:dyDescent="0.3">
      <c r="L172" s="33"/>
    </row>
    <row r="173" spans="12:12" ht="13.8" x14ac:dyDescent="0.3">
      <c r="L173" s="33"/>
    </row>
    <row r="174" spans="12:12" ht="13.8" x14ac:dyDescent="0.3">
      <c r="L174" s="33"/>
    </row>
    <row r="175" spans="12:12" ht="13.8" x14ac:dyDescent="0.3">
      <c r="L175" s="33"/>
    </row>
    <row r="176" spans="12:12" ht="13.8" x14ac:dyDescent="0.3">
      <c r="L176" s="33"/>
    </row>
    <row r="177" spans="12:12" ht="13.8" x14ac:dyDescent="0.3">
      <c r="L177" s="33"/>
    </row>
    <row r="178" spans="12:12" ht="13.8" x14ac:dyDescent="0.3">
      <c r="L178" s="33"/>
    </row>
    <row r="179" spans="12:12" ht="13.8" x14ac:dyDescent="0.3">
      <c r="L179" s="33"/>
    </row>
    <row r="180" spans="12:12" ht="13.8" x14ac:dyDescent="0.3">
      <c r="L180" s="33"/>
    </row>
    <row r="181" spans="12:12" ht="13.8" x14ac:dyDescent="0.3">
      <c r="L181" s="33"/>
    </row>
    <row r="182" spans="12:12" ht="13.8" x14ac:dyDescent="0.3">
      <c r="L182" s="33"/>
    </row>
    <row r="183" spans="12:12" ht="13.8" x14ac:dyDescent="0.3">
      <c r="L183" s="33"/>
    </row>
    <row r="184" spans="12:12" ht="13.8" x14ac:dyDescent="0.3">
      <c r="L184" s="33"/>
    </row>
    <row r="185" spans="12:12" ht="13.8" x14ac:dyDescent="0.3">
      <c r="L185" s="33"/>
    </row>
    <row r="186" spans="12:12" ht="13.8" x14ac:dyDescent="0.3">
      <c r="L186" s="33"/>
    </row>
    <row r="187" spans="12:12" ht="13.8" x14ac:dyDescent="0.3">
      <c r="L187" s="33"/>
    </row>
    <row r="188" spans="12:12" ht="13.8" x14ac:dyDescent="0.3">
      <c r="L188" s="33"/>
    </row>
    <row r="189" spans="12:12" ht="13.8" x14ac:dyDescent="0.3">
      <c r="L189" s="33"/>
    </row>
    <row r="190" spans="12:12" ht="13.8" x14ac:dyDescent="0.3">
      <c r="L190" s="33"/>
    </row>
    <row r="191" spans="12:12" ht="13.8" x14ac:dyDescent="0.3">
      <c r="L191" s="33"/>
    </row>
    <row r="192" spans="12:12" ht="13.8" x14ac:dyDescent="0.3">
      <c r="L192" s="33"/>
    </row>
    <row r="193" spans="12:12" ht="13.8" x14ac:dyDescent="0.3">
      <c r="L193" s="33"/>
    </row>
    <row r="194" spans="12:12" ht="13.8" x14ac:dyDescent="0.3">
      <c r="L194" s="33"/>
    </row>
    <row r="195" spans="12:12" ht="13.8" x14ac:dyDescent="0.3">
      <c r="L195" s="33"/>
    </row>
    <row r="196" spans="12:12" ht="13.8" x14ac:dyDescent="0.3">
      <c r="L196" s="33"/>
    </row>
  </sheetData>
  <autoFilter ref="A2:Y109"/>
  <sortState ref="A3:R66">
    <sortCondition ref="H3:H66"/>
  </sortState>
  <mergeCells count="7">
    <mergeCell ref="B1:D1"/>
    <mergeCell ref="S115:T115"/>
    <mergeCell ref="S116:T116"/>
    <mergeCell ref="K1:L1"/>
    <mergeCell ref="M1:N1"/>
    <mergeCell ref="O1:P1"/>
    <mergeCell ref="Q1:R1"/>
  </mergeCells>
  <conditionalFormatting sqref="W110 W66:W84 W86:W108 W3:W64">
    <cfRule type="expression" dxfId="0" priority="9">
      <formula>IF(J3=W3,0,1)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D1" zoomScale="70" zoomScaleNormal="70" workbookViewId="0">
      <selection activeCell="P54" sqref="P54"/>
    </sheetView>
  </sheetViews>
  <sheetFormatPr baseColWidth="10" defaultColWidth="11.5546875" defaultRowHeight="14.4" x14ac:dyDescent="0.3"/>
  <cols>
    <col min="1" max="1" width="25.88671875" style="211" customWidth="1"/>
    <col min="2" max="2" width="32.6640625" style="211" customWidth="1"/>
    <col min="3" max="3" width="16.5546875" style="211" customWidth="1"/>
    <col min="4" max="4" width="19.109375" style="211" customWidth="1"/>
    <col min="5" max="5" width="23.5546875" style="211" customWidth="1"/>
    <col min="6" max="6" width="20.33203125" style="211" customWidth="1"/>
    <col min="7" max="7" width="44.5546875" style="211" customWidth="1"/>
    <col min="8" max="8" width="23.88671875" style="211" customWidth="1"/>
    <col min="9" max="9" width="26.33203125" style="211" customWidth="1"/>
    <col min="10" max="10" width="7.33203125" style="211" customWidth="1"/>
    <col min="11" max="11" width="14.6640625" style="211" customWidth="1"/>
    <col min="12" max="12" width="12.6640625" style="211" bestFit="1" customWidth="1"/>
    <col min="13" max="16384" width="11.5546875" style="211"/>
  </cols>
  <sheetData>
    <row r="1" spans="1:16" x14ac:dyDescent="0.3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4"/>
    </row>
    <row r="3" spans="1:16" x14ac:dyDescent="0.3">
      <c r="A3" s="211" t="s">
        <v>69</v>
      </c>
    </row>
    <row r="4" spans="1:16" x14ac:dyDescent="0.3">
      <c r="A4" s="6" t="s">
        <v>26</v>
      </c>
      <c r="B4" s="6" t="s">
        <v>301</v>
      </c>
      <c r="C4" s="6" t="s">
        <v>272</v>
      </c>
      <c r="D4" s="6" t="s">
        <v>302</v>
      </c>
      <c r="E4" s="6" t="s">
        <v>303</v>
      </c>
      <c r="F4" s="6" t="s">
        <v>304</v>
      </c>
      <c r="G4" s="6" t="s">
        <v>305</v>
      </c>
      <c r="H4" s="6" t="s">
        <v>306</v>
      </c>
      <c r="I4" s="6" t="s">
        <v>270</v>
      </c>
      <c r="J4" s="6" t="s">
        <v>271</v>
      </c>
    </row>
    <row r="5" spans="1:16" x14ac:dyDescent="0.3">
      <c r="A5" s="40">
        <v>1722698460</v>
      </c>
      <c r="B5" s="6" t="s">
        <v>299</v>
      </c>
      <c r="C5" s="272" t="s">
        <v>273</v>
      </c>
      <c r="D5" s="272">
        <v>43247.760266203702</v>
      </c>
      <c r="E5" s="272">
        <v>43435</v>
      </c>
      <c r="F5" s="272">
        <v>43440</v>
      </c>
      <c r="G5" s="272" t="s">
        <v>898</v>
      </c>
      <c r="H5" s="311">
        <v>1025</v>
      </c>
      <c r="I5" s="6"/>
      <c r="J5" s="6">
        <v>2</v>
      </c>
      <c r="K5" s="127">
        <f>F5-E5</f>
        <v>5</v>
      </c>
      <c r="L5" s="6">
        <f>SUMIF(Dic!$G$3:$G$111,A5,Dic!$J$3:$J$111)</f>
        <v>5</v>
      </c>
      <c r="M5" s="285">
        <f t="shared" ref="M5" si="0">+K5-L5</f>
        <v>0</v>
      </c>
      <c r="N5" s="248">
        <f>+H5/L5</f>
        <v>205</v>
      </c>
      <c r="O5" s="211">
        <f>ROUND(H5/N5,0)</f>
        <v>5</v>
      </c>
      <c r="P5" s="211">
        <f>+O5-K5</f>
        <v>0</v>
      </c>
    </row>
    <row r="6" spans="1:16" x14ac:dyDescent="0.3">
      <c r="A6" s="40">
        <v>1515742177</v>
      </c>
      <c r="B6" s="6" t="s">
        <v>300</v>
      </c>
      <c r="C6" s="272" t="s">
        <v>273</v>
      </c>
      <c r="D6" s="272">
        <v>43317.800312500003</v>
      </c>
      <c r="E6" s="272">
        <v>43435</v>
      </c>
      <c r="F6" s="272">
        <v>43442</v>
      </c>
      <c r="G6" s="272" t="s">
        <v>899</v>
      </c>
      <c r="H6" s="311">
        <v>1435</v>
      </c>
      <c r="I6" s="6"/>
      <c r="J6" s="6">
        <v>2</v>
      </c>
      <c r="K6" s="127">
        <f t="shared" ref="K6:K69" si="1">F6-E6</f>
        <v>7</v>
      </c>
      <c r="L6" s="6">
        <f>SUMIF(Dic!$G$3:$G$111,A6,Dic!$J$3:$J$111)</f>
        <v>7</v>
      </c>
      <c r="M6" s="285">
        <f t="shared" ref="M6:M26" si="2">+K6-L6</f>
        <v>0</v>
      </c>
      <c r="N6" s="248">
        <f t="shared" ref="N6:N69" si="3">+H6/L6</f>
        <v>205</v>
      </c>
      <c r="O6" s="285">
        <f t="shared" ref="O6:O69" si="4">ROUND(H6/N6,0)</f>
        <v>7</v>
      </c>
      <c r="P6" s="285">
        <f t="shared" ref="P6:P69" si="5">+O6-K6</f>
        <v>0</v>
      </c>
    </row>
    <row r="7" spans="1:16" x14ac:dyDescent="0.3">
      <c r="A7" s="40">
        <v>1809093770140</v>
      </c>
      <c r="B7" s="6" t="s">
        <v>299</v>
      </c>
      <c r="C7" s="272" t="s">
        <v>275</v>
      </c>
      <c r="D7" s="272">
        <v>43352.4531712963</v>
      </c>
      <c r="E7" s="272">
        <v>43435</v>
      </c>
      <c r="F7" s="272">
        <v>43442</v>
      </c>
      <c r="G7" s="272" t="s">
        <v>900</v>
      </c>
      <c r="H7" s="311">
        <v>1336.65</v>
      </c>
      <c r="I7" s="6"/>
      <c r="J7" s="6">
        <v>2</v>
      </c>
      <c r="K7" s="127">
        <f t="shared" si="1"/>
        <v>7</v>
      </c>
      <c r="L7" s="6">
        <f>SUMIF(Dic!$G$3:$G$111,A7,Dic!$J$3:$J$111)</f>
        <v>7</v>
      </c>
      <c r="M7" s="285">
        <f t="shared" si="2"/>
        <v>0</v>
      </c>
      <c r="N7" s="248">
        <f t="shared" si="3"/>
        <v>190.95000000000002</v>
      </c>
      <c r="O7" s="285">
        <f t="shared" si="4"/>
        <v>7</v>
      </c>
      <c r="P7" s="285">
        <f t="shared" si="5"/>
        <v>0</v>
      </c>
    </row>
    <row r="8" spans="1:16" x14ac:dyDescent="0.3">
      <c r="A8" s="40">
        <v>1511003770</v>
      </c>
      <c r="B8" s="6" t="s">
        <v>300</v>
      </c>
      <c r="C8" s="272" t="s">
        <v>273</v>
      </c>
      <c r="D8" s="272">
        <v>43397.800497685188</v>
      </c>
      <c r="E8" s="272">
        <v>43435</v>
      </c>
      <c r="F8" s="272">
        <v>43438</v>
      </c>
      <c r="G8" s="272" t="s">
        <v>901</v>
      </c>
      <c r="H8" s="311">
        <v>585</v>
      </c>
      <c r="I8" s="6"/>
      <c r="J8" s="6">
        <v>2</v>
      </c>
      <c r="K8" s="127">
        <f t="shared" si="1"/>
        <v>3</v>
      </c>
      <c r="L8" s="6">
        <f>SUMIF(Dic!$G$3:$G$111,A8,Dic!$J$3:$J$111)</f>
        <v>3</v>
      </c>
      <c r="M8" s="285">
        <f t="shared" si="2"/>
        <v>0</v>
      </c>
      <c r="N8" s="248">
        <f t="shared" si="3"/>
        <v>195</v>
      </c>
      <c r="O8" s="285">
        <f t="shared" si="4"/>
        <v>3</v>
      </c>
      <c r="P8" s="285">
        <f t="shared" si="5"/>
        <v>0</v>
      </c>
    </row>
    <row r="9" spans="1:16" x14ac:dyDescent="0.3">
      <c r="A9" s="40">
        <v>1464687713</v>
      </c>
      <c r="B9" s="6" t="s">
        <v>300</v>
      </c>
      <c r="C9" s="272" t="s">
        <v>273</v>
      </c>
      <c r="D9" s="272">
        <v>43268.69939814815</v>
      </c>
      <c r="E9" s="272">
        <v>43436</v>
      </c>
      <c r="F9" s="272">
        <v>43439</v>
      </c>
      <c r="G9" s="272" t="s">
        <v>902</v>
      </c>
      <c r="H9" s="311">
        <v>608</v>
      </c>
      <c r="I9" s="6"/>
      <c r="J9" s="6">
        <v>2</v>
      </c>
      <c r="K9" s="127">
        <f t="shared" si="1"/>
        <v>3</v>
      </c>
      <c r="L9" s="6">
        <f>SUMIF(Dic!$G$3:$G$111,A9,Dic!$J$3:$J$111)</f>
        <v>3</v>
      </c>
      <c r="M9" s="285">
        <f t="shared" si="2"/>
        <v>0</v>
      </c>
      <c r="N9" s="248">
        <f t="shared" si="3"/>
        <v>202.66666666666666</v>
      </c>
      <c r="O9" s="285">
        <f t="shared" si="4"/>
        <v>3</v>
      </c>
      <c r="P9" s="285">
        <f t="shared" si="5"/>
        <v>0</v>
      </c>
    </row>
    <row r="10" spans="1:16" x14ac:dyDescent="0.3">
      <c r="A10" s="40">
        <v>1808163705192</v>
      </c>
      <c r="B10" s="6" t="s">
        <v>299</v>
      </c>
      <c r="C10" s="272" t="s">
        <v>275</v>
      </c>
      <c r="D10" s="272">
        <v>43328.709652777776</v>
      </c>
      <c r="E10" s="272">
        <v>43436</v>
      </c>
      <c r="F10" s="272">
        <v>43439</v>
      </c>
      <c r="G10" s="272" t="s">
        <v>903</v>
      </c>
      <c r="H10" s="311">
        <v>584.25</v>
      </c>
      <c r="I10" s="6"/>
      <c r="J10" s="6">
        <v>2</v>
      </c>
      <c r="K10" s="127">
        <f t="shared" si="1"/>
        <v>3</v>
      </c>
      <c r="L10" s="6">
        <f>SUMIF(Dic!$G$3:$G$111,A10,Dic!$J$3:$J$111)</f>
        <v>3</v>
      </c>
      <c r="M10" s="285">
        <f t="shared" si="2"/>
        <v>0</v>
      </c>
      <c r="N10" s="248">
        <f t="shared" si="3"/>
        <v>194.75</v>
      </c>
      <c r="O10" s="285">
        <f t="shared" si="4"/>
        <v>3</v>
      </c>
      <c r="P10" s="285">
        <f t="shared" si="5"/>
        <v>0</v>
      </c>
    </row>
    <row r="11" spans="1:16" x14ac:dyDescent="0.3">
      <c r="A11" s="40">
        <v>1051195434</v>
      </c>
      <c r="B11" s="6" t="s">
        <v>299</v>
      </c>
      <c r="C11" s="272" t="s">
        <v>274</v>
      </c>
      <c r="D11" s="272">
        <v>43256.302777777775</v>
      </c>
      <c r="E11" s="272">
        <v>43437</v>
      </c>
      <c r="F11" s="272">
        <v>43439</v>
      </c>
      <c r="G11" s="272" t="s">
        <v>885</v>
      </c>
      <c r="H11" s="311">
        <v>410</v>
      </c>
      <c r="I11" s="6"/>
      <c r="J11" s="6">
        <v>2</v>
      </c>
      <c r="K11" s="127">
        <f t="shared" si="1"/>
        <v>2</v>
      </c>
      <c r="L11" s="6">
        <f>SUMIF(Dic!$G$3:$G$111,A11,Dic!$J$3:$J$111)</f>
        <v>2</v>
      </c>
      <c r="M11" s="285">
        <f t="shared" si="2"/>
        <v>0</v>
      </c>
      <c r="N11" s="248">
        <f t="shared" si="3"/>
        <v>205</v>
      </c>
      <c r="O11" s="285">
        <f t="shared" si="4"/>
        <v>2</v>
      </c>
      <c r="P11" s="285">
        <f t="shared" si="5"/>
        <v>0</v>
      </c>
    </row>
    <row r="12" spans="1:16" x14ac:dyDescent="0.3">
      <c r="A12" s="40">
        <v>1904968056</v>
      </c>
      <c r="B12" s="6" t="s">
        <v>300</v>
      </c>
      <c r="C12" s="272" t="s">
        <v>273</v>
      </c>
      <c r="D12" s="272">
        <v>43384.722731481481</v>
      </c>
      <c r="E12" s="272">
        <v>43437</v>
      </c>
      <c r="F12" s="272">
        <v>43438</v>
      </c>
      <c r="G12" s="272" t="s">
        <v>904</v>
      </c>
      <c r="H12" s="311">
        <v>205</v>
      </c>
      <c r="I12" s="6"/>
      <c r="J12" s="6">
        <v>2</v>
      </c>
      <c r="K12" s="127">
        <f t="shared" si="1"/>
        <v>1</v>
      </c>
      <c r="L12" s="6">
        <f>SUMIF(Dic!$G$3:$G$111,A12,Dic!$J$3:$J$111)</f>
        <v>1</v>
      </c>
      <c r="M12" s="285">
        <f t="shared" si="2"/>
        <v>0</v>
      </c>
      <c r="N12" s="248">
        <f t="shared" si="3"/>
        <v>205</v>
      </c>
      <c r="O12" s="285">
        <f t="shared" si="4"/>
        <v>1</v>
      </c>
      <c r="P12" s="285">
        <f t="shared" si="5"/>
        <v>0</v>
      </c>
    </row>
    <row r="13" spans="1:16" x14ac:dyDescent="0.3">
      <c r="A13" s="40">
        <v>1809153787661</v>
      </c>
      <c r="B13" s="6" t="s">
        <v>299</v>
      </c>
      <c r="C13" s="272" t="s">
        <v>275</v>
      </c>
      <c r="D13" s="272">
        <v>43358.447500000002</v>
      </c>
      <c r="E13" s="272">
        <v>43438</v>
      </c>
      <c r="F13" s="272">
        <v>43445</v>
      </c>
      <c r="G13" s="272" t="s">
        <v>905</v>
      </c>
      <c r="H13" s="311">
        <v>1316.7</v>
      </c>
      <c r="I13" s="6"/>
      <c r="J13" s="6">
        <v>2</v>
      </c>
      <c r="K13" s="127">
        <f t="shared" si="1"/>
        <v>7</v>
      </c>
      <c r="L13" s="6">
        <f>SUMIF(Dic!$G$3:$G$111,A13,Dic!$J$3:$J$111)</f>
        <v>7</v>
      </c>
      <c r="M13" s="285">
        <f t="shared" si="2"/>
        <v>0</v>
      </c>
      <c r="N13" s="248">
        <f t="shared" si="3"/>
        <v>188.1</v>
      </c>
      <c r="O13" s="285">
        <f t="shared" si="4"/>
        <v>7</v>
      </c>
      <c r="P13" s="285">
        <f t="shared" si="5"/>
        <v>0</v>
      </c>
    </row>
    <row r="14" spans="1:16" x14ac:dyDescent="0.3">
      <c r="A14" s="40">
        <v>1280401137</v>
      </c>
      <c r="B14" s="6" t="s">
        <v>299</v>
      </c>
      <c r="C14" s="272" t="s">
        <v>273</v>
      </c>
      <c r="D14" s="272">
        <v>43368.658067129632</v>
      </c>
      <c r="E14" s="272">
        <v>43438</v>
      </c>
      <c r="F14" s="272">
        <v>43441</v>
      </c>
      <c r="G14" s="272" t="s">
        <v>906</v>
      </c>
      <c r="H14" s="311">
        <v>1188</v>
      </c>
      <c r="I14" s="6"/>
      <c r="J14" s="6">
        <v>2</v>
      </c>
      <c r="K14" s="127">
        <f t="shared" si="1"/>
        <v>3</v>
      </c>
      <c r="L14" s="6">
        <f>SUMIF(Dic!$G$3:$G$111,A14,Dic!$J$3:$J$111)</f>
        <v>6</v>
      </c>
      <c r="M14" s="285">
        <f t="shared" si="2"/>
        <v>-3</v>
      </c>
      <c r="N14" s="248">
        <f t="shared" si="3"/>
        <v>198</v>
      </c>
      <c r="O14" s="285">
        <f t="shared" si="4"/>
        <v>6</v>
      </c>
      <c r="P14" s="285">
        <f t="shared" si="5"/>
        <v>3</v>
      </c>
    </row>
    <row r="15" spans="1:16" x14ac:dyDescent="0.3">
      <c r="A15" s="40">
        <v>1550384855</v>
      </c>
      <c r="B15" s="6" t="s">
        <v>299</v>
      </c>
      <c r="C15" s="272" t="s">
        <v>273</v>
      </c>
      <c r="D15" s="272">
        <v>43431.548854166664</v>
      </c>
      <c r="E15" s="272">
        <v>43438</v>
      </c>
      <c r="F15" s="272">
        <v>43439</v>
      </c>
      <c r="G15" s="272" t="s">
        <v>907</v>
      </c>
      <c r="H15" s="311">
        <v>198</v>
      </c>
      <c r="I15" s="6"/>
      <c r="J15" s="6">
        <v>2</v>
      </c>
      <c r="K15" s="127">
        <f t="shared" si="1"/>
        <v>1</v>
      </c>
      <c r="L15" s="6">
        <f>SUMIF(Dic!$G$3:$G$111,A15,Dic!$J$3:$J$111)</f>
        <v>1</v>
      </c>
      <c r="M15" s="285">
        <f t="shared" si="2"/>
        <v>0</v>
      </c>
      <c r="N15" s="248">
        <f t="shared" si="3"/>
        <v>198</v>
      </c>
      <c r="O15" s="285">
        <f t="shared" si="4"/>
        <v>1</v>
      </c>
      <c r="P15" s="285">
        <f t="shared" si="5"/>
        <v>0</v>
      </c>
    </row>
    <row r="16" spans="1:16" x14ac:dyDescent="0.3">
      <c r="A16" s="40">
        <v>1219577623</v>
      </c>
      <c r="B16" s="6" t="s">
        <v>299</v>
      </c>
      <c r="C16" s="272" t="s">
        <v>273</v>
      </c>
      <c r="D16" s="272">
        <v>43334.472314814811</v>
      </c>
      <c r="E16" s="272">
        <v>43439</v>
      </c>
      <c r="F16" s="272">
        <v>43441</v>
      </c>
      <c r="G16" s="272" t="s">
        <v>908</v>
      </c>
      <c r="H16" s="311">
        <v>410</v>
      </c>
      <c r="I16" s="6"/>
      <c r="J16" s="6">
        <v>2</v>
      </c>
      <c r="K16" s="127">
        <f t="shared" si="1"/>
        <v>2</v>
      </c>
      <c r="L16" s="6">
        <f>SUMIF(Dic!$G$3:$G$111,A16,Dic!$J$3:$J$111)</f>
        <v>2</v>
      </c>
      <c r="M16" s="285">
        <f t="shared" si="2"/>
        <v>0</v>
      </c>
      <c r="N16" s="248">
        <f t="shared" si="3"/>
        <v>205</v>
      </c>
      <c r="O16" s="285">
        <f t="shared" si="4"/>
        <v>2</v>
      </c>
      <c r="P16" s="285">
        <f t="shared" si="5"/>
        <v>0</v>
      </c>
    </row>
    <row r="17" spans="1:16" x14ac:dyDescent="0.3">
      <c r="A17" s="40">
        <v>1980066417</v>
      </c>
      <c r="B17" s="6" t="s">
        <v>300</v>
      </c>
      <c r="C17" s="272" t="s">
        <v>273</v>
      </c>
      <c r="D17" s="272">
        <v>43349.36509259259</v>
      </c>
      <c r="E17" s="272">
        <v>43439</v>
      </c>
      <c r="F17" s="272">
        <v>43441</v>
      </c>
      <c r="G17" s="272" t="s">
        <v>907</v>
      </c>
      <c r="H17" s="311">
        <v>396</v>
      </c>
      <c r="I17" s="6"/>
      <c r="J17" s="6">
        <v>2</v>
      </c>
      <c r="K17" s="127">
        <f t="shared" si="1"/>
        <v>2</v>
      </c>
      <c r="L17" s="6">
        <f>SUMIF(Dic!$G$3:$G$111,A17,Dic!$J$3:$J$111)</f>
        <v>2</v>
      </c>
      <c r="M17" s="285">
        <f t="shared" si="2"/>
        <v>0</v>
      </c>
      <c r="N17" s="248">
        <f t="shared" si="3"/>
        <v>198</v>
      </c>
      <c r="O17" s="285">
        <f t="shared" si="4"/>
        <v>2</v>
      </c>
      <c r="P17" s="285">
        <f t="shared" si="5"/>
        <v>0</v>
      </c>
    </row>
    <row r="18" spans="1:16" s="285" customFormat="1" x14ac:dyDescent="0.3">
      <c r="A18" s="40">
        <v>2067116002</v>
      </c>
      <c r="B18" s="6" t="s">
        <v>299</v>
      </c>
      <c r="C18" s="272" t="s">
        <v>273</v>
      </c>
      <c r="D18" s="272">
        <v>43370.637233796297</v>
      </c>
      <c r="E18" s="272">
        <v>43439</v>
      </c>
      <c r="F18" s="272">
        <v>43445</v>
      </c>
      <c r="G18" s="272" t="s">
        <v>909</v>
      </c>
      <c r="H18" s="311">
        <v>1188</v>
      </c>
      <c r="I18" s="6"/>
      <c r="J18" s="6">
        <v>2</v>
      </c>
      <c r="K18" s="127">
        <f t="shared" si="1"/>
        <v>6</v>
      </c>
      <c r="L18" s="6">
        <f>SUMIF(Dic!$G$3:$G$111,A18,Dic!$J$3:$J$111)</f>
        <v>6</v>
      </c>
      <c r="M18" s="285">
        <f t="shared" si="2"/>
        <v>0</v>
      </c>
      <c r="N18" s="248">
        <f t="shared" si="3"/>
        <v>198</v>
      </c>
      <c r="O18" s="285">
        <f t="shared" si="4"/>
        <v>6</v>
      </c>
      <c r="P18" s="285">
        <f t="shared" si="5"/>
        <v>0</v>
      </c>
    </row>
    <row r="19" spans="1:16" s="285" customFormat="1" x14ac:dyDescent="0.3">
      <c r="A19" s="40">
        <v>1157057239</v>
      </c>
      <c r="B19" s="6" t="s">
        <v>299</v>
      </c>
      <c r="C19" s="272" t="s">
        <v>274</v>
      </c>
      <c r="D19" s="272">
        <v>43435.724999999999</v>
      </c>
      <c r="E19" s="272">
        <v>43440</v>
      </c>
      <c r="F19" s="272">
        <v>43443</v>
      </c>
      <c r="G19" s="272" t="s">
        <v>910</v>
      </c>
      <c r="H19" s="311">
        <v>594</v>
      </c>
      <c r="I19" s="6"/>
      <c r="J19" s="6">
        <v>2</v>
      </c>
      <c r="K19" s="127">
        <f t="shared" si="1"/>
        <v>3</v>
      </c>
      <c r="L19" s="6">
        <f>SUMIF(Dic!$G$3:$G$111,A19,Dic!$J$3:$J$111)</f>
        <v>3</v>
      </c>
      <c r="M19" s="285">
        <f t="shared" si="2"/>
        <v>0</v>
      </c>
      <c r="N19" s="248">
        <f t="shared" si="3"/>
        <v>198</v>
      </c>
      <c r="O19" s="285">
        <f t="shared" si="4"/>
        <v>3</v>
      </c>
      <c r="P19" s="285">
        <f t="shared" si="5"/>
        <v>0</v>
      </c>
    </row>
    <row r="20" spans="1:16" s="285" customFormat="1" x14ac:dyDescent="0.3">
      <c r="A20" s="40">
        <v>1106455097</v>
      </c>
      <c r="B20" s="6" t="s">
        <v>299</v>
      </c>
      <c r="C20" s="272" t="s">
        <v>274</v>
      </c>
      <c r="D20" s="272">
        <v>43343.952777777777</v>
      </c>
      <c r="E20" s="272">
        <v>43441</v>
      </c>
      <c r="F20" s="272">
        <v>43444</v>
      </c>
      <c r="G20" s="272" t="s">
        <v>911</v>
      </c>
      <c r="H20" s="311">
        <v>594</v>
      </c>
      <c r="I20" s="6"/>
      <c r="J20" s="6">
        <v>2</v>
      </c>
      <c r="K20" s="127">
        <f t="shared" si="1"/>
        <v>3</v>
      </c>
      <c r="L20" s="6">
        <f>SUMIF(Dic!$G$3:$G$111,A20,Dic!$J$3:$J$111)</f>
        <v>3</v>
      </c>
      <c r="M20" s="285">
        <f t="shared" si="2"/>
        <v>0</v>
      </c>
      <c r="N20" s="248">
        <f t="shared" si="3"/>
        <v>198</v>
      </c>
      <c r="O20" s="285">
        <f t="shared" si="4"/>
        <v>3</v>
      </c>
      <c r="P20" s="285">
        <f t="shared" si="5"/>
        <v>0</v>
      </c>
    </row>
    <row r="21" spans="1:16" s="285" customFormat="1" x14ac:dyDescent="0.3">
      <c r="A21" s="40">
        <v>1130411633</v>
      </c>
      <c r="B21" s="6" t="s">
        <v>300</v>
      </c>
      <c r="C21" s="272" t="s">
        <v>273</v>
      </c>
      <c r="D21" s="272">
        <v>43419.932743055557</v>
      </c>
      <c r="E21" s="272">
        <v>43441</v>
      </c>
      <c r="F21" s="272">
        <v>43444</v>
      </c>
      <c r="G21" s="272" t="s">
        <v>912</v>
      </c>
      <c r="H21" s="311">
        <v>594</v>
      </c>
      <c r="I21" s="6"/>
      <c r="J21" s="6">
        <v>2</v>
      </c>
      <c r="K21" s="127">
        <f t="shared" si="1"/>
        <v>3</v>
      </c>
      <c r="L21" s="6">
        <f>SUMIF(Dic!$G$3:$G$111,A21,Dic!$J$3:$J$111)</f>
        <v>3</v>
      </c>
      <c r="M21" s="285">
        <f t="shared" si="2"/>
        <v>0</v>
      </c>
      <c r="N21" s="248">
        <f t="shared" si="3"/>
        <v>198</v>
      </c>
      <c r="O21" s="285">
        <f t="shared" si="4"/>
        <v>3</v>
      </c>
      <c r="P21" s="285">
        <f t="shared" si="5"/>
        <v>0</v>
      </c>
    </row>
    <row r="22" spans="1:16" s="285" customFormat="1" x14ac:dyDescent="0.3">
      <c r="A22" s="40">
        <v>1812074006793</v>
      </c>
      <c r="B22" s="6" t="s">
        <v>299</v>
      </c>
      <c r="C22" s="272" t="s">
        <v>275</v>
      </c>
      <c r="D22" s="272">
        <v>43441.54724537037</v>
      </c>
      <c r="E22" s="272">
        <v>43441</v>
      </c>
      <c r="F22" s="272">
        <v>43442</v>
      </c>
      <c r="G22" s="272" t="s">
        <v>913</v>
      </c>
      <c r="H22" s="311">
        <v>188.1</v>
      </c>
      <c r="I22" s="6"/>
      <c r="J22" s="6">
        <v>2</v>
      </c>
      <c r="K22" s="127">
        <f t="shared" si="1"/>
        <v>1</v>
      </c>
      <c r="L22" s="6">
        <f>SUMIF(Dic!$G$3:$G$111,A22,Dic!$J$3:$J$111)</f>
        <v>1</v>
      </c>
      <c r="M22" s="285">
        <f t="shared" si="2"/>
        <v>0</v>
      </c>
      <c r="N22" s="248">
        <f t="shared" si="3"/>
        <v>188.1</v>
      </c>
      <c r="O22" s="285">
        <f t="shared" si="4"/>
        <v>1</v>
      </c>
      <c r="P22" s="285">
        <f t="shared" si="5"/>
        <v>0</v>
      </c>
    </row>
    <row r="23" spans="1:16" s="285" customFormat="1" x14ac:dyDescent="0.3">
      <c r="A23" s="40">
        <v>1810103858232</v>
      </c>
      <c r="B23" s="6" t="s">
        <v>299</v>
      </c>
      <c r="C23" s="272" t="s">
        <v>275</v>
      </c>
      <c r="D23" s="272">
        <v>43383.640185185184</v>
      </c>
      <c r="E23" s="272">
        <v>43442</v>
      </c>
      <c r="F23" s="272">
        <v>43445</v>
      </c>
      <c r="G23" s="272" t="s">
        <v>914</v>
      </c>
      <c r="H23" s="311">
        <v>564.29999999999995</v>
      </c>
      <c r="I23" s="6"/>
      <c r="J23" s="6">
        <v>2</v>
      </c>
      <c r="K23" s="127">
        <f t="shared" si="1"/>
        <v>3</v>
      </c>
      <c r="L23" s="6">
        <f>SUMIF(Dic!$G$3:$G$111,A23,Dic!$J$3:$J$111)</f>
        <v>3</v>
      </c>
      <c r="M23" s="285">
        <f t="shared" si="2"/>
        <v>0</v>
      </c>
      <c r="N23" s="248">
        <f t="shared" si="3"/>
        <v>188.1</v>
      </c>
      <c r="O23" s="285">
        <f t="shared" si="4"/>
        <v>3</v>
      </c>
      <c r="P23" s="285">
        <f t="shared" si="5"/>
        <v>0</v>
      </c>
    </row>
    <row r="24" spans="1:16" s="285" customFormat="1" x14ac:dyDescent="0.3">
      <c r="A24" s="40">
        <v>1810123863898</v>
      </c>
      <c r="B24" s="6" t="s">
        <v>299</v>
      </c>
      <c r="C24" s="272" t="s">
        <v>275</v>
      </c>
      <c r="D24" s="272">
        <v>43385.668611111112</v>
      </c>
      <c r="E24" s="272">
        <v>43442</v>
      </c>
      <c r="F24" s="272">
        <v>43445</v>
      </c>
      <c r="G24" s="272" t="s">
        <v>915</v>
      </c>
      <c r="H24" s="311">
        <v>564.29999999999995</v>
      </c>
      <c r="I24" s="6"/>
      <c r="J24" s="6">
        <v>2</v>
      </c>
      <c r="K24" s="127">
        <f t="shared" si="1"/>
        <v>3</v>
      </c>
      <c r="L24" s="6">
        <f>SUMIF(Dic!$G$3:$G$111,A24,Dic!$J$3:$J$111)</f>
        <v>3</v>
      </c>
      <c r="M24" s="285">
        <f t="shared" si="2"/>
        <v>0</v>
      </c>
      <c r="N24" s="248">
        <f t="shared" si="3"/>
        <v>188.1</v>
      </c>
      <c r="O24" s="285">
        <f t="shared" si="4"/>
        <v>3</v>
      </c>
      <c r="P24" s="285">
        <f t="shared" si="5"/>
        <v>0</v>
      </c>
    </row>
    <row r="25" spans="1:16" s="285" customFormat="1" x14ac:dyDescent="0.3">
      <c r="A25" s="40">
        <v>1127073328</v>
      </c>
      <c r="B25" s="6" t="s">
        <v>299</v>
      </c>
      <c r="C25" s="272" t="s">
        <v>273</v>
      </c>
      <c r="D25" s="272">
        <v>43427.389837962961</v>
      </c>
      <c r="E25" s="272">
        <v>43442</v>
      </c>
      <c r="F25" s="272">
        <v>43446</v>
      </c>
      <c r="G25" s="272" t="s">
        <v>913</v>
      </c>
      <c r="H25" s="311">
        <v>792</v>
      </c>
      <c r="I25" s="6"/>
      <c r="J25" s="6">
        <v>2</v>
      </c>
      <c r="K25" s="127">
        <f t="shared" si="1"/>
        <v>4</v>
      </c>
      <c r="L25" s="6">
        <f>SUMIF(Dic!$G$3:$G$111,A25,Dic!$J$3:$J$111)</f>
        <v>4</v>
      </c>
      <c r="M25" s="285">
        <f t="shared" si="2"/>
        <v>0</v>
      </c>
      <c r="N25" s="248">
        <f t="shared" si="3"/>
        <v>198</v>
      </c>
      <c r="O25" s="285">
        <f t="shared" si="4"/>
        <v>4</v>
      </c>
      <c r="P25" s="285">
        <f t="shared" si="5"/>
        <v>0</v>
      </c>
    </row>
    <row r="26" spans="1:16" s="285" customFormat="1" x14ac:dyDescent="0.3">
      <c r="A26" s="40">
        <v>2008529980</v>
      </c>
      <c r="B26" s="6" t="s">
        <v>300</v>
      </c>
      <c r="C26" s="272" t="s">
        <v>273</v>
      </c>
      <c r="D26" s="272">
        <v>43359.391504629632</v>
      </c>
      <c r="E26" s="272">
        <v>43444</v>
      </c>
      <c r="F26" s="272">
        <v>43450</v>
      </c>
      <c r="G26" s="272" t="s">
        <v>916</v>
      </c>
      <c r="H26" s="311">
        <v>1202</v>
      </c>
      <c r="I26" s="6"/>
      <c r="J26" s="6">
        <v>2</v>
      </c>
      <c r="K26" s="127">
        <f t="shared" si="1"/>
        <v>6</v>
      </c>
      <c r="L26" s="6">
        <f>SUMIF(Dic!$G$3:$G$111,A26,Dic!$J$3:$J$111)</f>
        <v>6</v>
      </c>
      <c r="M26" s="285">
        <f t="shared" si="2"/>
        <v>0</v>
      </c>
      <c r="N26" s="248">
        <f t="shared" si="3"/>
        <v>200.33333333333334</v>
      </c>
      <c r="O26" s="285">
        <f t="shared" si="4"/>
        <v>6</v>
      </c>
      <c r="P26" s="285">
        <f t="shared" si="5"/>
        <v>0</v>
      </c>
    </row>
    <row r="27" spans="1:16" s="285" customFormat="1" x14ac:dyDescent="0.3">
      <c r="A27" s="40">
        <v>2089377196</v>
      </c>
      <c r="B27" s="6" t="s">
        <v>299</v>
      </c>
      <c r="C27" s="272" t="s">
        <v>273</v>
      </c>
      <c r="D27" s="272">
        <v>43423.77715277778</v>
      </c>
      <c r="E27" s="272">
        <v>43444</v>
      </c>
      <c r="F27" s="272">
        <v>43445</v>
      </c>
      <c r="G27" s="272" t="s">
        <v>917</v>
      </c>
      <c r="H27" s="311">
        <v>198</v>
      </c>
      <c r="I27" s="6"/>
      <c r="J27" s="6">
        <v>2</v>
      </c>
      <c r="K27" s="127">
        <f t="shared" si="1"/>
        <v>1</v>
      </c>
      <c r="L27" s="6">
        <f>SUMIF(Dic!$G$3:$G$111,A27,Dic!$J$3:$J$111)</f>
        <v>1</v>
      </c>
      <c r="M27" s="285">
        <f t="shared" ref="M27:M90" si="6">+K27-L27</f>
        <v>0</v>
      </c>
      <c r="N27" s="248">
        <f t="shared" si="3"/>
        <v>198</v>
      </c>
      <c r="O27" s="285">
        <f t="shared" si="4"/>
        <v>1</v>
      </c>
      <c r="P27" s="285">
        <f t="shared" si="5"/>
        <v>0</v>
      </c>
    </row>
    <row r="28" spans="1:16" s="285" customFormat="1" x14ac:dyDescent="0.3">
      <c r="A28" s="40">
        <v>1812054002052</v>
      </c>
      <c r="B28" s="6" t="s">
        <v>299</v>
      </c>
      <c r="C28" s="272" t="s">
        <v>275</v>
      </c>
      <c r="D28" s="272">
        <v>43439.504675925928</v>
      </c>
      <c r="E28" s="272">
        <v>43444</v>
      </c>
      <c r="F28" s="272">
        <v>43445</v>
      </c>
      <c r="G28" s="272" t="s">
        <v>835</v>
      </c>
      <c r="H28" s="311">
        <v>188.1</v>
      </c>
      <c r="I28" s="6"/>
      <c r="J28" s="6">
        <v>2</v>
      </c>
      <c r="K28" s="127">
        <f t="shared" si="1"/>
        <v>1</v>
      </c>
      <c r="L28" s="6">
        <f>SUMIF(Dic!$G$3:$G$111,A28,Dic!$J$3:$J$111)</f>
        <v>1</v>
      </c>
      <c r="M28" s="285">
        <f t="shared" si="6"/>
        <v>0</v>
      </c>
      <c r="N28" s="248">
        <f t="shared" si="3"/>
        <v>188.1</v>
      </c>
      <c r="O28" s="285">
        <f t="shared" si="4"/>
        <v>1</v>
      </c>
      <c r="P28" s="285">
        <f t="shared" si="5"/>
        <v>0</v>
      </c>
    </row>
    <row r="29" spans="1:16" s="285" customFormat="1" x14ac:dyDescent="0.3">
      <c r="A29" s="40">
        <v>1733550714</v>
      </c>
      <c r="B29" s="6" t="s">
        <v>299</v>
      </c>
      <c r="C29" s="272" t="s">
        <v>273</v>
      </c>
      <c r="D29" s="272">
        <v>43438.652962962966</v>
      </c>
      <c r="E29" s="272">
        <v>43445</v>
      </c>
      <c r="F29" s="272">
        <v>43449</v>
      </c>
      <c r="G29" s="272" t="s">
        <v>918</v>
      </c>
      <c r="H29" s="311">
        <v>799</v>
      </c>
      <c r="I29" s="6"/>
      <c r="J29" s="6">
        <v>2</v>
      </c>
      <c r="K29" s="127">
        <f t="shared" si="1"/>
        <v>4</v>
      </c>
      <c r="L29" s="6">
        <f>SUMIF(Dic!$G$3:$G$111,A29,Dic!$J$3:$J$111)</f>
        <v>4</v>
      </c>
      <c r="M29" s="285">
        <f t="shared" si="6"/>
        <v>0</v>
      </c>
      <c r="N29" s="248">
        <f t="shared" si="3"/>
        <v>199.75</v>
      </c>
      <c r="O29" s="285">
        <f t="shared" si="4"/>
        <v>4</v>
      </c>
      <c r="P29" s="285">
        <f t="shared" si="5"/>
        <v>0</v>
      </c>
    </row>
    <row r="30" spans="1:16" s="285" customFormat="1" x14ac:dyDescent="0.3">
      <c r="A30" s="40">
        <v>1157059306</v>
      </c>
      <c r="B30" s="6" t="s">
        <v>299</v>
      </c>
      <c r="C30" s="272" t="s">
        <v>274</v>
      </c>
      <c r="D30" s="272">
        <v>43435.729861111111</v>
      </c>
      <c r="E30" s="272">
        <v>43446</v>
      </c>
      <c r="F30" s="272">
        <v>43447</v>
      </c>
      <c r="G30" s="272" t="s">
        <v>910</v>
      </c>
      <c r="H30" s="311">
        <v>198</v>
      </c>
      <c r="I30" s="6"/>
      <c r="J30" s="6">
        <v>2</v>
      </c>
      <c r="K30" s="127">
        <f t="shared" si="1"/>
        <v>1</v>
      </c>
      <c r="L30" s="6">
        <f>SUMIF(Dic!$G$3:$G$111,A30,Dic!$J$3:$J$111)</f>
        <v>1</v>
      </c>
      <c r="M30" s="285">
        <f t="shared" si="6"/>
        <v>0</v>
      </c>
      <c r="N30" s="248">
        <f t="shared" si="3"/>
        <v>198</v>
      </c>
      <c r="O30" s="285">
        <f t="shared" si="4"/>
        <v>1</v>
      </c>
      <c r="P30" s="285">
        <f t="shared" si="5"/>
        <v>0</v>
      </c>
    </row>
    <row r="31" spans="1:16" s="285" customFormat="1" x14ac:dyDescent="0.3">
      <c r="A31" s="40">
        <v>1735944967</v>
      </c>
      <c r="B31" s="6" t="s">
        <v>299</v>
      </c>
      <c r="C31" s="272" t="s">
        <v>273</v>
      </c>
      <c r="D31" s="272">
        <v>43421.147557870368</v>
      </c>
      <c r="E31" s="272">
        <v>43447</v>
      </c>
      <c r="F31" s="272">
        <v>43453</v>
      </c>
      <c r="G31" s="272" t="s">
        <v>919</v>
      </c>
      <c r="H31" s="311">
        <v>1223</v>
      </c>
      <c r="I31" s="6"/>
      <c r="J31" s="6">
        <v>2</v>
      </c>
      <c r="K31" s="127">
        <f t="shared" si="1"/>
        <v>6</v>
      </c>
      <c r="L31" s="6">
        <f>SUMIF(Dic!$G$3:$G$111,A31,Dic!$J$3:$J$111)</f>
        <v>6</v>
      </c>
      <c r="M31" s="285">
        <f t="shared" si="6"/>
        <v>0</v>
      </c>
      <c r="N31" s="248">
        <f t="shared" si="3"/>
        <v>203.83333333333334</v>
      </c>
      <c r="O31" s="285">
        <f t="shared" si="4"/>
        <v>6</v>
      </c>
      <c r="P31" s="285">
        <f t="shared" si="5"/>
        <v>0</v>
      </c>
    </row>
    <row r="32" spans="1:16" s="285" customFormat="1" x14ac:dyDescent="0.3">
      <c r="A32" s="40">
        <v>1041592774</v>
      </c>
      <c r="B32" s="6" t="s">
        <v>299</v>
      </c>
      <c r="C32" s="272" t="s">
        <v>274</v>
      </c>
      <c r="D32" s="272">
        <v>43240.354861111111</v>
      </c>
      <c r="E32" s="272">
        <v>43448</v>
      </c>
      <c r="F32" s="272">
        <v>43452</v>
      </c>
      <c r="G32" s="272" t="s">
        <v>920</v>
      </c>
      <c r="H32" s="311">
        <v>820</v>
      </c>
      <c r="I32" s="6"/>
      <c r="J32" s="6">
        <v>2</v>
      </c>
      <c r="K32" s="127">
        <f t="shared" si="1"/>
        <v>4</v>
      </c>
      <c r="L32" s="6">
        <f>SUMIF(Dic!$G$3:$G$111,A32,Dic!$J$3:$J$111)</f>
        <v>4</v>
      </c>
      <c r="M32" s="285">
        <f t="shared" si="6"/>
        <v>0</v>
      </c>
      <c r="N32" s="248">
        <f t="shared" si="3"/>
        <v>205</v>
      </c>
      <c r="O32" s="285">
        <f t="shared" si="4"/>
        <v>4</v>
      </c>
      <c r="P32" s="285">
        <f t="shared" si="5"/>
        <v>0</v>
      </c>
    </row>
    <row r="33" spans="1:16" s="285" customFormat="1" x14ac:dyDescent="0.3">
      <c r="A33" s="40">
        <v>1715578446</v>
      </c>
      <c r="B33" s="6" t="s">
        <v>299</v>
      </c>
      <c r="C33" s="272" t="s">
        <v>273</v>
      </c>
      <c r="D33" s="272">
        <v>43324.057916666665</v>
      </c>
      <c r="E33" s="272">
        <v>43448</v>
      </c>
      <c r="F33" s="272">
        <v>43451</v>
      </c>
      <c r="G33" s="272" t="s">
        <v>921</v>
      </c>
      <c r="H33" s="311">
        <v>615</v>
      </c>
      <c r="I33" s="6"/>
      <c r="J33" s="6">
        <v>2</v>
      </c>
      <c r="K33" s="127">
        <f t="shared" si="1"/>
        <v>3</v>
      </c>
      <c r="L33" s="6">
        <f>SUMIF(Dic!$G$3:$G$111,A33,Dic!$J$3:$J$111)</f>
        <v>3</v>
      </c>
      <c r="M33" s="285">
        <f t="shared" si="6"/>
        <v>0</v>
      </c>
      <c r="N33" s="248">
        <f t="shared" si="3"/>
        <v>205</v>
      </c>
      <c r="O33" s="285">
        <f t="shared" si="4"/>
        <v>3</v>
      </c>
      <c r="P33" s="285">
        <f t="shared" si="5"/>
        <v>0</v>
      </c>
    </row>
    <row r="34" spans="1:16" s="285" customFormat="1" x14ac:dyDescent="0.3">
      <c r="A34" s="40">
        <v>1889416264</v>
      </c>
      <c r="B34" s="6" t="s">
        <v>300</v>
      </c>
      <c r="C34" s="272" t="s">
        <v>273</v>
      </c>
      <c r="D34" s="272">
        <v>43364.407407407409</v>
      </c>
      <c r="E34" s="272">
        <v>43448</v>
      </c>
      <c r="F34" s="272">
        <v>43456</v>
      </c>
      <c r="G34" s="272" t="s">
        <v>922</v>
      </c>
      <c r="H34" s="311">
        <v>3330</v>
      </c>
      <c r="I34" s="6"/>
      <c r="J34" s="6">
        <v>2</v>
      </c>
      <c r="K34" s="127">
        <f t="shared" si="1"/>
        <v>8</v>
      </c>
      <c r="L34" s="6">
        <f>SUMIF(Dic!$G$3:$G$111,A34,Dic!$J$3:$J$111)</f>
        <v>16</v>
      </c>
      <c r="M34" s="285">
        <f t="shared" si="6"/>
        <v>-8</v>
      </c>
      <c r="N34" s="248">
        <f t="shared" si="3"/>
        <v>208.125</v>
      </c>
      <c r="O34" s="285">
        <f t="shared" si="4"/>
        <v>16</v>
      </c>
      <c r="P34" s="285">
        <f t="shared" si="5"/>
        <v>8</v>
      </c>
    </row>
    <row r="35" spans="1:16" s="285" customFormat="1" x14ac:dyDescent="0.3">
      <c r="A35" s="40">
        <v>1427000484</v>
      </c>
      <c r="B35" s="6" t="s">
        <v>299</v>
      </c>
      <c r="C35" s="272" t="s">
        <v>273</v>
      </c>
      <c r="D35" s="272">
        <v>43423.797685185185</v>
      </c>
      <c r="E35" s="272">
        <v>43448</v>
      </c>
      <c r="F35" s="272">
        <v>43450</v>
      </c>
      <c r="G35" s="272" t="s">
        <v>917</v>
      </c>
      <c r="H35" s="311">
        <v>410</v>
      </c>
      <c r="I35" s="6"/>
      <c r="J35" s="6">
        <v>2</v>
      </c>
      <c r="K35" s="127">
        <f t="shared" si="1"/>
        <v>2</v>
      </c>
      <c r="L35" s="6">
        <f>SUMIF(Dic!$G$3:$G$111,A35,Dic!$J$3:$J$111)</f>
        <v>2</v>
      </c>
      <c r="M35" s="285">
        <f t="shared" si="6"/>
        <v>0</v>
      </c>
      <c r="N35" s="248">
        <f t="shared" si="3"/>
        <v>205</v>
      </c>
      <c r="O35" s="285">
        <f t="shared" si="4"/>
        <v>2</v>
      </c>
      <c r="P35" s="285">
        <f t="shared" si="5"/>
        <v>0</v>
      </c>
    </row>
    <row r="36" spans="1:16" s="285" customFormat="1" x14ac:dyDescent="0.3">
      <c r="A36" s="40">
        <v>1059080329</v>
      </c>
      <c r="B36" s="6" t="s">
        <v>300</v>
      </c>
      <c r="C36" s="272" t="s">
        <v>273</v>
      </c>
      <c r="D36" s="272">
        <v>43359.823958333334</v>
      </c>
      <c r="E36" s="272">
        <v>43449</v>
      </c>
      <c r="F36" s="272">
        <v>43455</v>
      </c>
      <c r="G36" s="272" t="s">
        <v>923</v>
      </c>
      <c r="H36" s="311">
        <v>2460</v>
      </c>
      <c r="I36" s="6"/>
      <c r="J36" s="6">
        <v>2</v>
      </c>
      <c r="K36" s="127">
        <f t="shared" si="1"/>
        <v>6</v>
      </c>
      <c r="L36" s="6">
        <f>SUMIF(Dic!$G$3:$G$111,A36,Dic!$J$3:$J$111)</f>
        <v>12</v>
      </c>
      <c r="M36" s="285">
        <f t="shared" si="6"/>
        <v>-6</v>
      </c>
      <c r="N36" s="248">
        <f t="shared" si="3"/>
        <v>205</v>
      </c>
      <c r="O36" s="285">
        <f t="shared" si="4"/>
        <v>12</v>
      </c>
      <c r="P36" s="285">
        <f t="shared" si="5"/>
        <v>6</v>
      </c>
    </row>
    <row r="37" spans="1:16" s="285" customFormat="1" x14ac:dyDescent="0.3">
      <c r="A37" s="40">
        <v>1811293988792</v>
      </c>
      <c r="B37" s="6" t="s">
        <v>299</v>
      </c>
      <c r="C37" s="272" t="s">
        <v>275</v>
      </c>
      <c r="D37" s="272">
        <v>43433.725648148145</v>
      </c>
      <c r="E37" s="272">
        <v>43449</v>
      </c>
      <c r="F37" s="272">
        <v>43450</v>
      </c>
      <c r="G37" s="272" t="s">
        <v>878</v>
      </c>
      <c r="H37" s="311">
        <v>194.75</v>
      </c>
      <c r="I37" s="6"/>
      <c r="J37" s="6">
        <v>2</v>
      </c>
      <c r="K37" s="127">
        <f t="shared" si="1"/>
        <v>1</v>
      </c>
      <c r="L37" s="6">
        <f>SUMIF(Dic!$G$3:$G$111,A37,Dic!$J$3:$J$111)</f>
        <v>1</v>
      </c>
      <c r="M37" s="285">
        <f t="shared" si="6"/>
        <v>0</v>
      </c>
      <c r="N37" s="248">
        <f t="shared" si="3"/>
        <v>194.75</v>
      </c>
      <c r="O37" s="285">
        <f t="shared" si="4"/>
        <v>1</v>
      </c>
      <c r="P37" s="285">
        <f t="shared" si="5"/>
        <v>0</v>
      </c>
    </row>
    <row r="38" spans="1:16" s="285" customFormat="1" x14ac:dyDescent="0.3">
      <c r="A38" s="40">
        <v>1808143699605</v>
      </c>
      <c r="B38" s="6" t="s">
        <v>299</v>
      </c>
      <c r="C38" s="272" t="s">
        <v>275</v>
      </c>
      <c r="D38" s="272">
        <v>43326.945844907408</v>
      </c>
      <c r="E38" s="272">
        <v>43450</v>
      </c>
      <c r="F38" s="272">
        <v>43455</v>
      </c>
      <c r="G38" s="272" t="s">
        <v>924</v>
      </c>
      <c r="H38" s="311">
        <v>973.75</v>
      </c>
      <c r="I38" s="6"/>
      <c r="J38" s="6">
        <v>2</v>
      </c>
      <c r="K38" s="127">
        <f t="shared" si="1"/>
        <v>5</v>
      </c>
      <c r="L38" s="6">
        <f>SUMIF(Dic!$G$3:$G$111,A38,Dic!$J$3:$J$111)</f>
        <v>5</v>
      </c>
      <c r="M38" s="285">
        <f t="shared" si="6"/>
        <v>0</v>
      </c>
      <c r="N38" s="248">
        <f t="shared" si="3"/>
        <v>194.75</v>
      </c>
      <c r="O38" s="285">
        <f t="shared" si="4"/>
        <v>5</v>
      </c>
      <c r="P38" s="285">
        <f t="shared" si="5"/>
        <v>0</v>
      </c>
    </row>
    <row r="39" spans="1:16" s="285" customFormat="1" x14ac:dyDescent="0.3">
      <c r="A39" s="40">
        <v>2066428795</v>
      </c>
      <c r="B39" s="6" t="s">
        <v>299</v>
      </c>
      <c r="C39" s="272" t="s">
        <v>273</v>
      </c>
      <c r="D39" s="272">
        <v>43353.423032407409</v>
      </c>
      <c r="E39" s="272">
        <v>43451</v>
      </c>
      <c r="F39" s="272">
        <v>43455</v>
      </c>
      <c r="G39" s="272" t="s">
        <v>925</v>
      </c>
      <c r="H39" s="311">
        <v>820</v>
      </c>
      <c r="I39" s="6"/>
      <c r="J39" s="6">
        <v>2</v>
      </c>
      <c r="K39" s="127">
        <f t="shared" si="1"/>
        <v>4</v>
      </c>
      <c r="L39" s="6">
        <f>SUMIF(Dic!$G$3:$G$111,A39,Dic!$J$3:$J$111)</f>
        <v>4</v>
      </c>
      <c r="M39" s="285">
        <f t="shared" si="6"/>
        <v>0</v>
      </c>
      <c r="N39" s="248">
        <f t="shared" si="3"/>
        <v>205</v>
      </c>
      <c r="O39" s="285">
        <f t="shared" si="4"/>
        <v>4</v>
      </c>
      <c r="P39" s="285">
        <f t="shared" si="5"/>
        <v>0</v>
      </c>
    </row>
    <row r="40" spans="1:16" s="285" customFormat="1" x14ac:dyDescent="0.3">
      <c r="A40" s="40">
        <v>1854619540</v>
      </c>
      <c r="B40" s="6" t="s">
        <v>299</v>
      </c>
      <c r="C40" s="272" t="s">
        <v>273</v>
      </c>
      <c r="D40" s="272">
        <v>43402.37158564815</v>
      </c>
      <c r="E40" s="272">
        <v>43451</v>
      </c>
      <c r="F40" s="272">
        <v>43456</v>
      </c>
      <c r="G40" s="272" t="s">
        <v>926</v>
      </c>
      <c r="H40" s="311">
        <v>1050</v>
      </c>
      <c r="I40" s="6"/>
      <c r="J40" s="6">
        <v>2</v>
      </c>
      <c r="K40" s="127">
        <f t="shared" si="1"/>
        <v>5</v>
      </c>
      <c r="L40" s="6">
        <f>SUMIF(Dic!$G$3:$G$111,A40,Dic!$J$3:$J$111)</f>
        <v>5</v>
      </c>
      <c r="M40" s="285">
        <f t="shared" si="6"/>
        <v>0</v>
      </c>
      <c r="N40" s="248">
        <f t="shared" si="3"/>
        <v>210</v>
      </c>
      <c r="O40" s="285">
        <f t="shared" si="4"/>
        <v>5</v>
      </c>
      <c r="P40" s="285">
        <f t="shared" si="5"/>
        <v>0</v>
      </c>
    </row>
    <row r="41" spans="1:16" s="285" customFormat="1" x14ac:dyDescent="0.3">
      <c r="A41" s="40">
        <v>1156346575</v>
      </c>
      <c r="B41" s="6" t="s">
        <v>299</v>
      </c>
      <c r="C41" s="272" t="s">
        <v>274</v>
      </c>
      <c r="D41" s="272">
        <v>43434.197916666664</v>
      </c>
      <c r="E41" s="272">
        <v>43451</v>
      </c>
      <c r="F41" s="272">
        <v>43452</v>
      </c>
      <c r="G41" s="272" t="s">
        <v>927</v>
      </c>
      <c r="H41" s="311">
        <v>205</v>
      </c>
      <c r="I41" s="6"/>
      <c r="J41" s="6">
        <v>2</v>
      </c>
      <c r="K41" s="127">
        <f t="shared" si="1"/>
        <v>1</v>
      </c>
      <c r="L41" s="6">
        <f>SUMIF(Dic!$G$3:$G$111,A41,Dic!$J$3:$J$111)</f>
        <v>1</v>
      </c>
      <c r="M41" s="285">
        <f t="shared" si="6"/>
        <v>0</v>
      </c>
      <c r="N41" s="248">
        <f t="shared" si="3"/>
        <v>205</v>
      </c>
      <c r="O41" s="285">
        <f t="shared" si="4"/>
        <v>1</v>
      </c>
      <c r="P41" s="285">
        <f t="shared" si="5"/>
        <v>0</v>
      </c>
    </row>
    <row r="42" spans="1:16" s="285" customFormat="1" x14ac:dyDescent="0.3">
      <c r="A42" s="40">
        <v>1125004701</v>
      </c>
      <c r="B42" s="6" t="s">
        <v>299</v>
      </c>
      <c r="C42" s="272" t="s">
        <v>274</v>
      </c>
      <c r="D42" s="272">
        <v>43376.490277777775</v>
      </c>
      <c r="E42" s="272">
        <v>43453</v>
      </c>
      <c r="F42" s="272">
        <v>43455</v>
      </c>
      <c r="G42" s="272" t="s">
        <v>928</v>
      </c>
      <c r="H42" s="311">
        <v>410</v>
      </c>
      <c r="I42" s="6"/>
      <c r="J42" s="6">
        <v>2</v>
      </c>
      <c r="K42" s="127">
        <f t="shared" si="1"/>
        <v>2</v>
      </c>
      <c r="L42" s="6">
        <f>SUMIF(Dic!$G$3:$G$111,A42,Dic!$J$3:$J$111)</f>
        <v>2</v>
      </c>
      <c r="M42" s="285">
        <f t="shared" si="6"/>
        <v>0</v>
      </c>
      <c r="N42" s="248">
        <f t="shared" si="3"/>
        <v>205</v>
      </c>
      <c r="O42" s="285">
        <f t="shared" si="4"/>
        <v>2</v>
      </c>
      <c r="P42" s="285">
        <f t="shared" si="5"/>
        <v>0</v>
      </c>
    </row>
    <row r="43" spans="1:16" s="285" customFormat="1" x14ac:dyDescent="0.3">
      <c r="A43" s="40">
        <v>1740497275</v>
      </c>
      <c r="B43" s="6" t="s">
        <v>299</v>
      </c>
      <c r="C43" s="272" t="s">
        <v>273</v>
      </c>
      <c r="D43" s="272">
        <v>43296.579236111109</v>
      </c>
      <c r="E43" s="272">
        <v>43454</v>
      </c>
      <c r="F43" s="272">
        <v>43455</v>
      </c>
      <c r="G43" s="272" t="s">
        <v>929</v>
      </c>
      <c r="H43" s="311">
        <v>205</v>
      </c>
      <c r="I43" s="6"/>
      <c r="J43" s="6">
        <v>2</v>
      </c>
      <c r="K43" s="127">
        <f t="shared" si="1"/>
        <v>1</v>
      </c>
      <c r="L43" s="6">
        <f>SUMIF(Dic!$G$3:$G$111,A43,Dic!$J$3:$J$111)</f>
        <v>1</v>
      </c>
      <c r="M43" s="285">
        <f t="shared" si="6"/>
        <v>0</v>
      </c>
      <c r="N43" s="248">
        <f t="shared" si="3"/>
        <v>205</v>
      </c>
      <c r="O43" s="285">
        <f t="shared" si="4"/>
        <v>1</v>
      </c>
      <c r="P43" s="285">
        <f t="shared" si="5"/>
        <v>0</v>
      </c>
    </row>
    <row r="44" spans="1:16" s="285" customFormat="1" x14ac:dyDescent="0.3">
      <c r="A44" s="40">
        <v>1810223888549</v>
      </c>
      <c r="B44" s="6" t="s">
        <v>299</v>
      </c>
      <c r="C44" s="272" t="s">
        <v>275</v>
      </c>
      <c r="D44" s="272">
        <v>43395.339282407411</v>
      </c>
      <c r="E44" s="272">
        <v>43454</v>
      </c>
      <c r="F44" s="272">
        <v>43456</v>
      </c>
      <c r="G44" s="272" t="s">
        <v>930</v>
      </c>
      <c r="H44" s="311">
        <v>413.25</v>
      </c>
      <c r="I44" s="6"/>
      <c r="J44" s="6">
        <v>2</v>
      </c>
      <c r="K44" s="127">
        <f t="shared" si="1"/>
        <v>2</v>
      </c>
      <c r="L44" s="6">
        <f>SUMIF(Dic!$G$3:$G$111,A44,Dic!$J$3:$J$111)</f>
        <v>2</v>
      </c>
      <c r="M44" s="285">
        <f t="shared" si="6"/>
        <v>0</v>
      </c>
      <c r="N44" s="248">
        <f t="shared" si="3"/>
        <v>206.625</v>
      </c>
      <c r="O44" s="285">
        <f t="shared" si="4"/>
        <v>2</v>
      </c>
      <c r="P44" s="285">
        <f t="shared" si="5"/>
        <v>0</v>
      </c>
    </row>
    <row r="45" spans="1:16" s="285" customFormat="1" x14ac:dyDescent="0.3">
      <c r="A45" s="40">
        <v>1043136693</v>
      </c>
      <c r="B45" s="6" t="s">
        <v>299</v>
      </c>
      <c r="C45" s="272" t="s">
        <v>273</v>
      </c>
      <c r="D45" s="272">
        <v>43336.470671296294</v>
      </c>
      <c r="E45" s="272">
        <v>43455</v>
      </c>
      <c r="F45" s="272">
        <v>43458</v>
      </c>
      <c r="G45" s="272" t="s">
        <v>931</v>
      </c>
      <c r="H45" s="311">
        <v>690</v>
      </c>
      <c r="I45" s="6"/>
      <c r="J45" s="6">
        <v>2</v>
      </c>
      <c r="K45" s="127">
        <f t="shared" si="1"/>
        <v>3</v>
      </c>
      <c r="L45" s="6">
        <f>SUMIF(Dic!$G$3:$G$111,A45,Dic!$J$3:$J$111)</f>
        <v>3</v>
      </c>
      <c r="M45" s="285">
        <f t="shared" si="6"/>
        <v>0</v>
      </c>
      <c r="N45" s="248">
        <f t="shared" si="3"/>
        <v>230</v>
      </c>
      <c r="O45" s="285">
        <f t="shared" si="4"/>
        <v>3</v>
      </c>
      <c r="P45" s="285">
        <f t="shared" si="5"/>
        <v>0</v>
      </c>
    </row>
    <row r="46" spans="1:16" s="285" customFormat="1" x14ac:dyDescent="0.3">
      <c r="A46" s="40">
        <v>1669151499</v>
      </c>
      <c r="B46" s="6" t="s">
        <v>299</v>
      </c>
      <c r="C46" s="272" t="s">
        <v>273</v>
      </c>
      <c r="D46" s="272">
        <v>43360.910694444443</v>
      </c>
      <c r="E46" s="272">
        <v>43455</v>
      </c>
      <c r="F46" s="272">
        <v>43461</v>
      </c>
      <c r="G46" s="272" t="s">
        <v>932</v>
      </c>
      <c r="H46" s="311">
        <v>1380</v>
      </c>
      <c r="I46" s="6"/>
      <c r="J46" s="6">
        <v>2</v>
      </c>
      <c r="K46" s="127">
        <f t="shared" si="1"/>
        <v>6</v>
      </c>
      <c r="L46" s="6">
        <f>SUMIF(Dic!$G$3:$G$111,A46,Dic!$J$3:$J$111)</f>
        <v>6</v>
      </c>
      <c r="M46" s="285">
        <f t="shared" si="6"/>
        <v>0</v>
      </c>
      <c r="N46" s="248">
        <f t="shared" si="3"/>
        <v>230</v>
      </c>
      <c r="O46" s="285">
        <f t="shared" si="4"/>
        <v>6</v>
      </c>
      <c r="P46" s="285">
        <f t="shared" si="5"/>
        <v>0</v>
      </c>
    </row>
    <row r="47" spans="1:16" s="285" customFormat="1" x14ac:dyDescent="0.3">
      <c r="A47" s="40">
        <v>1810293908219</v>
      </c>
      <c r="B47" s="6" t="s">
        <v>299</v>
      </c>
      <c r="C47" s="272" t="s">
        <v>275</v>
      </c>
      <c r="D47" s="272">
        <v>43402.776388888888</v>
      </c>
      <c r="E47" s="272">
        <v>43455</v>
      </c>
      <c r="F47" s="272">
        <v>43458</v>
      </c>
      <c r="G47" s="272" t="s">
        <v>933</v>
      </c>
      <c r="H47" s="311">
        <v>655.5</v>
      </c>
      <c r="I47" s="6"/>
      <c r="J47" s="6">
        <v>2</v>
      </c>
      <c r="K47" s="127">
        <f t="shared" si="1"/>
        <v>3</v>
      </c>
      <c r="L47" s="6">
        <f>SUMIF(Dic!$G$3:$G$111,A47,Dic!$J$3:$J$111)</f>
        <v>3</v>
      </c>
      <c r="M47" s="285">
        <f t="shared" si="6"/>
        <v>0</v>
      </c>
      <c r="N47" s="248">
        <f t="shared" si="3"/>
        <v>218.5</v>
      </c>
      <c r="O47" s="285">
        <f t="shared" si="4"/>
        <v>3</v>
      </c>
      <c r="P47" s="285">
        <f t="shared" si="5"/>
        <v>0</v>
      </c>
    </row>
    <row r="48" spans="1:16" s="285" customFormat="1" x14ac:dyDescent="0.3">
      <c r="A48" s="40">
        <v>1272420119</v>
      </c>
      <c r="B48" s="6" t="s">
        <v>299</v>
      </c>
      <c r="C48" s="272" t="s">
        <v>273</v>
      </c>
      <c r="D48" s="272">
        <v>43455.964490740742</v>
      </c>
      <c r="E48" s="272">
        <v>43455</v>
      </c>
      <c r="F48" s="272">
        <v>43456</v>
      </c>
      <c r="G48" s="272" t="s">
        <v>934</v>
      </c>
      <c r="H48" s="311">
        <v>230</v>
      </c>
      <c r="I48" s="6"/>
      <c r="J48" s="6">
        <v>2</v>
      </c>
      <c r="K48" s="127">
        <f t="shared" si="1"/>
        <v>1</v>
      </c>
      <c r="L48" s="6">
        <f>SUMIF(Dic!$G$3:$G$111,A48,Dic!$J$3:$J$111)</f>
        <v>1</v>
      </c>
      <c r="M48" s="285">
        <f t="shared" si="6"/>
        <v>0</v>
      </c>
      <c r="N48" s="248">
        <f t="shared" si="3"/>
        <v>230</v>
      </c>
      <c r="O48" s="285">
        <f t="shared" si="4"/>
        <v>1</v>
      </c>
      <c r="P48" s="285">
        <f t="shared" si="5"/>
        <v>0</v>
      </c>
    </row>
    <row r="49" spans="1:16" s="285" customFormat="1" x14ac:dyDescent="0.3">
      <c r="A49" s="40">
        <v>1769662234</v>
      </c>
      <c r="B49" s="6" t="s">
        <v>299</v>
      </c>
      <c r="C49" s="272" t="s">
        <v>273</v>
      </c>
      <c r="D49" s="272">
        <v>43233.620810185188</v>
      </c>
      <c r="E49" s="272">
        <v>43456</v>
      </c>
      <c r="F49" s="272">
        <v>43464</v>
      </c>
      <c r="G49" s="272" t="s">
        <v>935</v>
      </c>
      <c r="H49" s="311">
        <v>1790</v>
      </c>
      <c r="I49" s="6"/>
      <c r="J49" s="6">
        <v>2</v>
      </c>
      <c r="K49" s="127">
        <f t="shared" si="1"/>
        <v>8</v>
      </c>
      <c r="L49" s="6">
        <f>SUMIF(Dic!$G$3:$G$111,A49,Dic!$J$3:$J$111)</f>
        <v>8</v>
      </c>
      <c r="M49" s="285">
        <f t="shared" si="6"/>
        <v>0</v>
      </c>
      <c r="N49" s="248">
        <f t="shared" si="3"/>
        <v>223.75</v>
      </c>
      <c r="O49" s="285">
        <f t="shared" si="4"/>
        <v>8</v>
      </c>
      <c r="P49" s="285">
        <f t="shared" si="5"/>
        <v>0</v>
      </c>
    </row>
    <row r="50" spans="1:16" s="285" customFormat="1" x14ac:dyDescent="0.3">
      <c r="A50" s="40">
        <v>2006498394</v>
      </c>
      <c r="B50" s="6" t="s">
        <v>299</v>
      </c>
      <c r="C50" s="272" t="s">
        <v>273</v>
      </c>
      <c r="D50" s="272">
        <v>43398.610995370371</v>
      </c>
      <c r="E50" s="272">
        <v>43456</v>
      </c>
      <c r="F50" s="272">
        <v>43462</v>
      </c>
      <c r="G50" s="272" t="s">
        <v>936</v>
      </c>
      <c r="H50" s="311">
        <v>1380</v>
      </c>
      <c r="I50" s="6"/>
      <c r="J50" s="6">
        <v>2</v>
      </c>
      <c r="K50" s="127">
        <f t="shared" si="1"/>
        <v>6</v>
      </c>
      <c r="L50" s="6">
        <f>SUMIF(Dic!$G$3:$G$111,A50,Dic!$J$3:$J$111)</f>
        <v>6</v>
      </c>
      <c r="M50" s="285">
        <f t="shared" si="6"/>
        <v>0</v>
      </c>
      <c r="N50" s="248">
        <f t="shared" si="3"/>
        <v>230</v>
      </c>
      <c r="O50" s="285">
        <f t="shared" si="4"/>
        <v>6</v>
      </c>
      <c r="P50" s="285">
        <f t="shared" si="5"/>
        <v>0</v>
      </c>
    </row>
    <row r="51" spans="1:16" s="285" customFormat="1" x14ac:dyDescent="0.3">
      <c r="A51" s="40">
        <v>1812224038438</v>
      </c>
      <c r="B51" s="6" t="s">
        <v>299</v>
      </c>
      <c r="C51" s="272" t="s">
        <v>275</v>
      </c>
      <c r="D51" s="272">
        <v>43456.476342592592</v>
      </c>
      <c r="E51" s="272">
        <v>43456</v>
      </c>
      <c r="F51" s="272">
        <v>43457</v>
      </c>
      <c r="G51" s="272" t="s">
        <v>934</v>
      </c>
      <c r="H51" s="311">
        <v>218.5</v>
      </c>
      <c r="I51" s="6"/>
      <c r="J51" s="6">
        <v>2</v>
      </c>
      <c r="K51" s="127">
        <f t="shared" si="1"/>
        <v>1</v>
      </c>
      <c r="L51" s="6">
        <f>SUMIF(Dic!$G$3:$G$111,A51,Dic!$J$3:$J$111)</f>
        <v>1</v>
      </c>
      <c r="M51" s="285">
        <f t="shared" si="6"/>
        <v>0</v>
      </c>
      <c r="N51" s="248">
        <f t="shared" si="3"/>
        <v>218.5</v>
      </c>
      <c r="O51" s="285">
        <f t="shared" si="4"/>
        <v>1</v>
      </c>
      <c r="P51" s="285">
        <f t="shared" si="5"/>
        <v>0</v>
      </c>
    </row>
    <row r="52" spans="1:16" s="285" customFormat="1" x14ac:dyDescent="0.3">
      <c r="A52" s="40">
        <v>1646582183</v>
      </c>
      <c r="B52" s="6" t="s">
        <v>299</v>
      </c>
      <c r="C52" s="272" t="s">
        <v>273</v>
      </c>
      <c r="D52" s="272">
        <v>43296.582071759258</v>
      </c>
      <c r="E52" s="272">
        <v>43457</v>
      </c>
      <c r="F52" s="272">
        <v>43459</v>
      </c>
      <c r="G52" s="272" t="s">
        <v>929</v>
      </c>
      <c r="H52" s="311">
        <v>460</v>
      </c>
      <c r="I52" s="6"/>
      <c r="J52" s="6">
        <v>2</v>
      </c>
      <c r="K52" s="127">
        <f t="shared" si="1"/>
        <v>2</v>
      </c>
      <c r="L52" s="6">
        <f>SUMIF(Dic!$G$3:$G$111,A52,Dic!$J$3:$J$111)</f>
        <v>2</v>
      </c>
      <c r="M52" s="285">
        <f t="shared" si="6"/>
        <v>0</v>
      </c>
      <c r="N52" s="248">
        <f t="shared" si="3"/>
        <v>230</v>
      </c>
      <c r="O52" s="285">
        <f t="shared" si="4"/>
        <v>2</v>
      </c>
      <c r="P52" s="285">
        <f t="shared" si="5"/>
        <v>0</v>
      </c>
    </row>
    <row r="53" spans="1:16" s="285" customFormat="1" x14ac:dyDescent="0.3">
      <c r="A53" s="40">
        <v>1896017717</v>
      </c>
      <c r="B53" s="6" t="s">
        <v>299</v>
      </c>
      <c r="C53" s="272" t="s">
        <v>273</v>
      </c>
      <c r="D53" s="272">
        <v>43313.571979166663</v>
      </c>
      <c r="E53" s="272">
        <v>43457</v>
      </c>
      <c r="F53" s="272">
        <v>43462</v>
      </c>
      <c r="G53" s="272" t="s">
        <v>937</v>
      </c>
      <c r="H53" s="311">
        <v>1150</v>
      </c>
      <c r="I53" s="6"/>
      <c r="J53" s="6">
        <v>2</v>
      </c>
      <c r="K53" s="127">
        <f t="shared" si="1"/>
        <v>5</v>
      </c>
      <c r="L53" s="6">
        <f>SUMIF(Dic!$G$3:$G$111,A53,Dic!$J$3:$J$111)</f>
        <v>5</v>
      </c>
      <c r="M53" s="285">
        <f t="shared" si="6"/>
        <v>0</v>
      </c>
      <c r="N53" s="248">
        <f t="shared" si="3"/>
        <v>230</v>
      </c>
      <c r="O53" s="285">
        <f t="shared" si="4"/>
        <v>5</v>
      </c>
      <c r="P53" s="285">
        <f t="shared" si="5"/>
        <v>0</v>
      </c>
    </row>
    <row r="54" spans="1:16" s="285" customFormat="1" x14ac:dyDescent="0.3">
      <c r="A54" s="40">
        <v>1518679125</v>
      </c>
      <c r="B54" s="6" t="s">
        <v>299</v>
      </c>
      <c r="C54" s="272" t="s">
        <v>273</v>
      </c>
      <c r="D54" s="272">
        <v>43347.266967592594</v>
      </c>
      <c r="E54" s="272">
        <v>43457</v>
      </c>
      <c r="F54" s="272">
        <v>43461</v>
      </c>
      <c r="G54" s="272" t="s">
        <v>938</v>
      </c>
      <c r="H54" s="311">
        <v>1790</v>
      </c>
      <c r="I54" s="6"/>
      <c r="J54" s="6">
        <v>2</v>
      </c>
      <c r="K54" s="127">
        <f t="shared" si="1"/>
        <v>4</v>
      </c>
      <c r="L54" s="6">
        <f>SUMIF(Dic!$G$3:$G$111,A54,Dic!$J$3:$J$111)</f>
        <v>8</v>
      </c>
      <c r="M54" s="285">
        <f t="shared" si="6"/>
        <v>-4</v>
      </c>
      <c r="N54" s="248">
        <f t="shared" si="3"/>
        <v>223.75</v>
      </c>
      <c r="O54" s="285">
        <f t="shared" si="4"/>
        <v>8</v>
      </c>
      <c r="P54" s="285">
        <f t="shared" si="5"/>
        <v>4</v>
      </c>
    </row>
    <row r="55" spans="1:16" s="285" customFormat="1" x14ac:dyDescent="0.3">
      <c r="A55" s="40">
        <v>1857312745</v>
      </c>
      <c r="B55" s="6" t="s">
        <v>299</v>
      </c>
      <c r="C55" s="272" t="s">
        <v>273</v>
      </c>
      <c r="D55" s="272">
        <v>43377.968460648146</v>
      </c>
      <c r="E55" s="272">
        <v>43457</v>
      </c>
      <c r="F55" s="272">
        <v>43460</v>
      </c>
      <c r="G55" s="272" t="s">
        <v>939</v>
      </c>
      <c r="H55" s="311">
        <v>690</v>
      </c>
      <c r="I55" s="6"/>
      <c r="J55" s="6">
        <v>2</v>
      </c>
      <c r="K55" s="127">
        <f t="shared" si="1"/>
        <v>3</v>
      </c>
      <c r="L55" s="6">
        <f>SUMIF(Dic!$G$3:$G$111,A55,Dic!$J$3:$J$111)</f>
        <v>3</v>
      </c>
      <c r="M55" s="285">
        <f t="shared" si="6"/>
        <v>0</v>
      </c>
      <c r="N55" s="248">
        <f t="shared" si="3"/>
        <v>230</v>
      </c>
      <c r="O55" s="285">
        <f t="shared" si="4"/>
        <v>3</v>
      </c>
      <c r="P55" s="285">
        <f t="shared" si="5"/>
        <v>0</v>
      </c>
    </row>
    <row r="56" spans="1:16" s="285" customFormat="1" x14ac:dyDescent="0.3">
      <c r="A56" s="40">
        <v>1091397929</v>
      </c>
      <c r="B56" s="6" t="s">
        <v>299</v>
      </c>
      <c r="C56" s="272" t="s">
        <v>274</v>
      </c>
      <c r="D56" s="272">
        <v>43319.466666666667</v>
      </c>
      <c r="E56" s="272">
        <v>43458</v>
      </c>
      <c r="F56" s="272">
        <v>43462</v>
      </c>
      <c r="G56" s="272" t="s">
        <v>940</v>
      </c>
      <c r="H56" s="311">
        <v>870</v>
      </c>
      <c r="I56" s="6"/>
      <c r="J56" s="6">
        <v>2</v>
      </c>
      <c r="K56" s="127">
        <f t="shared" si="1"/>
        <v>4</v>
      </c>
      <c r="L56" s="6">
        <f>SUMIF(Dic!$G$3:$G$111,A56,Dic!$J$3:$J$111)</f>
        <v>4</v>
      </c>
      <c r="M56" s="285">
        <f t="shared" si="6"/>
        <v>0</v>
      </c>
      <c r="N56" s="248">
        <f t="shared" si="3"/>
        <v>217.5</v>
      </c>
      <c r="O56" s="285">
        <f t="shared" si="4"/>
        <v>4</v>
      </c>
      <c r="P56" s="285">
        <f t="shared" si="5"/>
        <v>0</v>
      </c>
    </row>
    <row r="57" spans="1:16" s="285" customFormat="1" x14ac:dyDescent="0.3">
      <c r="A57" s="40">
        <v>1091398984</v>
      </c>
      <c r="B57" s="6" t="s">
        <v>299</v>
      </c>
      <c r="C57" s="272" t="s">
        <v>274</v>
      </c>
      <c r="D57" s="272">
        <v>43319.467361111114</v>
      </c>
      <c r="E57" s="272">
        <v>43458</v>
      </c>
      <c r="F57" s="272">
        <v>43462</v>
      </c>
      <c r="G57" s="272" t="s">
        <v>941</v>
      </c>
      <c r="H57" s="311">
        <v>870</v>
      </c>
      <c r="I57" s="6"/>
      <c r="J57" s="6">
        <v>2</v>
      </c>
      <c r="K57" s="127">
        <f t="shared" si="1"/>
        <v>4</v>
      </c>
      <c r="L57" s="6">
        <f>SUMIF(Dic!$G$3:$G$111,A57,Dic!$J$3:$J$111)</f>
        <v>4</v>
      </c>
      <c r="M57" s="285">
        <f t="shared" si="6"/>
        <v>0</v>
      </c>
      <c r="N57" s="248">
        <f t="shared" si="3"/>
        <v>217.5</v>
      </c>
      <c r="O57" s="285">
        <f t="shared" si="4"/>
        <v>4</v>
      </c>
      <c r="P57" s="285">
        <f t="shared" si="5"/>
        <v>0</v>
      </c>
    </row>
    <row r="58" spans="1:16" s="285" customFormat="1" x14ac:dyDescent="0.3">
      <c r="A58" s="40">
        <v>1815107127</v>
      </c>
      <c r="B58" s="6" t="s">
        <v>299</v>
      </c>
      <c r="C58" s="272" t="s">
        <v>273</v>
      </c>
      <c r="D58" s="272">
        <v>43432.046574074076</v>
      </c>
      <c r="E58" s="272">
        <v>43459</v>
      </c>
      <c r="F58" s="272">
        <v>43460</v>
      </c>
      <c r="G58" s="272" t="s">
        <v>858</v>
      </c>
      <c r="H58" s="311">
        <v>230</v>
      </c>
      <c r="I58" s="6"/>
      <c r="J58" s="6">
        <v>2</v>
      </c>
      <c r="K58" s="127">
        <f t="shared" si="1"/>
        <v>1</v>
      </c>
      <c r="L58" s="6">
        <f>SUMIF(Dic!$G$3:$G$111,A58,Dic!$J$3:$J$111)</f>
        <v>1</v>
      </c>
      <c r="M58" s="285">
        <f t="shared" si="6"/>
        <v>0</v>
      </c>
      <c r="N58" s="248">
        <f t="shared" si="3"/>
        <v>230</v>
      </c>
      <c r="O58" s="285">
        <f t="shared" si="4"/>
        <v>1</v>
      </c>
      <c r="P58" s="285">
        <f t="shared" si="5"/>
        <v>0</v>
      </c>
    </row>
    <row r="59" spans="1:16" s="285" customFormat="1" x14ac:dyDescent="0.3">
      <c r="A59" s="40">
        <v>1385359656</v>
      </c>
      <c r="B59" s="6" t="s">
        <v>300</v>
      </c>
      <c r="C59" s="272" t="s">
        <v>273</v>
      </c>
      <c r="D59" s="272">
        <v>43321.50613425926</v>
      </c>
      <c r="E59" s="272">
        <v>43460</v>
      </c>
      <c r="F59" s="272">
        <v>43462</v>
      </c>
      <c r="G59" s="272" t="s">
        <v>942</v>
      </c>
      <c r="H59" s="311">
        <v>410</v>
      </c>
      <c r="I59" s="6"/>
      <c r="J59" s="6">
        <v>2</v>
      </c>
      <c r="K59" s="127">
        <f t="shared" si="1"/>
        <v>2</v>
      </c>
      <c r="L59" s="6">
        <f>SUMIF(Dic!$G$3:$G$111,A59,Dic!$J$3:$J$111)</f>
        <v>2</v>
      </c>
      <c r="M59" s="285">
        <f t="shared" si="6"/>
        <v>0</v>
      </c>
      <c r="N59" s="248">
        <f t="shared" si="3"/>
        <v>205</v>
      </c>
      <c r="O59" s="285">
        <f t="shared" si="4"/>
        <v>2</v>
      </c>
      <c r="P59" s="285">
        <f t="shared" si="5"/>
        <v>0</v>
      </c>
    </row>
    <row r="60" spans="1:16" s="285" customFormat="1" x14ac:dyDescent="0.3">
      <c r="A60" s="40">
        <v>1134230363</v>
      </c>
      <c r="B60" s="6" t="s">
        <v>299</v>
      </c>
      <c r="C60" s="272" t="s">
        <v>274</v>
      </c>
      <c r="D60" s="272">
        <v>43392.815972222219</v>
      </c>
      <c r="E60" s="272">
        <v>43460</v>
      </c>
      <c r="F60" s="272">
        <v>43461</v>
      </c>
      <c r="G60" s="272" t="s">
        <v>943</v>
      </c>
      <c r="H60" s="311">
        <v>205</v>
      </c>
      <c r="I60" s="6"/>
      <c r="J60" s="6">
        <v>2</v>
      </c>
      <c r="K60" s="127">
        <f t="shared" si="1"/>
        <v>1</v>
      </c>
      <c r="L60" s="6">
        <f>SUMIF(Dic!$G$3:$G$111,A60,Dic!$J$3:$J$111)</f>
        <v>1</v>
      </c>
      <c r="M60" s="285">
        <f t="shared" si="6"/>
        <v>0</v>
      </c>
      <c r="N60" s="248">
        <f t="shared" si="3"/>
        <v>205</v>
      </c>
      <c r="O60" s="285">
        <f t="shared" si="4"/>
        <v>1</v>
      </c>
      <c r="P60" s="285">
        <f t="shared" si="5"/>
        <v>0</v>
      </c>
    </row>
    <row r="61" spans="1:16" s="285" customFormat="1" x14ac:dyDescent="0.3">
      <c r="A61" s="40">
        <v>1099489016</v>
      </c>
      <c r="B61" s="6" t="s">
        <v>299</v>
      </c>
      <c r="C61" s="272" t="s">
        <v>273</v>
      </c>
      <c r="D61" s="272">
        <v>43237.693310185183</v>
      </c>
      <c r="E61" s="272">
        <v>43461</v>
      </c>
      <c r="F61" s="272">
        <v>43470</v>
      </c>
      <c r="G61" s="272" t="s">
        <v>944</v>
      </c>
      <c r="H61" s="311">
        <v>1970</v>
      </c>
      <c r="I61" s="6"/>
      <c r="J61" s="6">
        <v>2</v>
      </c>
      <c r="K61" s="127">
        <f t="shared" si="1"/>
        <v>9</v>
      </c>
      <c r="L61" s="6">
        <f>SUMIF(Dic!$G$3:$G$111,A61,Dic!$J$3:$J$111)</f>
        <v>9</v>
      </c>
      <c r="M61" s="285">
        <f t="shared" si="6"/>
        <v>0</v>
      </c>
      <c r="N61" s="248">
        <f t="shared" si="3"/>
        <v>218.88888888888889</v>
      </c>
      <c r="O61" s="285">
        <f t="shared" si="4"/>
        <v>9</v>
      </c>
      <c r="P61" s="285">
        <f t="shared" si="5"/>
        <v>0</v>
      </c>
    </row>
    <row r="62" spans="1:16" s="285" customFormat="1" x14ac:dyDescent="0.3">
      <c r="A62" s="40">
        <v>1249181755</v>
      </c>
      <c r="B62" s="6" t="s">
        <v>299</v>
      </c>
      <c r="C62" s="272" t="s">
        <v>273</v>
      </c>
      <c r="D62" s="272">
        <v>43297.290254629632</v>
      </c>
      <c r="E62" s="272">
        <v>43461</v>
      </c>
      <c r="F62" s="272">
        <v>43462</v>
      </c>
      <c r="G62" s="272" t="s">
        <v>945</v>
      </c>
      <c r="H62" s="311">
        <v>230</v>
      </c>
      <c r="I62" s="6"/>
      <c r="J62" s="6">
        <v>2</v>
      </c>
      <c r="K62" s="127">
        <f t="shared" si="1"/>
        <v>1</v>
      </c>
      <c r="L62" s="6">
        <f>SUMIF(Dic!$G$3:$G$111,A62,Dic!$J$3:$J$111)</f>
        <v>1</v>
      </c>
      <c r="M62" s="285">
        <f t="shared" si="6"/>
        <v>0</v>
      </c>
      <c r="N62" s="248">
        <f t="shared" si="3"/>
        <v>230</v>
      </c>
      <c r="O62" s="285">
        <f t="shared" si="4"/>
        <v>1</v>
      </c>
      <c r="P62" s="285">
        <f t="shared" si="5"/>
        <v>0</v>
      </c>
    </row>
    <row r="63" spans="1:16" s="285" customFormat="1" x14ac:dyDescent="0.3">
      <c r="A63" s="40">
        <v>1516374841</v>
      </c>
      <c r="B63" s="6" t="s">
        <v>300</v>
      </c>
      <c r="C63" s="272" t="s">
        <v>273</v>
      </c>
      <c r="D63" s="272">
        <v>43334.687581018516</v>
      </c>
      <c r="E63" s="272">
        <v>43461</v>
      </c>
      <c r="F63" s="272">
        <v>43464</v>
      </c>
      <c r="G63" s="272" t="s">
        <v>946</v>
      </c>
      <c r="H63" s="311">
        <v>665</v>
      </c>
      <c r="I63" s="6"/>
      <c r="J63" s="6">
        <v>2</v>
      </c>
      <c r="K63" s="127">
        <f t="shared" si="1"/>
        <v>3</v>
      </c>
      <c r="L63" s="6">
        <f>SUMIF(Dic!$G$3:$G$111,A63,Dic!$J$3:$J$111)</f>
        <v>3</v>
      </c>
      <c r="M63" s="285">
        <f t="shared" si="6"/>
        <v>0</v>
      </c>
      <c r="N63" s="248">
        <f t="shared" si="3"/>
        <v>221.66666666666666</v>
      </c>
      <c r="O63" s="285">
        <f t="shared" si="4"/>
        <v>3</v>
      </c>
      <c r="P63" s="285">
        <f t="shared" si="5"/>
        <v>0</v>
      </c>
    </row>
    <row r="64" spans="1:16" s="285" customFormat="1" x14ac:dyDescent="0.3">
      <c r="A64" s="40">
        <v>1123251878</v>
      </c>
      <c r="B64" s="6" t="s">
        <v>299</v>
      </c>
      <c r="C64" s="272" t="s">
        <v>274</v>
      </c>
      <c r="D64" s="272">
        <v>43373.619444444441</v>
      </c>
      <c r="E64" s="272">
        <v>43461</v>
      </c>
      <c r="F64" s="272">
        <v>43462</v>
      </c>
      <c r="G64" s="272" t="s">
        <v>947</v>
      </c>
      <c r="H64" s="311">
        <v>205</v>
      </c>
      <c r="I64" s="6"/>
      <c r="J64" s="6">
        <v>2</v>
      </c>
      <c r="K64" s="127">
        <f t="shared" si="1"/>
        <v>1</v>
      </c>
      <c r="L64" s="6">
        <f>SUMIF(Dic!$G$3:$G$111,A64,Dic!$J$3:$J$111)</f>
        <v>1</v>
      </c>
      <c r="M64" s="285">
        <f t="shared" si="6"/>
        <v>0</v>
      </c>
      <c r="N64" s="248">
        <f t="shared" si="3"/>
        <v>205</v>
      </c>
      <c r="O64" s="285">
        <f t="shared" si="4"/>
        <v>1</v>
      </c>
      <c r="P64" s="285">
        <f t="shared" si="5"/>
        <v>0</v>
      </c>
    </row>
    <row r="65" spans="1:16" s="285" customFormat="1" x14ac:dyDescent="0.3">
      <c r="A65" s="40">
        <v>1805243469694</v>
      </c>
      <c r="B65" s="6" t="s">
        <v>299</v>
      </c>
      <c r="C65" s="272" t="s">
        <v>275</v>
      </c>
      <c r="D65" s="272">
        <v>43244.841585648152</v>
      </c>
      <c r="E65" s="272">
        <v>43462</v>
      </c>
      <c r="F65" s="272">
        <v>43465</v>
      </c>
      <c r="G65" s="272" t="s">
        <v>948</v>
      </c>
      <c r="H65" s="311">
        <v>1311</v>
      </c>
      <c r="I65" s="6"/>
      <c r="J65" s="6">
        <v>2</v>
      </c>
      <c r="K65" s="127">
        <f t="shared" si="1"/>
        <v>3</v>
      </c>
      <c r="L65" s="6">
        <f>SUMIF(Dic!$G$3:$G$111,A65,Dic!$J$3:$J$111)</f>
        <v>6</v>
      </c>
      <c r="M65" s="285">
        <f t="shared" si="6"/>
        <v>-3</v>
      </c>
      <c r="N65" s="248">
        <f t="shared" si="3"/>
        <v>218.5</v>
      </c>
      <c r="O65" s="285">
        <f t="shared" si="4"/>
        <v>6</v>
      </c>
      <c r="P65" s="285">
        <f t="shared" si="5"/>
        <v>3</v>
      </c>
    </row>
    <row r="66" spans="1:16" s="285" customFormat="1" x14ac:dyDescent="0.3">
      <c r="A66" s="40">
        <v>1471755117</v>
      </c>
      <c r="B66" s="6" t="s">
        <v>299</v>
      </c>
      <c r="C66" s="272" t="s">
        <v>273</v>
      </c>
      <c r="D66" s="272">
        <v>43289.89640046296</v>
      </c>
      <c r="E66" s="272">
        <v>43462</v>
      </c>
      <c r="F66" s="272">
        <v>43466</v>
      </c>
      <c r="G66" s="272" t="s">
        <v>949</v>
      </c>
      <c r="H66" s="311">
        <v>920</v>
      </c>
      <c r="I66" s="6"/>
      <c r="J66" s="6">
        <v>2</v>
      </c>
      <c r="K66" s="127">
        <f t="shared" si="1"/>
        <v>4</v>
      </c>
      <c r="L66" s="6">
        <f>SUMIF(Dic!$G$3:$G$111,A66,Dic!$J$3:$J$111)</f>
        <v>4</v>
      </c>
      <c r="M66" s="285">
        <f t="shared" si="6"/>
        <v>0</v>
      </c>
      <c r="N66" s="248">
        <f t="shared" si="3"/>
        <v>230</v>
      </c>
      <c r="O66" s="285">
        <f t="shared" si="4"/>
        <v>4</v>
      </c>
      <c r="P66" s="285">
        <f t="shared" si="5"/>
        <v>0</v>
      </c>
    </row>
    <row r="67" spans="1:16" s="285" customFormat="1" x14ac:dyDescent="0.3">
      <c r="A67" s="40">
        <v>1343723474</v>
      </c>
      <c r="B67" s="6" t="s">
        <v>299</v>
      </c>
      <c r="C67" s="272" t="s">
        <v>273</v>
      </c>
      <c r="D67" s="272">
        <v>43331.738715277781</v>
      </c>
      <c r="E67" s="272">
        <v>43462</v>
      </c>
      <c r="F67" s="272">
        <v>43463</v>
      </c>
      <c r="G67" s="272" t="s">
        <v>942</v>
      </c>
      <c r="H67" s="311">
        <v>230</v>
      </c>
      <c r="I67" s="6"/>
      <c r="J67" s="6">
        <v>2</v>
      </c>
      <c r="K67" s="127">
        <f t="shared" si="1"/>
        <v>1</v>
      </c>
      <c r="L67" s="6">
        <f>SUMIF(Dic!$G$3:$G$111,A67,Dic!$J$3:$J$111)</f>
        <v>1</v>
      </c>
      <c r="M67" s="285">
        <f t="shared" si="6"/>
        <v>0</v>
      </c>
      <c r="N67" s="248">
        <f t="shared" si="3"/>
        <v>230</v>
      </c>
      <c r="O67" s="285">
        <f t="shared" si="4"/>
        <v>1</v>
      </c>
      <c r="P67" s="285">
        <f t="shared" si="5"/>
        <v>0</v>
      </c>
    </row>
    <row r="68" spans="1:16" s="285" customFormat="1" x14ac:dyDescent="0.3">
      <c r="A68" s="40">
        <v>1137951160</v>
      </c>
      <c r="B68" s="6" t="s">
        <v>299</v>
      </c>
      <c r="C68" s="272" t="s">
        <v>274</v>
      </c>
      <c r="D68" s="272">
        <v>43399.806944444441</v>
      </c>
      <c r="E68" s="272">
        <v>43462</v>
      </c>
      <c r="F68" s="272">
        <v>43464</v>
      </c>
      <c r="G68" s="272" t="s">
        <v>950</v>
      </c>
      <c r="H68" s="311">
        <v>460</v>
      </c>
      <c r="I68" s="6"/>
      <c r="J68" s="6">
        <v>2</v>
      </c>
      <c r="K68" s="127">
        <f t="shared" si="1"/>
        <v>2</v>
      </c>
      <c r="L68" s="6">
        <f>SUMIF(Dic!$G$3:$G$111,A68,Dic!$J$3:$J$111)</f>
        <v>2</v>
      </c>
      <c r="M68" s="285">
        <f t="shared" si="6"/>
        <v>0</v>
      </c>
      <c r="N68" s="248">
        <f t="shared" si="3"/>
        <v>230</v>
      </c>
      <c r="O68" s="285">
        <f t="shared" si="4"/>
        <v>2</v>
      </c>
      <c r="P68" s="285">
        <f t="shared" si="5"/>
        <v>0</v>
      </c>
    </row>
    <row r="69" spans="1:16" s="285" customFormat="1" x14ac:dyDescent="0.3">
      <c r="A69" s="40">
        <v>1812094011283</v>
      </c>
      <c r="B69" s="6" t="s">
        <v>299</v>
      </c>
      <c r="C69" s="272" t="s">
        <v>275</v>
      </c>
      <c r="D69" s="272">
        <v>43443.823171296295</v>
      </c>
      <c r="E69" s="272">
        <v>43462</v>
      </c>
      <c r="F69" s="272">
        <v>43463</v>
      </c>
      <c r="G69" s="272" t="s">
        <v>951</v>
      </c>
      <c r="H69" s="311">
        <v>218.5</v>
      </c>
      <c r="I69" s="6"/>
      <c r="J69" s="6">
        <v>2</v>
      </c>
      <c r="K69" s="127">
        <f t="shared" si="1"/>
        <v>1</v>
      </c>
      <c r="L69" s="6">
        <f>SUMIF(Dic!$G$3:$G$111,A69,Dic!$J$3:$J$111)</f>
        <v>1</v>
      </c>
      <c r="M69" s="285">
        <f t="shared" si="6"/>
        <v>0</v>
      </c>
      <c r="N69" s="248">
        <f t="shared" si="3"/>
        <v>218.5</v>
      </c>
      <c r="O69" s="285">
        <f t="shared" si="4"/>
        <v>1</v>
      </c>
      <c r="P69" s="285">
        <f t="shared" si="5"/>
        <v>0</v>
      </c>
    </row>
    <row r="70" spans="1:16" s="285" customFormat="1" x14ac:dyDescent="0.3">
      <c r="A70" s="40">
        <v>1490951769</v>
      </c>
      <c r="B70" s="6" t="s">
        <v>299</v>
      </c>
      <c r="C70" s="272" t="s">
        <v>273</v>
      </c>
      <c r="D70" s="272">
        <v>43286.850810185184</v>
      </c>
      <c r="E70" s="272">
        <v>43463</v>
      </c>
      <c r="F70" s="272">
        <v>43467</v>
      </c>
      <c r="G70" s="272" t="s">
        <v>952</v>
      </c>
      <c r="H70" s="311">
        <v>920</v>
      </c>
      <c r="I70" s="6"/>
      <c r="J70" s="6">
        <v>2</v>
      </c>
      <c r="K70" s="127">
        <f t="shared" ref="K70:K88" si="7">F70-E70</f>
        <v>4</v>
      </c>
      <c r="L70" s="6">
        <f>SUMIF(Dic!$G$3:$G$111,A70,Dic!$J$3:$J$111)</f>
        <v>4</v>
      </c>
      <c r="M70" s="285">
        <f t="shared" si="6"/>
        <v>0</v>
      </c>
      <c r="N70" s="248">
        <f t="shared" ref="N70:N99" si="8">+H70/L70</f>
        <v>230</v>
      </c>
      <c r="O70" s="285">
        <f t="shared" ref="O70:O99" si="9">ROUND(H70/N70,0)</f>
        <v>4</v>
      </c>
      <c r="P70" s="285">
        <f t="shared" ref="P70:P100" si="10">+O70-K70</f>
        <v>0</v>
      </c>
    </row>
    <row r="71" spans="1:16" s="285" customFormat="1" x14ac:dyDescent="0.3">
      <c r="A71" s="40">
        <v>1649246928</v>
      </c>
      <c r="B71" s="6" t="s">
        <v>300</v>
      </c>
      <c r="C71" s="272" t="s">
        <v>273</v>
      </c>
      <c r="D71" s="272">
        <v>43332.514930555553</v>
      </c>
      <c r="E71" s="272">
        <v>43463</v>
      </c>
      <c r="F71" s="272">
        <v>43466</v>
      </c>
      <c r="G71" s="272" t="s">
        <v>953</v>
      </c>
      <c r="H71" s="311">
        <v>690</v>
      </c>
      <c r="I71" s="6"/>
      <c r="J71" s="6">
        <v>2</v>
      </c>
      <c r="K71" s="127">
        <f t="shared" si="7"/>
        <v>3</v>
      </c>
      <c r="L71" s="6">
        <f>SUMIF(Dic!$G$3:$G$111,A71,Dic!$J$3:$J$111)</f>
        <v>3</v>
      </c>
      <c r="M71" s="285">
        <f t="shared" si="6"/>
        <v>0</v>
      </c>
      <c r="N71" s="248">
        <f t="shared" si="8"/>
        <v>230</v>
      </c>
      <c r="O71" s="285">
        <f t="shared" si="9"/>
        <v>3</v>
      </c>
      <c r="P71" s="285">
        <f t="shared" si="10"/>
        <v>0</v>
      </c>
    </row>
    <row r="72" spans="1:16" s="285" customFormat="1" x14ac:dyDescent="0.3">
      <c r="A72" s="40">
        <v>1110475417</v>
      </c>
      <c r="B72" s="6" t="s">
        <v>299</v>
      </c>
      <c r="C72" s="272" t="s">
        <v>273</v>
      </c>
      <c r="D72" s="272">
        <v>43421.082453703704</v>
      </c>
      <c r="E72" s="272">
        <v>43463</v>
      </c>
      <c r="F72" s="272">
        <v>43466</v>
      </c>
      <c r="G72" s="272" t="s">
        <v>954</v>
      </c>
      <c r="H72" s="311">
        <v>690</v>
      </c>
      <c r="I72" s="6"/>
      <c r="J72" s="6">
        <v>2</v>
      </c>
      <c r="K72" s="127">
        <f t="shared" si="7"/>
        <v>3</v>
      </c>
      <c r="L72" s="6">
        <f>SUMIF(Dic!$G$3:$G$111,A72,Dic!$J$3:$J$111)</f>
        <v>3</v>
      </c>
      <c r="M72" s="285">
        <f t="shared" si="6"/>
        <v>0</v>
      </c>
      <c r="N72" s="248">
        <f t="shared" si="8"/>
        <v>230</v>
      </c>
      <c r="O72" s="285">
        <f t="shared" si="9"/>
        <v>3</v>
      </c>
      <c r="P72" s="285">
        <f t="shared" si="10"/>
        <v>0</v>
      </c>
    </row>
    <row r="73" spans="1:16" s="285" customFormat="1" x14ac:dyDescent="0.3">
      <c r="A73" s="40">
        <v>1137449760</v>
      </c>
      <c r="B73" s="6" t="s">
        <v>299</v>
      </c>
      <c r="C73" s="272" t="s">
        <v>274</v>
      </c>
      <c r="D73" s="272">
        <v>43398.895138888889</v>
      </c>
      <c r="E73" s="272">
        <v>43464</v>
      </c>
      <c r="F73" s="272">
        <v>43465</v>
      </c>
      <c r="G73" s="272" t="s">
        <v>955</v>
      </c>
      <c r="H73" s="311">
        <v>230</v>
      </c>
      <c r="I73" s="6"/>
      <c r="J73" s="6">
        <v>2</v>
      </c>
      <c r="K73" s="127">
        <f t="shared" si="7"/>
        <v>1</v>
      </c>
      <c r="L73" s="6">
        <f>SUMIF(Dic!$G$3:$G$111,A73,Dic!$J$3:$J$111)</f>
        <v>1</v>
      </c>
      <c r="M73" s="285">
        <f t="shared" si="6"/>
        <v>0</v>
      </c>
      <c r="N73" s="248">
        <f t="shared" si="8"/>
        <v>230</v>
      </c>
      <c r="O73" s="285">
        <f t="shared" si="9"/>
        <v>1</v>
      </c>
      <c r="P73" s="285">
        <f t="shared" si="10"/>
        <v>0</v>
      </c>
    </row>
    <row r="74" spans="1:16" s="285" customFormat="1" x14ac:dyDescent="0.3">
      <c r="A74" s="40">
        <v>1812094011285</v>
      </c>
      <c r="B74" s="6" t="s">
        <v>299</v>
      </c>
      <c r="C74" s="272" t="s">
        <v>275</v>
      </c>
      <c r="D74" s="272">
        <v>43443.82440972222</v>
      </c>
      <c r="E74" s="272">
        <v>43464</v>
      </c>
      <c r="F74" s="272">
        <v>43465</v>
      </c>
      <c r="G74" s="272" t="s">
        <v>951</v>
      </c>
      <c r="H74" s="311">
        <v>218.5</v>
      </c>
      <c r="I74" s="6"/>
      <c r="J74" s="6">
        <v>2</v>
      </c>
      <c r="K74" s="127">
        <f t="shared" si="7"/>
        <v>1</v>
      </c>
      <c r="L74" s="6">
        <f>SUMIF(Dic!$G$3:$G$111,A74,Dic!$J$3:$J$111)</f>
        <v>1</v>
      </c>
      <c r="M74" s="285">
        <f t="shared" si="6"/>
        <v>0</v>
      </c>
      <c r="N74" s="248">
        <f t="shared" si="8"/>
        <v>218.5</v>
      </c>
      <c r="O74" s="285">
        <f t="shared" si="9"/>
        <v>1</v>
      </c>
      <c r="P74" s="285">
        <f t="shared" si="10"/>
        <v>0</v>
      </c>
    </row>
    <row r="75" spans="1:16" s="285" customFormat="1" x14ac:dyDescent="0.3">
      <c r="A75" s="40">
        <v>1166677429</v>
      </c>
      <c r="B75" s="6" t="s">
        <v>299</v>
      </c>
      <c r="C75" s="272" t="s">
        <v>274</v>
      </c>
      <c r="D75" s="272">
        <v>43455.129166666666</v>
      </c>
      <c r="E75" s="272">
        <v>43464</v>
      </c>
      <c r="F75" s="272">
        <v>43465</v>
      </c>
      <c r="G75" s="272" t="s">
        <v>956</v>
      </c>
      <c r="H75" s="311">
        <v>230</v>
      </c>
      <c r="I75" s="6"/>
      <c r="J75" s="6">
        <v>2</v>
      </c>
      <c r="K75" s="127">
        <f t="shared" si="7"/>
        <v>1</v>
      </c>
      <c r="L75" s="6">
        <f>SUMIF(Dic!$G$3:$G$111,A75,Dic!$J$3:$J$111)</f>
        <v>1</v>
      </c>
      <c r="M75" s="285">
        <f t="shared" si="6"/>
        <v>0</v>
      </c>
      <c r="N75" s="248">
        <f t="shared" si="8"/>
        <v>230</v>
      </c>
      <c r="O75" s="285">
        <f t="shared" si="9"/>
        <v>1</v>
      </c>
      <c r="P75" s="285">
        <f t="shared" si="10"/>
        <v>0</v>
      </c>
    </row>
    <row r="76" spans="1:16" s="285" customFormat="1" x14ac:dyDescent="0.3">
      <c r="A76" s="40">
        <v>1842826080</v>
      </c>
      <c r="B76" s="6" t="s">
        <v>300</v>
      </c>
      <c r="C76" s="272" t="s">
        <v>273</v>
      </c>
      <c r="D76" s="272">
        <v>43211.643437500003</v>
      </c>
      <c r="E76" s="272">
        <v>43465</v>
      </c>
      <c r="F76" s="272">
        <v>43469</v>
      </c>
      <c r="G76" s="272" t="s">
        <v>957</v>
      </c>
      <c r="H76" s="311">
        <v>828</v>
      </c>
      <c r="I76" s="6"/>
      <c r="J76" s="6">
        <v>2</v>
      </c>
      <c r="K76" s="127">
        <f t="shared" si="7"/>
        <v>4</v>
      </c>
      <c r="L76" s="6">
        <f>SUMIF(Dic!$G$3:$G$111,A76,Dic!$J$3:$J$111)</f>
        <v>4</v>
      </c>
      <c r="M76" s="285">
        <f t="shared" si="6"/>
        <v>0</v>
      </c>
      <c r="N76" s="248">
        <f t="shared" si="8"/>
        <v>207</v>
      </c>
      <c r="O76" s="285">
        <f t="shared" si="9"/>
        <v>4</v>
      </c>
      <c r="P76" s="285">
        <f t="shared" si="10"/>
        <v>0</v>
      </c>
    </row>
    <row r="77" spans="1:16" s="285" customFormat="1" x14ac:dyDescent="0.3">
      <c r="A77" s="40">
        <v>1067768257</v>
      </c>
      <c r="B77" s="6" t="s">
        <v>299</v>
      </c>
      <c r="C77" s="272" t="s">
        <v>274</v>
      </c>
      <c r="D77" s="272">
        <v>43282.948611111111</v>
      </c>
      <c r="E77" s="272">
        <v>43465</v>
      </c>
      <c r="F77" s="272">
        <v>43466</v>
      </c>
      <c r="G77" s="272" t="s">
        <v>958</v>
      </c>
      <c r="H77" s="311">
        <v>230</v>
      </c>
      <c r="I77" s="6"/>
      <c r="J77" s="6">
        <v>2</v>
      </c>
      <c r="K77" s="127">
        <f t="shared" si="7"/>
        <v>1</v>
      </c>
      <c r="L77" s="6">
        <f>SUMIF(Dic!$G$3:$G$111,A77,Dic!$J$3:$J$111)</f>
        <v>1</v>
      </c>
      <c r="M77" s="285">
        <f t="shared" si="6"/>
        <v>0</v>
      </c>
      <c r="N77" s="248">
        <f t="shared" si="8"/>
        <v>230</v>
      </c>
      <c r="O77" s="285">
        <f t="shared" si="9"/>
        <v>1</v>
      </c>
      <c r="P77" s="285">
        <f t="shared" si="10"/>
        <v>0</v>
      </c>
    </row>
    <row r="78" spans="1:16" s="285" customFormat="1" x14ac:dyDescent="0.3">
      <c r="A78" s="40">
        <v>1033390795</v>
      </c>
      <c r="B78" s="6" t="s">
        <v>299</v>
      </c>
      <c r="C78" s="272" t="s">
        <v>273</v>
      </c>
      <c r="D78" s="272">
        <v>43310.649594907409</v>
      </c>
      <c r="E78" s="272">
        <v>43465</v>
      </c>
      <c r="F78" s="272">
        <v>43471</v>
      </c>
      <c r="G78" s="272" t="s">
        <v>959</v>
      </c>
      <c r="H78" s="311">
        <v>1330</v>
      </c>
      <c r="I78" s="6"/>
      <c r="J78" s="6">
        <v>2</v>
      </c>
      <c r="K78" s="127">
        <f t="shared" si="7"/>
        <v>6</v>
      </c>
      <c r="L78" s="6">
        <f>SUMIF(Dic!$G$3:$G$111,A78,Dic!$J$3:$J$111)</f>
        <v>6</v>
      </c>
      <c r="M78" s="285">
        <f t="shared" si="6"/>
        <v>0</v>
      </c>
      <c r="N78" s="248">
        <f t="shared" si="8"/>
        <v>221.66666666666666</v>
      </c>
      <c r="O78" s="285">
        <f t="shared" si="9"/>
        <v>6</v>
      </c>
      <c r="P78" s="285">
        <f t="shared" si="10"/>
        <v>0</v>
      </c>
    </row>
    <row r="79" spans="1:16" s="285" customFormat="1" x14ac:dyDescent="0.3">
      <c r="A79" s="40">
        <v>1927750444</v>
      </c>
      <c r="B79" s="6" t="s">
        <v>299</v>
      </c>
      <c r="C79" s="272" t="s">
        <v>273</v>
      </c>
      <c r="D79" s="272">
        <v>43372.984351851854</v>
      </c>
      <c r="E79" s="272">
        <v>43465</v>
      </c>
      <c r="F79" s="272">
        <v>43467</v>
      </c>
      <c r="G79" s="272" t="s">
        <v>960</v>
      </c>
      <c r="H79" s="311">
        <v>460</v>
      </c>
      <c r="I79" s="6"/>
      <c r="J79" s="6">
        <v>2</v>
      </c>
      <c r="K79" s="127">
        <f t="shared" si="7"/>
        <v>2</v>
      </c>
      <c r="L79" s="6">
        <f>SUMIF(Dic!$G$3:$G$111,A79,Dic!$J$3:$J$111)</f>
        <v>2</v>
      </c>
      <c r="M79" s="285">
        <f t="shared" si="6"/>
        <v>0</v>
      </c>
      <c r="N79" s="248">
        <f t="shared" si="8"/>
        <v>230</v>
      </c>
      <c r="O79" s="285">
        <f t="shared" si="9"/>
        <v>2</v>
      </c>
      <c r="P79" s="285">
        <f t="shared" si="10"/>
        <v>0</v>
      </c>
    </row>
    <row r="80" spans="1:16" s="285" customFormat="1" x14ac:dyDescent="0.3">
      <c r="A80" s="40">
        <v>1023159049</v>
      </c>
      <c r="B80" s="6" t="s">
        <v>300</v>
      </c>
      <c r="C80" s="272" t="s">
        <v>273</v>
      </c>
      <c r="D80" s="272">
        <v>43439.836342592593</v>
      </c>
      <c r="E80" s="272">
        <v>43465</v>
      </c>
      <c r="F80" s="272">
        <v>43468</v>
      </c>
      <c r="G80" s="272" t="s">
        <v>961</v>
      </c>
      <c r="H80" s="311">
        <v>665</v>
      </c>
      <c r="I80" s="6"/>
      <c r="J80" s="6">
        <v>2</v>
      </c>
      <c r="K80" s="127">
        <f t="shared" si="7"/>
        <v>3</v>
      </c>
      <c r="L80" s="6">
        <f>SUMIF(Dic!$G$3:$G$111,A80,Dic!$J$3:$J$111)</f>
        <v>3</v>
      </c>
      <c r="M80" s="285">
        <f t="shared" si="6"/>
        <v>0</v>
      </c>
      <c r="N80" s="248">
        <f t="shared" si="8"/>
        <v>221.66666666666666</v>
      </c>
      <c r="O80" s="285">
        <f t="shared" si="9"/>
        <v>3</v>
      </c>
      <c r="P80" s="285">
        <f t="shared" si="10"/>
        <v>0</v>
      </c>
    </row>
    <row r="81" spans="1:16" s="285" customFormat="1" x14ac:dyDescent="0.3">
      <c r="A81" s="40"/>
      <c r="B81" s="6"/>
      <c r="C81" s="272"/>
      <c r="D81" s="272"/>
      <c r="E81" s="272"/>
      <c r="F81" s="272"/>
      <c r="G81" s="272"/>
      <c r="H81" s="311"/>
      <c r="I81" s="6"/>
      <c r="J81" s="6"/>
      <c r="K81" s="127">
        <f t="shared" si="7"/>
        <v>0</v>
      </c>
      <c r="L81" s="6">
        <f>SUMIF(Dic!$G$3:$G$111,A81,Dic!$J$3:$J$111)</f>
        <v>0</v>
      </c>
      <c r="M81" s="285">
        <f t="shared" si="6"/>
        <v>0</v>
      </c>
      <c r="N81" s="248" t="e">
        <f t="shared" si="8"/>
        <v>#DIV/0!</v>
      </c>
      <c r="O81" s="285" t="e">
        <f t="shared" si="9"/>
        <v>#DIV/0!</v>
      </c>
      <c r="P81" s="285" t="e">
        <f t="shared" si="10"/>
        <v>#DIV/0!</v>
      </c>
    </row>
    <row r="82" spans="1:16" s="285" customFormat="1" x14ac:dyDescent="0.3">
      <c r="A82" s="40"/>
      <c r="B82" s="6"/>
      <c r="C82" s="272"/>
      <c r="D82" s="272"/>
      <c r="E82" s="272"/>
      <c r="F82" s="272"/>
      <c r="G82" s="272"/>
      <c r="H82" s="311"/>
      <c r="I82" s="6"/>
      <c r="J82" s="6"/>
      <c r="K82" s="127">
        <f t="shared" si="7"/>
        <v>0</v>
      </c>
      <c r="L82" s="6">
        <f>SUMIF(Dic!$G$3:$G$111,A82,Dic!$J$3:$J$111)</f>
        <v>0</v>
      </c>
      <c r="M82" s="285">
        <f t="shared" si="6"/>
        <v>0</v>
      </c>
      <c r="N82" s="248" t="e">
        <f t="shared" si="8"/>
        <v>#DIV/0!</v>
      </c>
      <c r="O82" s="285" t="e">
        <f t="shared" si="9"/>
        <v>#DIV/0!</v>
      </c>
      <c r="P82" s="285" t="e">
        <f t="shared" si="10"/>
        <v>#DIV/0!</v>
      </c>
    </row>
    <row r="83" spans="1:16" s="285" customFormat="1" x14ac:dyDescent="0.3">
      <c r="A83" s="40"/>
      <c r="B83" s="6"/>
      <c r="C83" s="272"/>
      <c r="D83" s="272"/>
      <c r="E83" s="272"/>
      <c r="F83" s="272"/>
      <c r="G83" s="272"/>
      <c r="H83" s="311"/>
      <c r="I83" s="6"/>
      <c r="J83" s="6"/>
      <c r="K83" s="127">
        <f t="shared" si="7"/>
        <v>0</v>
      </c>
      <c r="L83" s="6">
        <f>SUMIF(Dic!$G$3:$G$111,A83,Dic!$J$3:$J$111)</f>
        <v>0</v>
      </c>
      <c r="M83" s="285">
        <f t="shared" si="6"/>
        <v>0</v>
      </c>
      <c r="N83" s="248" t="e">
        <f t="shared" si="8"/>
        <v>#DIV/0!</v>
      </c>
      <c r="O83" s="285" t="e">
        <f t="shared" si="9"/>
        <v>#DIV/0!</v>
      </c>
      <c r="P83" s="285" t="e">
        <f t="shared" si="10"/>
        <v>#DIV/0!</v>
      </c>
    </row>
    <row r="84" spans="1:16" s="285" customFormat="1" x14ac:dyDescent="0.3">
      <c r="A84" s="40"/>
      <c r="B84" s="6"/>
      <c r="C84" s="272"/>
      <c r="D84" s="272"/>
      <c r="E84" s="272"/>
      <c r="F84" s="272"/>
      <c r="G84" s="272"/>
      <c r="H84" s="311"/>
      <c r="I84" s="6"/>
      <c r="J84" s="6"/>
      <c r="K84" s="127">
        <f t="shared" si="7"/>
        <v>0</v>
      </c>
      <c r="L84" s="6">
        <f>SUMIF(Dic!$G$3:$G$111,A84,Dic!$J$3:$J$111)</f>
        <v>0</v>
      </c>
      <c r="M84" s="285">
        <f t="shared" si="6"/>
        <v>0</v>
      </c>
      <c r="N84" s="248" t="e">
        <f t="shared" si="8"/>
        <v>#DIV/0!</v>
      </c>
      <c r="O84" s="285" t="e">
        <f t="shared" si="9"/>
        <v>#DIV/0!</v>
      </c>
      <c r="P84" s="285" t="e">
        <f t="shared" si="10"/>
        <v>#DIV/0!</v>
      </c>
    </row>
    <row r="85" spans="1:16" x14ac:dyDescent="0.3">
      <c r="A85" s="40"/>
      <c r="B85" s="6"/>
      <c r="C85" s="272"/>
      <c r="D85" s="272"/>
      <c r="E85" s="271"/>
      <c r="F85" s="271"/>
      <c r="G85" s="272"/>
      <c r="H85" s="311"/>
      <c r="I85" s="6"/>
      <c r="J85" s="6"/>
      <c r="K85" s="127">
        <f t="shared" si="7"/>
        <v>0</v>
      </c>
      <c r="L85" s="6">
        <f>SUMIF(Dic!$G$3:$G$111,A85,Dic!$J$3:$J$111)</f>
        <v>0</v>
      </c>
      <c r="M85" s="285">
        <f t="shared" si="6"/>
        <v>0</v>
      </c>
      <c r="N85" s="248" t="e">
        <f t="shared" si="8"/>
        <v>#DIV/0!</v>
      </c>
      <c r="O85" s="285" t="e">
        <f t="shared" si="9"/>
        <v>#DIV/0!</v>
      </c>
      <c r="P85" s="285" t="e">
        <f t="shared" si="10"/>
        <v>#DIV/0!</v>
      </c>
    </row>
    <row r="86" spans="1:16" x14ac:dyDescent="0.3">
      <c r="A86" s="40"/>
      <c r="B86" s="6"/>
      <c r="C86" s="272"/>
      <c r="D86" s="272"/>
      <c r="E86" s="6"/>
      <c r="F86" s="6"/>
      <c r="G86" s="272"/>
      <c r="H86" s="311"/>
      <c r="I86" s="6"/>
      <c r="J86" s="6"/>
      <c r="K86" s="127">
        <f t="shared" si="7"/>
        <v>0</v>
      </c>
      <c r="L86" s="6">
        <f>SUMIF(Dic!$G$3:$G$111,A86,Dic!$J$3:$J$111)</f>
        <v>0</v>
      </c>
      <c r="M86" s="285">
        <f t="shared" si="6"/>
        <v>0</v>
      </c>
      <c r="N86" s="248" t="e">
        <f t="shared" si="8"/>
        <v>#DIV/0!</v>
      </c>
      <c r="O86" s="285" t="e">
        <f t="shared" si="9"/>
        <v>#DIV/0!</v>
      </c>
      <c r="P86" s="285" t="e">
        <f t="shared" si="10"/>
        <v>#DIV/0!</v>
      </c>
    </row>
    <row r="87" spans="1:16" x14ac:dyDescent="0.3">
      <c r="A87" s="40"/>
      <c r="B87" s="6"/>
      <c r="C87" s="272"/>
      <c r="D87" s="272"/>
      <c r="E87" s="271"/>
      <c r="F87" s="271"/>
      <c r="G87" s="272"/>
      <c r="H87" s="311"/>
      <c r="I87" s="6"/>
      <c r="J87" s="6"/>
      <c r="K87" s="127">
        <f t="shared" si="7"/>
        <v>0</v>
      </c>
      <c r="L87" s="6">
        <f>SUMIF(Dic!$G$3:$G$111,A87,Dic!$J$3:$J$111)</f>
        <v>0</v>
      </c>
      <c r="M87" s="285">
        <f t="shared" si="6"/>
        <v>0</v>
      </c>
      <c r="N87" s="248" t="e">
        <f t="shared" si="8"/>
        <v>#DIV/0!</v>
      </c>
      <c r="O87" s="285" t="e">
        <f t="shared" si="9"/>
        <v>#DIV/0!</v>
      </c>
      <c r="P87" s="285" t="e">
        <f t="shared" si="10"/>
        <v>#DIV/0!</v>
      </c>
    </row>
    <row r="88" spans="1:16" x14ac:dyDescent="0.3">
      <c r="A88" s="40"/>
      <c r="B88" s="6"/>
      <c r="C88" s="272"/>
      <c r="D88" s="272"/>
      <c r="E88" s="272"/>
      <c r="F88" s="272"/>
      <c r="G88" s="272"/>
      <c r="H88" s="311"/>
      <c r="I88" s="6"/>
      <c r="J88" s="6"/>
      <c r="K88" s="127">
        <f t="shared" si="7"/>
        <v>0</v>
      </c>
      <c r="L88" s="6">
        <f>SUMIF(Dic!$G$3:$G$111,A88,Dic!$J$3:$J$111)</f>
        <v>0</v>
      </c>
      <c r="M88" s="285">
        <f t="shared" si="6"/>
        <v>0</v>
      </c>
      <c r="N88" s="248" t="e">
        <f t="shared" si="8"/>
        <v>#DIV/0!</v>
      </c>
      <c r="O88" s="285" t="e">
        <f t="shared" si="9"/>
        <v>#DIV/0!</v>
      </c>
      <c r="P88" s="285" t="e">
        <f t="shared" si="10"/>
        <v>#DIV/0!</v>
      </c>
    </row>
    <row r="89" spans="1:16" x14ac:dyDescent="0.3">
      <c r="A89" s="40"/>
      <c r="B89" s="6"/>
      <c r="C89" s="272"/>
      <c r="D89" s="272"/>
      <c r="E89" s="272"/>
      <c r="F89" s="272"/>
      <c r="G89" s="272"/>
      <c r="H89" s="311"/>
      <c r="I89" s="6"/>
      <c r="J89" s="6"/>
      <c r="K89" s="127">
        <f t="shared" ref="K89:K99" si="11">F89-E89</f>
        <v>0</v>
      </c>
      <c r="L89" s="6">
        <f>SUMIF(Dic!$G$3:$G$111,A89,Dic!$J$3:$J$111)</f>
        <v>0</v>
      </c>
      <c r="M89" s="285">
        <f t="shared" si="6"/>
        <v>0</v>
      </c>
      <c r="N89" s="248" t="e">
        <f t="shared" si="8"/>
        <v>#DIV/0!</v>
      </c>
      <c r="O89" s="285" t="e">
        <f t="shared" si="9"/>
        <v>#DIV/0!</v>
      </c>
      <c r="P89" s="285" t="e">
        <f t="shared" si="10"/>
        <v>#DIV/0!</v>
      </c>
    </row>
    <row r="90" spans="1:16" x14ac:dyDescent="0.3">
      <c r="A90" s="40"/>
      <c r="B90" s="6"/>
      <c r="C90" s="272"/>
      <c r="D90" s="272"/>
      <c r="E90" s="6"/>
      <c r="F90" s="6"/>
      <c r="G90" s="272"/>
      <c r="H90" s="272"/>
      <c r="I90" s="6"/>
      <c r="J90" s="6"/>
      <c r="K90" s="127">
        <f t="shared" si="11"/>
        <v>0</v>
      </c>
      <c r="L90" s="6">
        <f>SUMIF(Dic!$G$3:$G$111,A90,Dic!$J$3:$J$111)</f>
        <v>0</v>
      </c>
      <c r="M90" s="285">
        <f t="shared" si="6"/>
        <v>0</v>
      </c>
      <c r="N90" s="248" t="e">
        <f t="shared" si="8"/>
        <v>#DIV/0!</v>
      </c>
      <c r="O90" s="285" t="e">
        <f t="shared" si="9"/>
        <v>#DIV/0!</v>
      </c>
      <c r="P90" s="285" t="e">
        <f t="shared" si="10"/>
        <v>#DIV/0!</v>
      </c>
    </row>
    <row r="91" spans="1:16" x14ac:dyDescent="0.3">
      <c r="A91" s="40"/>
      <c r="B91" s="6"/>
      <c r="C91" s="272"/>
      <c r="D91" s="272"/>
      <c r="E91" s="6"/>
      <c r="F91" s="6"/>
      <c r="G91" s="272"/>
      <c r="H91" s="272"/>
      <c r="I91" s="6"/>
      <c r="J91" s="6"/>
      <c r="K91" s="127">
        <f t="shared" si="11"/>
        <v>0</v>
      </c>
      <c r="L91" s="6">
        <f>SUMIF(Dic!$G$3:$G$111,A91,Dic!$J$3:$J$111)</f>
        <v>0</v>
      </c>
      <c r="M91" s="285">
        <f t="shared" ref="M91:M92" si="12">+K91-L91</f>
        <v>0</v>
      </c>
      <c r="N91" s="248" t="e">
        <f t="shared" si="8"/>
        <v>#DIV/0!</v>
      </c>
      <c r="O91" s="285" t="e">
        <f t="shared" si="9"/>
        <v>#DIV/0!</v>
      </c>
      <c r="P91" s="285" t="e">
        <f t="shared" si="10"/>
        <v>#DIV/0!</v>
      </c>
    </row>
    <row r="92" spans="1:16" x14ac:dyDescent="0.3">
      <c r="A92" s="40"/>
      <c r="B92" s="6"/>
      <c r="C92" s="272"/>
      <c r="D92" s="272"/>
      <c r="E92" s="6"/>
      <c r="F92" s="6"/>
      <c r="G92" s="272"/>
      <c r="H92" s="272"/>
      <c r="I92" s="6"/>
      <c r="J92" s="6"/>
      <c r="K92" s="127">
        <f t="shared" si="11"/>
        <v>0</v>
      </c>
      <c r="L92" s="6">
        <f>SUMIF(Dic!$G$3:$G$111,A92,Dic!$J$3:$J$111)</f>
        <v>0</v>
      </c>
      <c r="M92" s="285">
        <f t="shared" si="12"/>
        <v>0</v>
      </c>
      <c r="N92" s="248" t="e">
        <f t="shared" si="8"/>
        <v>#DIV/0!</v>
      </c>
      <c r="O92" s="285" t="e">
        <f t="shared" si="9"/>
        <v>#DIV/0!</v>
      </c>
      <c r="P92" s="285" t="e">
        <f t="shared" si="10"/>
        <v>#DIV/0!</v>
      </c>
    </row>
    <row r="93" spans="1:16" x14ac:dyDescent="0.3">
      <c r="A93" s="286"/>
      <c r="B93" s="287"/>
      <c r="C93" s="288"/>
      <c r="D93" s="288"/>
      <c r="E93" s="287"/>
      <c r="F93" s="287"/>
      <c r="G93" s="288"/>
      <c r="H93" s="288"/>
      <c r="I93" s="287"/>
      <c r="J93" s="6"/>
      <c r="K93" s="127">
        <f t="shared" si="11"/>
        <v>0</v>
      </c>
      <c r="L93" s="6">
        <f>SUMIF(Dic!$G$3:$G$111,A93,Dic!$J$3:$J$111)</f>
        <v>0</v>
      </c>
      <c r="M93" s="285">
        <f t="shared" ref="M93:M99" si="13">+K93-L93</f>
        <v>0</v>
      </c>
      <c r="N93" s="248" t="e">
        <f t="shared" si="8"/>
        <v>#DIV/0!</v>
      </c>
      <c r="O93" s="285" t="e">
        <f t="shared" si="9"/>
        <v>#DIV/0!</v>
      </c>
      <c r="P93" s="285" t="e">
        <f t="shared" si="10"/>
        <v>#DIV/0!</v>
      </c>
    </row>
    <row r="94" spans="1:16" x14ac:dyDescent="0.3">
      <c r="A94" s="40"/>
      <c r="B94" s="6"/>
      <c r="C94" s="272"/>
      <c r="D94" s="272"/>
      <c r="E94" s="6"/>
      <c r="F94" s="6"/>
      <c r="G94" s="272"/>
      <c r="H94" s="272"/>
      <c r="I94" s="6"/>
      <c r="J94" s="6"/>
      <c r="K94" s="127">
        <f t="shared" si="11"/>
        <v>0</v>
      </c>
      <c r="L94" s="6">
        <f>SUMIF(Dic!$G$3:$G$111,A94,Dic!$J$3:$J$111)</f>
        <v>0</v>
      </c>
      <c r="M94" s="285">
        <f t="shared" si="13"/>
        <v>0</v>
      </c>
      <c r="N94" s="248" t="e">
        <f t="shared" si="8"/>
        <v>#DIV/0!</v>
      </c>
      <c r="O94" s="285" t="e">
        <f t="shared" si="9"/>
        <v>#DIV/0!</v>
      </c>
      <c r="P94" s="285" t="e">
        <f t="shared" si="10"/>
        <v>#DIV/0!</v>
      </c>
    </row>
    <row r="95" spans="1:16" x14ac:dyDescent="0.3">
      <c r="A95" s="6"/>
      <c r="B95" s="6"/>
      <c r="C95" s="272"/>
      <c r="D95" s="272"/>
      <c r="E95" s="6"/>
      <c r="F95" s="6"/>
      <c r="G95" s="272"/>
      <c r="H95" s="272"/>
      <c r="I95" s="6"/>
      <c r="J95" s="6"/>
      <c r="K95" s="127">
        <f t="shared" si="11"/>
        <v>0</v>
      </c>
      <c r="L95" s="6">
        <f>SUMIF(Dic!$G$3:$G$111,A95,Dic!$J$3:$J$111)</f>
        <v>0</v>
      </c>
      <c r="M95" s="285">
        <f t="shared" si="13"/>
        <v>0</v>
      </c>
      <c r="N95" s="248" t="e">
        <f t="shared" si="8"/>
        <v>#DIV/0!</v>
      </c>
      <c r="O95" s="285" t="e">
        <f t="shared" si="9"/>
        <v>#DIV/0!</v>
      </c>
      <c r="P95" s="285" t="e">
        <f t="shared" si="10"/>
        <v>#DIV/0!</v>
      </c>
    </row>
    <row r="96" spans="1:16" x14ac:dyDescent="0.3">
      <c r="A96" s="6"/>
      <c r="B96" s="6"/>
      <c r="C96" s="272"/>
      <c r="D96" s="272"/>
      <c r="E96" s="6"/>
      <c r="F96" s="6"/>
      <c r="G96" s="272"/>
      <c r="H96" s="272"/>
      <c r="I96" s="6"/>
      <c r="J96" s="6"/>
      <c r="K96" s="127">
        <f t="shared" si="11"/>
        <v>0</v>
      </c>
      <c r="L96" s="6">
        <f>SUMIF(Dic!$G$3:$G$111,A96,Dic!$J$3:$J$111)</f>
        <v>0</v>
      </c>
      <c r="M96" s="285">
        <f t="shared" si="13"/>
        <v>0</v>
      </c>
      <c r="N96" s="248" t="e">
        <f t="shared" si="8"/>
        <v>#DIV/0!</v>
      </c>
      <c r="O96" s="285" t="e">
        <f t="shared" si="9"/>
        <v>#DIV/0!</v>
      </c>
      <c r="P96" s="285" t="e">
        <f t="shared" si="10"/>
        <v>#DIV/0!</v>
      </c>
    </row>
    <row r="97" spans="1:16" x14ac:dyDescent="0.3">
      <c r="A97" s="6"/>
      <c r="B97" s="6"/>
      <c r="C97" s="272"/>
      <c r="D97" s="272"/>
      <c r="E97" s="6"/>
      <c r="F97" s="6"/>
      <c r="G97" s="272"/>
      <c r="H97" s="272"/>
      <c r="I97" s="6"/>
      <c r="J97" s="6"/>
      <c r="K97" s="127">
        <f t="shared" si="11"/>
        <v>0</v>
      </c>
      <c r="L97" s="6">
        <f>SUMIF(Dic!$G$3:$G$111,A97,Dic!$J$3:$J$111)</f>
        <v>0</v>
      </c>
      <c r="M97" s="285">
        <f t="shared" si="13"/>
        <v>0</v>
      </c>
      <c r="N97" s="248" t="e">
        <f t="shared" si="8"/>
        <v>#DIV/0!</v>
      </c>
      <c r="O97" s="285" t="e">
        <f t="shared" si="9"/>
        <v>#DIV/0!</v>
      </c>
      <c r="P97" s="285" t="e">
        <f t="shared" si="10"/>
        <v>#DIV/0!</v>
      </c>
    </row>
    <row r="98" spans="1:16" x14ac:dyDescent="0.3">
      <c r="A98" s="6"/>
      <c r="B98" s="6"/>
      <c r="C98" s="272"/>
      <c r="D98" s="272"/>
      <c r="E98" s="6"/>
      <c r="F98" s="6"/>
      <c r="G98" s="272"/>
      <c r="H98" s="272"/>
      <c r="I98" s="6"/>
      <c r="J98" s="6"/>
      <c r="K98" s="127">
        <f t="shared" si="11"/>
        <v>0</v>
      </c>
      <c r="L98" s="6">
        <f>SUMIF(Dic!$G$3:$G$111,A98,Dic!$J$3:$J$111)</f>
        <v>0</v>
      </c>
      <c r="M98" s="285">
        <f t="shared" si="13"/>
        <v>0</v>
      </c>
      <c r="N98" s="248" t="e">
        <f t="shared" si="8"/>
        <v>#DIV/0!</v>
      </c>
      <c r="O98" s="285" t="e">
        <f t="shared" si="9"/>
        <v>#DIV/0!</v>
      </c>
      <c r="P98" s="285" t="e">
        <f t="shared" si="10"/>
        <v>#DIV/0!</v>
      </c>
    </row>
    <row r="99" spans="1:16" x14ac:dyDescent="0.3">
      <c r="A99" s="6"/>
      <c r="B99" s="6"/>
      <c r="C99" s="272"/>
      <c r="D99" s="272"/>
      <c r="E99" s="6"/>
      <c r="F99" s="6"/>
      <c r="G99" s="272"/>
      <c r="H99" s="272"/>
      <c r="I99" s="6"/>
      <c r="J99" s="6"/>
      <c r="K99" s="127">
        <f t="shared" si="11"/>
        <v>0</v>
      </c>
      <c r="L99" s="6">
        <f>SUMIF(Dic!$G$3:$G$111,A99,Dic!$J$3:$J$111)</f>
        <v>0</v>
      </c>
      <c r="M99" s="285">
        <f t="shared" si="13"/>
        <v>0</v>
      </c>
      <c r="N99" s="248" t="e">
        <f t="shared" si="8"/>
        <v>#DIV/0!</v>
      </c>
      <c r="O99" s="285" t="e">
        <f t="shared" si="9"/>
        <v>#DIV/0!</v>
      </c>
      <c r="P99" s="285" t="e">
        <f t="shared" si="10"/>
        <v>#DIV/0!</v>
      </c>
    </row>
    <row r="100" spans="1:16" x14ac:dyDescent="0.3">
      <c r="K100" s="127">
        <f>SUM(K5:K99)</f>
        <v>243</v>
      </c>
      <c r="O100" s="211" t="e">
        <f>SUM(O5:O99)</f>
        <v>#DIV/0!</v>
      </c>
      <c r="P100" s="211" t="e">
        <f t="shared" si="10"/>
        <v>#DIV/0!</v>
      </c>
    </row>
    <row r="106" spans="1:16" x14ac:dyDescent="0.3">
      <c r="A106" s="211">
        <v>1811293988792</v>
      </c>
      <c r="B106" s="211" t="s">
        <v>299</v>
      </c>
      <c r="C106" s="211" t="s">
        <v>275</v>
      </c>
      <c r="D106" s="211">
        <v>43433.725648148145</v>
      </c>
      <c r="E106" s="211">
        <v>43449</v>
      </c>
      <c r="F106" s="211">
        <v>43450</v>
      </c>
      <c r="G106" s="211" t="s">
        <v>878</v>
      </c>
      <c r="H106" s="211">
        <v>194.75</v>
      </c>
      <c r="J106" s="211">
        <v>2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34"/>
  <sheetViews>
    <sheetView topLeftCell="A66" zoomScale="85" zoomScaleNormal="85" workbookViewId="0">
      <selection activeCell="P17" sqref="P17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4" customWidth="1"/>
    <col min="10" max="10" width="15.33203125" style="164" customWidth="1"/>
    <col min="11" max="11" width="13.33203125" style="58" customWidth="1"/>
    <col min="12" max="12" width="21" style="164" customWidth="1"/>
    <col min="13" max="13" width="14.33203125" style="58" customWidth="1"/>
    <col min="14" max="14" width="14.6640625" style="58" customWidth="1"/>
    <col min="15" max="15" width="7.441406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0" t="s">
        <v>104</v>
      </c>
      <c r="B1" s="181" t="s">
        <v>105</v>
      </c>
      <c r="C1" s="150" t="s">
        <v>106</v>
      </c>
      <c r="D1" s="150" t="s">
        <v>107</v>
      </c>
      <c r="E1" s="150" t="s">
        <v>108</v>
      </c>
      <c r="F1" s="150" t="s">
        <v>109</v>
      </c>
      <c r="G1" s="150" t="s">
        <v>110</v>
      </c>
      <c r="H1" s="150" t="s">
        <v>111</v>
      </c>
      <c r="I1" s="152" t="s">
        <v>112</v>
      </c>
      <c r="J1" s="152" t="s">
        <v>113</v>
      </c>
      <c r="K1" s="150" t="s">
        <v>114</v>
      </c>
      <c r="L1" s="152" t="s">
        <v>91</v>
      </c>
      <c r="M1" s="182" t="s">
        <v>57</v>
      </c>
      <c r="N1" s="182" t="s">
        <v>91</v>
      </c>
      <c r="O1" s="182" t="s">
        <v>57</v>
      </c>
      <c r="P1" s="182" t="s">
        <v>91</v>
      </c>
    </row>
    <row r="2" spans="1:16" x14ac:dyDescent="0.3">
      <c r="A2" s="227">
        <v>620</v>
      </c>
      <c r="B2" s="228" t="s">
        <v>962</v>
      </c>
      <c r="C2" s="229" t="s">
        <v>258</v>
      </c>
      <c r="D2" s="229" t="s">
        <v>128</v>
      </c>
      <c r="E2" s="229" t="s">
        <v>129</v>
      </c>
      <c r="F2" s="229" t="s">
        <v>134</v>
      </c>
      <c r="G2" s="229" t="s">
        <v>963</v>
      </c>
      <c r="H2" s="229" t="s">
        <v>131</v>
      </c>
      <c r="I2" s="230"/>
      <c r="J2" s="230">
        <v>218.5</v>
      </c>
      <c r="K2" s="229" t="s">
        <v>964</v>
      </c>
      <c r="L2" s="169">
        <f>I2+J2*EERR!$D$2</f>
        <v>149014.815</v>
      </c>
      <c r="M2" s="109">
        <f>L2/EERR!$D$2</f>
        <v>218.5</v>
      </c>
      <c r="N2" s="109">
        <f>SUMIF(Dic!$B$3:$B$114,A2,Dic!$V$3:$V$114)</f>
        <v>0</v>
      </c>
    </row>
    <row r="3" spans="1:16" x14ac:dyDescent="0.3">
      <c r="A3" s="227">
        <v>620</v>
      </c>
      <c r="B3" s="228" t="s">
        <v>962</v>
      </c>
      <c r="C3" s="229" t="s">
        <v>258</v>
      </c>
      <c r="D3" s="229" t="s">
        <v>128</v>
      </c>
      <c r="E3" s="229" t="s">
        <v>965</v>
      </c>
      <c r="F3" s="229" t="s">
        <v>134</v>
      </c>
      <c r="G3" s="229" t="s">
        <v>963</v>
      </c>
      <c r="H3" s="229" t="s">
        <v>131</v>
      </c>
      <c r="I3" s="230"/>
      <c r="J3" s="230">
        <v>-218.5</v>
      </c>
      <c r="K3" s="229" t="s">
        <v>964</v>
      </c>
      <c r="L3" s="169">
        <f>I3+J3*EERR!$D$2</f>
        <v>-149014.815</v>
      </c>
      <c r="M3" s="109">
        <f>L3/EERR!$D$2</f>
        <v>-218.5</v>
      </c>
      <c r="N3" s="109">
        <f>SUMIF(Dic!$B$3:$B$114,A3,Dic!$V$3:$V$114)</f>
        <v>0</v>
      </c>
      <c r="O3" s="183">
        <f>+A3-A2</f>
        <v>0</v>
      </c>
    </row>
    <row r="4" spans="1:16" x14ac:dyDescent="0.3">
      <c r="A4" s="227">
        <v>621</v>
      </c>
      <c r="B4" s="228" t="s">
        <v>966</v>
      </c>
      <c r="C4" s="229" t="s">
        <v>258</v>
      </c>
      <c r="D4" s="229" t="s">
        <v>128</v>
      </c>
      <c r="E4" s="229" t="s">
        <v>129</v>
      </c>
      <c r="F4" s="229" t="s">
        <v>133</v>
      </c>
      <c r="G4" s="229" t="s">
        <v>415</v>
      </c>
      <c r="H4" s="229" t="s">
        <v>131</v>
      </c>
      <c r="I4" s="230"/>
      <c r="J4" s="230">
        <v>1141.9000000000001</v>
      </c>
      <c r="K4" s="229" t="s">
        <v>967</v>
      </c>
      <c r="L4" s="169">
        <f>I4+J4*EERR!$D$2</f>
        <v>778764.38100000005</v>
      </c>
      <c r="M4" s="109">
        <f>L4/EERR!$D$2</f>
        <v>1141.9000000000001</v>
      </c>
      <c r="N4" s="109">
        <f>SUMIF(Dic!$B$3:$B$114,A4,Dic!$V$3:$V$114)</f>
        <v>0</v>
      </c>
      <c r="O4" s="183">
        <f t="shared" ref="O4:O67" si="0">+A4-A3</f>
        <v>1</v>
      </c>
    </row>
    <row r="5" spans="1:16" x14ac:dyDescent="0.3">
      <c r="A5" s="227">
        <v>622</v>
      </c>
      <c r="B5" s="228" t="s">
        <v>968</v>
      </c>
      <c r="C5" s="229" t="s">
        <v>258</v>
      </c>
      <c r="D5" s="229" t="s">
        <v>128</v>
      </c>
      <c r="E5" s="229" t="s">
        <v>129</v>
      </c>
      <c r="F5" s="229" t="s">
        <v>133</v>
      </c>
      <c r="G5" s="229" t="s">
        <v>969</v>
      </c>
      <c r="H5" s="229" t="s">
        <v>131</v>
      </c>
      <c r="I5" s="230"/>
      <c r="J5" s="230">
        <v>390</v>
      </c>
      <c r="K5" s="229" t="s">
        <v>970</v>
      </c>
      <c r="L5" s="169">
        <f>I5+J5*EERR!$D$2</f>
        <v>265976.09999999998</v>
      </c>
      <c r="M5" s="109">
        <f>L5/EERR!$D$2</f>
        <v>389.99999999999994</v>
      </c>
      <c r="N5" s="109">
        <f>SUMIF(Dic!$B$3:$B$114,A5,Dic!$V$3:$V$114)</f>
        <v>0</v>
      </c>
      <c r="O5" s="183">
        <f t="shared" si="0"/>
        <v>1</v>
      </c>
    </row>
    <row r="6" spans="1:16" x14ac:dyDescent="0.3">
      <c r="A6" s="227">
        <v>623</v>
      </c>
      <c r="B6" s="228" t="s">
        <v>971</v>
      </c>
      <c r="C6" s="229" t="s">
        <v>258</v>
      </c>
      <c r="D6" s="229" t="s">
        <v>128</v>
      </c>
      <c r="E6" s="229" t="s">
        <v>129</v>
      </c>
      <c r="F6" s="229" t="s">
        <v>134</v>
      </c>
      <c r="G6" s="229" t="s">
        <v>972</v>
      </c>
      <c r="H6" s="229" t="s">
        <v>131</v>
      </c>
      <c r="I6" s="230"/>
      <c r="J6" s="230">
        <v>820</v>
      </c>
      <c r="K6" s="229" t="s">
        <v>973</v>
      </c>
      <c r="L6" s="169">
        <f>I6+J6*EERR!$D$2</f>
        <v>559231.80000000005</v>
      </c>
      <c r="M6" s="109">
        <f>L6/EERR!$D$2</f>
        <v>820.00000000000011</v>
      </c>
      <c r="N6" s="109">
        <f>SUMIF(Dic!$B$3:$B$114,A6,Dic!$V$3:$V$114)</f>
        <v>0</v>
      </c>
      <c r="O6" s="183">
        <f t="shared" si="0"/>
        <v>1</v>
      </c>
    </row>
    <row r="7" spans="1:16" x14ac:dyDescent="0.3">
      <c r="A7" s="227">
        <v>624</v>
      </c>
      <c r="B7" s="228" t="s">
        <v>974</v>
      </c>
      <c r="C7" s="229" t="s">
        <v>258</v>
      </c>
      <c r="D7" s="229" t="s">
        <v>128</v>
      </c>
      <c r="E7" s="229" t="s">
        <v>129</v>
      </c>
      <c r="F7" s="229" t="s">
        <v>134</v>
      </c>
      <c r="G7" s="229" t="s">
        <v>975</v>
      </c>
      <c r="H7" s="229" t="s">
        <v>131</v>
      </c>
      <c r="I7" s="230"/>
      <c r="J7" s="230">
        <v>1230</v>
      </c>
      <c r="K7" s="229" t="s">
        <v>976</v>
      </c>
      <c r="L7" s="169">
        <f>I7+J7*EERR!$D$2</f>
        <v>838847.7</v>
      </c>
      <c r="M7" s="109">
        <v>-185.25</v>
      </c>
      <c r="N7" s="109">
        <v>104621435.0226</v>
      </c>
      <c r="O7" s="183">
        <f t="shared" si="0"/>
        <v>1</v>
      </c>
    </row>
    <row r="8" spans="1:16" x14ac:dyDescent="0.3">
      <c r="A8" s="227">
        <v>625</v>
      </c>
      <c r="B8" s="228" t="s">
        <v>977</v>
      </c>
      <c r="C8" s="229" t="s">
        <v>258</v>
      </c>
      <c r="D8" s="229" t="s">
        <v>128</v>
      </c>
      <c r="E8" s="229" t="s">
        <v>129</v>
      </c>
      <c r="F8" s="229" t="s">
        <v>130</v>
      </c>
      <c r="G8" s="229" t="s">
        <v>978</v>
      </c>
      <c r="H8" s="229" t="s">
        <v>131</v>
      </c>
      <c r="I8" s="230"/>
      <c r="J8" s="230">
        <v>389.5</v>
      </c>
      <c r="K8" s="229" t="s">
        <v>643</v>
      </c>
      <c r="L8" s="169">
        <f>I8+J8*EERR!$D$2</f>
        <v>265635.10499999998</v>
      </c>
      <c r="M8" s="109">
        <f>L8/EERR!$D$2</f>
        <v>389.49999999999994</v>
      </c>
      <c r="N8" s="109">
        <f>SUMIF(Dic!$B$3:$B$114,A8,Dic!$V$3:$V$114)</f>
        <v>0</v>
      </c>
      <c r="O8" s="183">
        <f t="shared" si="0"/>
        <v>1</v>
      </c>
    </row>
    <row r="9" spans="1:16" x14ac:dyDescent="0.3">
      <c r="A9" s="227">
        <v>626</v>
      </c>
      <c r="B9" s="228" t="s">
        <v>979</v>
      </c>
      <c r="C9" s="229" t="s">
        <v>258</v>
      </c>
      <c r="D9" s="229" t="s">
        <v>128</v>
      </c>
      <c r="E9" s="229" t="s">
        <v>129</v>
      </c>
      <c r="F9" s="229" t="s">
        <v>133</v>
      </c>
      <c r="G9" s="229" t="s">
        <v>460</v>
      </c>
      <c r="H9" s="229" t="s">
        <v>131</v>
      </c>
      <c r="I9" s="230"/>
      <c r="J9" s="230">
        <v>403</v>
      </c>
      <c r="K9" s="229" t="s">
        <v>980</v>
      </c>
      <c r="L9" s="169">
        <f>I9+J9*EERR!$D$2</f>
        <v>274841.97000000003</v>
      </c>
      <c r="M9" s="109">
        <f>L9/EERR!$D$2</f>
        <v>403.00000000000006</v>
      </c>
      <c r="N9" s="109">
        <f>SUMIF(Dic!$B$3:$B$114,A9,Dic!$V$3:$V$114)</f>
        <v>0</v>
      </c>
      <c r="O9" s="183">
        <f t="shared" si="0"/>
        <v>1</v>
      </c>
    </row>
    <row r="10" spans="1:16" x14ac:dyDescent="0.3">
      <c r="A10" s="227">
        <v>627</v>
      </c>
      <c r="B10" s="228" t="s">
        <v>981</v>
      </c>
      <c r="C10" s="229" t="s">
        <v>258</v>
      </c>
      <c r="D10" s="229" t="s">
        <v>128</v>
      </c>
      <c r="E10" s="229" t="s">
        <v>129</v>
      </c>
      <c r="F10" s="229" t="s">
        <v>134</v>
      </c>
      <c r="G10" s="229" t="s">
        <v>982</v>
      </c>
      <c r="H10" s="229" t="s">
        <v>131</v>
      </c>
      <c r="I10" s="230"/>
      <c r="J10" s="230">
        <v>205</v>
      </c>
      <c r="K10" s="229" t="s">
        <v>983</v>
      </c>
      <c r="L10" s="169">
        <f>I10+J10*EERR!$D$2</f>
        <v>139807.95000000001</v>
      </c>
      <c r="M10" s="109">
        <f>L10/EERR!$D$2</f>
        <v>205.00000000000003</v>
      </c>
      <c r="N10" s="109">
        <f>SUMIF(Dic!$B$3:$B$114,A10,Dic!$V$3:$V$114)</f>
        <v>0</v>
      </c>
      <c r="O10" s="183">
        <f t="shared" si="0"/>
        <v>1</v>
      </c>
    </row>
    <row r="11" spans="1:16" x14ac:dyDescent="0.3">
      <c r="A11" s="227">
        <v>628</v>
      </c>
      <c r="B11" s="228" t="s">
        <v>984</v>
      </c>
      <c r="C11" s="229" t="s">
        <v>258</v>
      </c>
      <c r="D11" s="229" t="s">
        <v>128</v>
      </c>
      <c r="E11" s="229" t="s">
        <v>129</v>
      </c>
      <c r="F11" s="229" t="s">
        <v>134</v>
      </c>
      <c r="G11" s="229" t="s">
        <v>985</v>
      </c>
      <c r="H11" s="229" t="s">
        <v>131</v>
      </c>
      <c r="I11" s="230"/>
      <c r="J11" s="230">
        <v>198</v>
      </c>
      <c r="K11" s="229" t="s">
        <v>986</v>
      </c>
      <c r="L11" s="169">
        <f>I11+J11*EERR!$D$2</f>
        <v>135034.01999999999</v>
      </c>
      <c r="M11" s="109">
        <f>L11/EERR!$D$2</f>
        <v>197.99999999999997</v>
      </c>
      <c r="N11" s="109">
        <f>SUMIF(Dic!$B$3:$B$114,A11,Dic!$V$3:$V$114)</f>
        <v>135034.01999999999</v>
      </c>
      <c r="O11" s="183">
        <f t="shared" si="0"/>
        <v>1</v>
      </c>
    </row>
    <row r="12" spans="1:16" x14ac:dyDescent="0.3">
      <c r="A12" s="227">
        <v>629</v>
      </c>
      <c r="B12" s="228" t="s">
        <v>987</v>
      </c>
      <c r="C12" s="229" t="s">
        <v>258</v>
      </c>
      <c r="D12" s="229" t="s">
        <v>128</v>
      </c>
      <c r="E12" s="229" t="s">
        <v>129</v>
      </c>
      <c r="F12" s="229" t="s">
        <v>134</v>
      </c>
      <c r="G12" s="229" t="s">
        <v>985</v>
      </c>
      <c r="H12" s="229" t="s">
        <v>131</v>
      </c>
      <c r="I12" s="230"/>
      <c r="J12" s="230">
        <v>198</v>
      </c>
      <c r="K12" s="229" t="s">
        <v>988</v>
      </c>
      <c r="L12" s="169">
        <f>I12+J12*EERR!$D$2</f>
        <v>135034.01999999999</v>
      </c>
      <c r="M12" s="109">
        <f>L12/EERR!$D$2</f>
        <v>197.99999999999997</v>
      </c>
      <c r="N12" s="109">
        <f>SUMIF(Dic!$B$3:$B$114,A12,Dic!$V$3:$V$114)</f>
        <v>405102.06</v>
      </c>
      <c r="O12" s="183">
        <f t="shared" si="0"/>
        <v>1</v>
      </c>
    </row>
    <row r="13" spans="1:16" x14ac:dyDescent="0.3">
      <c r="A13" s="227">
        <v>630</v>
      </c>
      <c r="B13" s="228" t="s">
        <v>989</v>
      </c>
      <c r="C13" s="229" t="s">
        <v>258</v>
      </c>
      <c r="D13" s="229" t="s">
        <v>128</v>
      </c>
      <c r="E13" s="229" t="s">
        <v>129</v>
      </c>
      <c r="F13" s="229" t="s">
        <v>130</v>
      </c>
      <c r="G13" s="229" t="s">
        <v>990</v>
      </c>
      <c r="H13" s="229" t="s">
        <v>131</v>
      </c>
      <c r="I13" s="230"/>
      <c r="J13" s="230">
        <v>230</v>
      </c>
      <c r="K13" s="229" t="s">
        <v>991</v>
      </c>
      <c r="L13" s="169">
        <f>I13+J13*EERR!$D$2</f>
        <v>156857.70000000001</v>
      </c>
      <c r="M13" s="109">
        <f>L13/EERR!$D$2</f>
        <v>230</v>
      </c>
      <c r="N13" s="109">
        <f>SUMIF(Dic!$B$3:$B$114,A13,Dic!$V$3:$V$114)</f>
        <v>0</v>
      </c>
      <c r="O13" s="183">
        <f t="shared" si="0"/>
        <v>1</v>
      </c>
    </row>
    <row r="14" spans="1:16" x14ac:dyDescent="0.3">
      <c r="A14" s="227">
        <v>631</v>
      </c>
      <c r="B14" s="228" t="s">
        <v>992</v>
      </c>
      <c r="C14" s="229" t="s">
        <v>258</v>
      </c>
      <c r="D14" s="229" t="s">
        <v>128</v>
      </c>
      <c r="E14" s="229" t="s">
        <v>129</v>
      </c>
      <c r="F14" s="229" t="s">
        <v>134</v>
      </c>
      <c r="G14" s="229" t="s">
        <v>993</v>
      </c>
      <c r="H14" s="229" t="s">
        <v>131</v>
      </c>
      <c r="I14" s="230"/>
      <c r="J14" s="230">
        <v>230</v>
      </c>
      <c r="K14" s="229" t="s">
        <v>994</v>
      </c>
      <c r="L14" s="169">
        <f>I14+J14*EERR!$D$2</f>
        <v>156857.70000000001</v>
      </c>
      <c r="M14" s="109">
        <f>L14/EERR!$D$2</f>
        <v>230</v>
      </c>
      <c r="N14" s="109">
        <f>SUMIF(Dic!$B$3:$B$114,A14,Dic!$V$3:$V$114)</f>
        <v>0</v>
      </c>
      <c r="O14" s="183">
        <f t="shared" si="0"/>
        <v>1</v>
      </c>
    </row>
    <row r="15" spans="1:16" x14ac:dyDescent="0.3">
      <c r="A15" s="227">
        <v>632</v>
      </c>
      <c r="B15" s="228" t="s">
        <v>995</v>
      </c>
      <c r="C15" s="229" t="s">
        <v>258</v>
      </c>
      <c r="D15" s="229" t="s">
        <v>128</v>
      </c>
      <c r="E15" s="229" t="s">
        <v>129</v>
      </c>
      <c r="F15" s="229" t="s">
        <v>134</v>
      </c>
      <c r="G15" s="229" t="s">
        <v>996</v>
      </c>
      <c r="H15" s="229" t="s">
        <v>131</v>
      </c>
      <c r="I15" s="230"/>
      <c r="J15" s="230">
        <v>230</v>
      </c>
      <c r="K15" s="229" t="s">
        <v>997</v>
      </c>
      <c r="L15" s="169">
        <f>I15+J15*EERR!$D$2</f>
        <v>156857.70000000001</v>
      </c>
      <c r="M15" s="109">
        <f>L15/EERR!$D$2</f>
        <v>230</v>
      </c>
      <c r="N15" s="109">
        <f>SUMIF(Dic!$B$3:$B$114,A15,Dic!$V$3:$V$114)</f>
        <v>156857.70000000001</v>
      </c>
      <c r="O15" s="183">
        <f t="shared" si="0"/>
        <v>1</v>
      </c>
    </row>
    <row r="16" spans="1:16" x14ac:dyDescent="0.3">
      <c r="A16" s="227">
        <v>633</v>
      </c>
      <c r="B16" s="228" t="s">
        <v>998</v>
      </c>
      <c r="C16" s="229" t="s">
        <v>258</v>
      </c>
      <c r="D16" s="229" t="s">
        <v>128</v>
      </c>
      <c r="E16" s="229" t="s">
        <v>129</v>
      </c>
      <c r="F16" s="229" t="s">
        <v>134</v>
      </c>
      <c r="G16" s="229" t="s">
        <v>999</v>
      </c>
      <c r="H16" s="229" t="s">
        <v>131</v>
      </c>
      <c r="I16" s="230"/>
      <c r="J16" s="230">
        <v>230</v>
      </c>
      <c r="K16" s="229" t="s">
        <v>1000</v>
      </c>
      <c r="L16" s="169">
        <f>I16+J16*EERR!$D$2</f>
        <v>156857.70000000001</v>
      </c>
      <c r="M16" s="109">
        <f>L16/EERR!$D$2</f>
        <v>230</v>
      </c>
      <c r="N16" s="109">
        <f>SUMIF(Dic!$B$3:$B$114,A16,Dic!$V$3:$V$114)</f>
        <v>0</v>
      </c>
      <c r="O16" s="183">
        <f t="shared" si="0"/>
        <v>1</v>
      </c>
    </row>
    <row r="17" spans="1:16" x14ac:dyDescent="0.3">
      <c r="A17" s="328">
        <v>634</v>
      </c>
      <c r="B17" s="329" t="s">
        <v>1001</v>
      </c>
      <c r="C17" s="330" t="s">
        <v>258</v>
      </c>
      <c r="D17" s="330" t="s">
        <v>128</v>
      </c>
      <c r="E17" s="330" t="s">
        <v>129</v>
      </c>
      <c r="F17" s="330" t="s">
        <v>130</v>
      </c>
      <c r="G17" s="330" t="s">
        <v>1002</v>
      </c>
      <c r="H17" s="330" t="s">
        <v>131</v>
      </c>
      <c r="I17" s="331"/>
      <c r="J17" s="331">
        <v>218.5</v>
      </c>
      <c r="K17" s="330" t="s">
        <v>1003</v>
      </c>
      <c r="L17" s="332">
        <f>I17+J17*EERR!$D$2</f>
        <v>149014.815</v>
      </c>
      <c r="M17" s="331">
        <f>L17/EERR!$D$2</f>
        <v>218.5</v>
      </c>
      <c r="N17" s="331">
        <f>SUMIF(Dic!$B$3:$B$114,A17,Dic!$V$3:$V$114)</f>
        <v>0</v>
      </c>
      <c r="O17" s="183">
        <f t="shared" si="0"/>
        <v>1</v>
      </c>
      <c r="P17" s="58" t="s">
        <v>1545</v>
      </c>
    </row>
    <row r="18" spans="1:16" x14ac:dyDescent="0.3">
      <c r="A18" s="227">
        <v>635</v>
      </c>
      <c r="B18" s="228" t="s">
        <v>1004</v>
      </c>
      <c r="C18" s="229" t="s">
        <v>258</v>
      </c>
      <c r="D18" s="229" t="s">
        <v>128</v>
      </c>
      <c r="E18" s="229" t="s">
        <v>129</v>
      </c>
      <c r="F18" s="229" t="s">
        <v>134</v>
      </c>
      <c r="G18" s="229" t="s">
        <v>1005</v>
      </c>
      <c r="H18" s="229" t="s">
        <v>131</v>
      </c>
      <c r="I18" s="230"/>
      <c r="J18" s="230">
        <v>230</v>
      </c>
      <c r="K18" s="229" t="s">
        <v>1006</v>
      </c>
      <c r="L18" s="169">
        <f>I18+J18*EERR!$D$2</f>
        <v>156857.70000000001</v>
      </c>
      <c r="M18" s="109">
        <f>L18/EERR!$D$2</f>
        <v>230</v>
      </c>
      <c r="N18" s="109">
        <f>SUMIF(Dic!$B$3:$B$114,A18,Dic!$V$3:$V$114)</f>
        <v>907046.70000000007</v>
      </c>
      <c r="O18" s="183">
        <f t="shared" si="0"/>
        <v>1</v>
      </c>
    </row>
    <row r="19" spans="1:16" x14ac:dyDescent="0.3">
      <c r="A19" s="227">
        <v>636</v>
      </c>
      <c r="B19" s="228" t="s">
        <v>1007</v>
      </c>
      <c r="C19" s="229" t="s">
        <v>258</v>
      </c>
      <c r="D19" s="229" t="s">
        <v>128</v>
      </c>
      <c r="E19" s="229" t="s">
        <v>129</v>
      </c>
      <c r="F19" s="229" t="s">
        <v>133</v>
      </c>
      <c r="G19" s="229" t="s">
        <v>1008</v>
      </c>
      <c r="H19" s="229" t="s">
        <v>131</v>
      </c>
      <c r="I19" s="230"/>
      <c r="J19" s="230">
        <v>207</v>
      </c>
      <c r="K19" s="229" t="s">
        <v>1009</v>
      </c>
      <c r="L19" s="169">
        <f>I19+J19*EERR!$D$2</f>
        <v>141171.93</v>
      </c>
      <c r="M19" s="109">
        <f>L19/EERR!$D$2</f>
        <v>207</v>
      </c>
      <c r="N19" s="109">
        <f>SUMIF(Dic!$B$3:$B$114,A19,Dic!$V$3:$V$114)</f>
        <v>564687.72</v>
      </c>
      <c r="O19" s="183">
        <f t="shared" si="0"/>
        <v>1</v>
      </c>
    </row>
    <row r="20" spans="1:16" x14ac:dyDescent="0.3">
      <c r="A20" s="227">
        <v>637</v>
      </c>
      <c r="B20" s="228" t="s">
        <v>1010</v>
      </c>
      <c r="C20" s="229" t="s">
        <v>258</v>
      </c>
      <c r="D20" s="229" t="s">
        <v>128</v>
      </c>
      <c r="E20" s="229" t="s">
        <v>129</v>
      </c>
      <c r="F20" s="229" t="s">
        <v>130</v>
      </c>
      <c r="G20" s="229" t="s">
        <v>1011</v>
      </c>
      <c r="H20" s="229" t="s">
        <v>131</v>
      </c>
      <c r="I20" s="230"/>
      <c r="J20" s="230">
        <v>194.75</v>
      </c>
      <c r="K20" s="229" t="s">
        <v>1012</v>
      </c>
      <c r="L20" s="169">
        <f>I20+J20*EERR!$D$2</f>
        <v>132817.55249999999</v>
      </c>
      <c r="M20" s="109">
        <f>L20/EERR!$D$2</f>
        <v>194.74999999999997</v>
      </c>
      <c r="N20" s="109">
        <f>SUMIF(Dic!$B$3:$B$114,A20,Dic!$V$3:$V$114)</f>
        <v>132817.55249999999</v>
      </c>
      <c r="O20" s="183">
        <f t="shared" si="0"/>
        <v>1</v>
      </c>
    </row>
    <row r="21" spans="1:16" x14ac:dyDescent="0.3">
      <c r="A21" s="227">
        <v>638</v>
      </c>
      <c r="B21" s="228" t="s">
        <v>1013</v>
      </c>
      <c r="C21" s="229" t="s">
        <v>258</v>
      </c>
      <c r="D21" s="229" t="s">
        <v>128</v>
      </c>
      <c r="E21" s="229" t="s">
        <v>129</v>
      </c>
      <c r="F21" s="229" t="s">
        <v>133</v>
      </c>
      <c r="G21" s="229" t="s">
        <v>1014</v>
      </c>
      <c r="H21" s="229" t="s">
        <v>131</v>
      </c>
      <c r="I21" s="230"/>
      <c r="J21" s="230">
        <v>205</v>
      </c>
      <c r="K21" s="229" t="s">
        <v>1015</v>
      </c>
      <c r="L21" s="169">
        <f>I21+J21*EERR!$D$2</f>
        <v>139807.95000000001</v>
      </c>
      <c r="M21" s="109">
        <f>L21/EERR!$D$2</f>
        <v>205.00000000000003</v>
      </c>
      <c r="N21" s="109">
        <f>SUMIF(Dic!$B$3:$B$114,A21,Dic!$V$3:$V$114)</f>
        <v>0</v>
      </c>
      <c r="O21" s="183">
        <f t="shared" si="0"/>
        <v>1</v>
      </c>
    </row>
    <row r="22" spans="1:16" x14ac:dyDescent="0.3">
      <c r="A22" s="227">
        <v>639</v>
      </c>
      <c r="B22" s="228" t="s">
        <v>1016</v>
      </c>
      <c r="C22" s="229" t="s">
        <v>258</v>
      </c>
      <c r="D22" s="229" t="s">
        <v>128</v>
      </c>
      <c r="E22" s="229" t="s">
        <v>129</v>
      </c>
      <c r="F22" s="229" t="s">
        <v>134</v>
      </c>
      <c r="G22" s="229" t="s">
        <v>1017</v>
      </c>
      <c r="H22" s="229" t="s">
        <v>131</v>
      </c>
      <c r="I22" s="230"/>
      <c r="J22" s="230">
        <v>230</v>
      </c>
      <c r="K22" s="229" t="s">
        <v>1018</v>
      </c>
      <c r="L22" s="169">
        <f>I22+J22*EERR!$D$2</f>
        <v>156857.70000000001</v>
      </c>
      <c r="M22" s="109">
        <f>L22/EERR!$D$2</f>
        <v>230</v>
      </c>
      <c r="N22" s="109">
        <f>SUMIF(Dic!$B$3:$B$114,A22,Dic!$V$3:$V$114)</f>
        <v>313715.40000000002</v>
      </c>
      <c r="O22" s="183">
        <f t="shared" si="0"/>
        <v>1</v>
      </c>
    </row>
    <row r="23" spans="1:16" x14ac:dyDescent="0.3">
      <c r="A23" s="227">
        <v>640</v>
      </c>
      <c r="B23" s="228" t="s">
        <v>1019</v>
      </c>
      <c r="C23" s="229" t="s">
        <v>258</v>
      </c>
      <c r="D23" s="229" t="s">
        <v>128</v>
      </c>
      <c r="E23" s="229" t="s">
        <v>129</v>
      </c>
      <c r="F23" s="229" t="s">
        <v>133</v>
      </c>
      <c r="G23" s="229" t="s">
        <v>1020</v>
      </c>
      <c r="H23" s="229" t="s">
        <v>131</v>
      </c>
      <c r="I23" s="230"/>
      <c r="J23" s="230">
        <v>790</v>
      </c>
      <c r="K23" s="229" t="s">
        <v>1021</v>
      </c>
      <c r="L23" s="169">
        <f>I23+J23*EERR!$D$2</f>
        <v>538772.1</v>
      </c>
      <c r="M23" s="109">
        <f>L23/EERR!$D$2</f>
        <v>790</v>
      </c>
      <c r="N23" s="109">
        <f>SUMIF(Dic!$B$3:$B$114,A23,Dic!$V$3:$V$114)</f>
        <v>0</v>
      </c>
      <c r="O23" s="183">
        <f t="shared" si="0"/>
        <v>1</v>
      </c>
    </row>
    <row r="24" spans="1:16" x14ac:dyDescent="0.3">
      <c r="A24" s="227">
        <v>641</v>
      </c>
      <c r="B24" s="228" t="s">
        <v>1022</v>
      </c>
      <c r="C24" s="229" t="s">
        <v>257</v>
      </c>
      <c r="D24" s="229" t="s">
        <v>128</v>
      </c>
      <c r="E24" s="229" t="s">
        <v>132</v>
      </c>
      <c r="F24" s="229" t="s">
        <v>134</v>
      </c>
      <c r="G24" s="229" t="s">
        <v>1023</v>
      </c>
      <c r="H24" s="229" t="s">
        <v>132</v>
      </c>
      <c r="I24" s="230">
        <v>163202</v>
      </c>
      <c r="J24" s="230"/>
      <c r="K24" s="229" t="s">
        <v>1024</v>
      </c>
      <c r="L24" s="169">
        <f>I24+J24*EERR!$D$2</f>
        <v>163202</v>
      </c>
      <c r="M24" s="109">
        <f>L24/EERR!$D$2</f>
        <v>239.30262907080748</v>
      </c>
      <c r="N24" s="109">
        <f>SUMIF(Dic!$B$3:$B$114,A24,Dic!$V$3:$V$114)</f>
        <v>0</v>
      </c>
      <c r="O24" s="183">
        <f t="shared" si="0"/>
        <v>1</v>
      </c>
    </row>
    <row r="25" spans="1:16" x14ac:dyDescent="0.3">
      <c r="A25" s="227">
        <v>642</v>
      </c>
      <c r="B25" s="228" t="s">
        <v>1025</v>
      </c>
      <c r="C25" s="229" t="s">
        <v>258</v>
      </c>
      <c r="D25" s="229" t="s">
        <v>128</v>
      </c>
      <c r="E25" s="229" t="s">
        <v>129</v>
      </c>
      <c r="F25" s="229" t="s">
        <v>130</v>
      </c>
      <c r="G25" s="229" t="s">
        <v>1026</v>
      </c>
      <c r="H25" s="229" t="s">
        <v>131</v>
      </c>
      <c r="I25" s="230"/>
      <c r="J25" s="230">
        <v>205</v>
      </c>
      <c r="K25" s="229" t="s">
        <v>1027</v>
      </c>
      <c r="L25" s="169">
        <f>I25+J25*EERR!$D$2</f>
        <v>139807.95000000001</v>
      </c>
      <c r="M25" s="109">
        <f>L25/EERR!$D$2</f>
        <v>205.00000000000003</v>
      </c>
      <c r="N25" s="109">
        <f>SUMIF(Dic!$B$3:$B$114,A25,Dic!$V$3:$V$114)</f>
        <v>0</v>
      </c>
      <c r="O25" s="183">
        <f t="shared" si="0"/>
        <v>1</v>
      </c>
    </row>
    <row r="26" spans="1:16" x14ac:dyDescent="0.3">
      <c r="A26" s="227">
        <v>643</v>
      </c>
      <c r="B26" s="228" t="s">
        <v>1028</v>
      </c>
      <c r="C26" s="229" t="s">
        <v>258</v>
      </c>
      <c r="D26" s="229" t="s">
        <v>128</v>
      </c>
      <c r="E26" s="229" t="s">
        <v>129</v>
      </c>
      <c r="F26" s="229" t="s">
        <v>130</v>
      </c>
      <c r="G26" s="229" t="s">
        <v>1029</v>
      </c>
      <c r="H26" s="229" t="s">
        <v>131</v>
      </c>
      <c r="I26" s="230"/>
      <c r="J26" s="230">
        <v>198</v>
      </c>
      <c r="K26" s="229" t="s">
        <v>1030</v>
      </c>
      <c r="L26" s="169">
        <f>I26+J26*EERR!$D$2</f>
        <v>135034.01999999999</v>
      </c>
      <c r="M26" s="109">
        <f>L26/EERR!$D$2</f>
        <v>197.99999999999997</v>
      </c>
      <c r="N26" s="109">
        <f>SUMIF(Dic!$B$3:$B$114,A26,Dic!$V$3:$V$114)</f>
        <v>544910.01</v>
      </c>
      <c r="O26" s="183">
        <f t="shared" si="0"/>
        <v>1</v>
      </c>
    </row>
    <row r="27" spans="1:16" x14ac:dyDescent="0.3">
      <c r="A27" s="227">
        <v>644</v>
      </c>
      <c r="B27" s="228" t="s">
        <v>1031</v>
      </c>
      <c r="C27" s="229" t="s">
        <v>258</v>
      </c>
      <c r="D27" s="229" t="s">
        <v>128</v>
      </c>
      <c r="E27" s="229" t="s">
        <v>129</v>
      </c>
      <c r="F27" s="229" t="s">
        <v>134</v>
      </c>
      <c r="G27" s="229" t="s">
        <v>1032</v>
      </c>
      <c r="H27" s="229" t="s">
        <v>131</v>
      </c>
      <c r="I27" s="230"/>
      <c r="J27" s="230">
        <v>205</v>
      </c>
      <c r="K27" s="229" t="s">
        <v>1033</v>
      </c>
      <c r="L27" s="169">
        <f>I27+J27*EERR!$D$2</f>
        <v>139807.95000000001</v>
      </c>
      <c r="M27" s="109">
        <f>L27/EERR!$D$2</f>
        <v>205.00000000000003</v>
      </c>
      <c r="N27" s="109">
        <f>SUMIF(Dic!$B$3:$B$114,A27,Dic!$V$3:$V$114)</f>
        <v>0</v>
      </c>
      <c r="O27" s="183">
        <f t="shared" si="0"/>
        <v>1</v>
      </c>
    </row>
    <row r="28" spans="1:16" x14ac:dyDescent="0.3">
      <c r="A28" s="227">
        <v>645</v>
      </c>
      <c r="B28" s="228" t="s">
        <v>1034</v>
      </c>
      <c r="C28" s="229" t="s">
        <v>257</v>
      </c>
      <c r="D28" s="229" t="s">
        <v>128</v>
      </c>
      <c r="E28" s="229" t="s">
        <v>132</v>
      </c>
      <c r="F28" s="229" t="s">
        <v>134</v>
      </c>
      <c r="G28" s="229" t="s">
        <v>972</v>
      </c>
      <c r="H28" s="229" t="s">
        <v>132</v>
      </c>
      <c r="I28" s="230">
        <v>4000</v>
      </c>
      <c r="J28" s="230"/>
      <c r="K28" s="229" t="s">
        <v>1035</v>
      </c>
      <c r="L28" s="169">
        <f>I28+J28*EERR!$D$2</f>
        <v>4000</v>
      </c>
      <c r="M28" s="109">
        <f>L28/EERR!$D$2</f>
        <v>5.865188639129606</v>
      </c>
      <c r="N28" s="109">
        <f>SUMIF(Dic!$B$3:$B$114,A28,Dic!$V$3:$V$114)</f>
        <v>0</v>
      </c>
      <c r="O28" s="183">
        <f t="shared" si="0"/>
        <v>1</v>
      </c>
    </row>
    <row r="29" spans="1:16" x14ac:dyDescent="0.3">
      <c r="A29" s="227">
        <v>646</v>
      </c>
      <c r="B29" s="228" t="s">
        <v>1036</v>
      </c>
      <c r="C29" s="229" t="s">
        <v>258</v>
      </c>
      <c r="D29" s="229" t="s">
        <v>128</v>
      </c>
      <c r="E29" s="229" t="s">
        <v>129</v>
      </c>
      <c r="F29" s="229" t="s">
        <v>134</v>
      </c>
      <c r="G29" s="229" t="s">
        <v>985</v>
      </c>
      <c r="H29" s="229" t="s">
        <v>131</v>
      </c>
      <c r="I29" s="230"/>
      <c r="J29" s="230">
        <v>396</v>
      </c>
      <c r="K29" s="229" t="s">
        <v>1037</v>
      </c>
      <c r="L29" s="169">
        <f>I29+J29*EERR!$D$2</f>
        <v>270068.03999999998</v>
      </c>
      <c r="M29" s="109">
        <f>L29/EERR!$D$2</f>
        <v>395.99999999999994</v>
      </c>
      <c r="N29" s="109">
        <f>SUMIF(Dic!$B$3:$B$114,A29,Dic!$V$3:$V$114)</f>
        <v>0</v>
      </c>
      <c r="O29" s="183">
        <f t="shared" si="0"/>
        <v>1</v>
      </c>
    </row>
    <row r="30" spans="1:16" x14ac:dyDescent="0.3">
      <c r="A30" s="227">
        <v>647</v>
      </c>
      <c r="B30" s="228" t="s">
        <v>1038</v>
      </c>
      <c r="C30" s="229" t="s">
        <v>258</v>
      </c>
      <c r="D30" s="229" t="s">
        <v>128</v>
      </c>
      <c r="E30" s="229" t="s">
        <v>129</v>
      </c>
      <c r="F30" s="229" t="s">
        <v>134</v>
      </c>
      <c r="G30" s="229" t="s">
        <v>471</v>
      </c>
      <c r="H30" s="229" t="s">
        <v>131</v>
      </c>
      <c r="I30" s="230"/>
      <c r="J30" s="230">
        <v>198</v>
      </c>
      <c r="K30" s="229" t="s">
        <v>1039</v>
      </c>
      <c r="L30" s="169">
        <f>I30+J30*EERR!$D$2</f>
        <v>135034.01999999999</v>
      </c>
      <c r="M30" s="109">
        <f>L30/EERR!$D$2</f>
        <v>197.99999999999997</v>
      </c>
      <c r="N30" s="109">
        <f>SUMIF(Dic!$B$3:$B$114,A30,Dic!$V$3:$V$114)</f>
        <v>0</v>
      </c>
      <c r="O30" s="183">
        <f t="shared" si="0"/>
        <v>1</v>
      </c>
    </row>
    <row r="31" spans="1:16" x14ac:dyDescent="0.3">
      <c r="A31" s="227">
        <v>648</v>
      </c>
      <c r="B31" s="228" t="s">
        <v>1040</v>
      </c>
      <c r="C31" s="229" t="s">
        <v>258</v>
      </c>
      <c r="D31" s="229" t="s">
        <v>128</v>
      </c>
      <c r="E31" s="229" t="s">
        <v>129</v>
      </c>
      <c r="F31" s="229" t="s">
        <v>134</v>
      </c>
      <c r="G31" s="229" t="s">
        <v>1041</v>
      </c>
      <c r="H31" s="229" t="s">
        <v>131</v>
      </c>
      <c r="I31" s="230"/>
      <c r="J31" s="230">
        <v>205</v>
      </c>
      <c r="K31" s="229" t="s">
        <v>1042</v>
      </c>
      <c r="L31" s="169">
        <f>I31+J31*EERR!$D$2</f>
        <v>139807.95000000001</v>
      </c>
      <c r="M31" s="109">
        <f>L31/EERR!$D$2</f>
        <v>205.00000000000003</v>
      </c>
      <c r="N31" s="109">
        <f>SUMIF(Dic!$B$3:$B$114,A31,Dic!$V$3:$V$114)</f>
        <v>0</v>
      </c>
      <c r="O31" s="183">
        <f t="shared" si="0"/>
        <v>1</v>
      </c>
    </row>
    <row r="32" spans="1:16" x14ac:dyDescent="0.3">
      <c r="A32" s="227">
        <v>649</v>
      </c>
      <c r="B32" s="228" t="s">
        <v>1043</v>
      </c>
      <c r="C32" s="229" t="s">
        <v>258</v>
      </c>
      <c r="D32" s="229" t="s">
        <v>128</v>
      </c>
      <c r="E32" s="229" t="s">
        <v>129</v>
      </c>
      <c r="F32" s="229" t="s">
        <v>133</v>
      </c>
      <c r="G32" s="229" t="s">
        <v>1044</v>
      </c>
      <c r="H32" s="229" t="s">
        <v>131</v>
      </c>
      <c r="I32" s="230"/>
      <c r="J32" s="230">
        <v>410</v>
      </c>
      <c r="K32" s="229" t="s">
        <v>1045</v>
      </c>
      <c r="L32" s="169">
        <f>I32+J32*EERR!$D$2</f>
        <v>279615.90000000002</v>
      </c>
      <c r="M32" s="109">
        <f>L32/EERR!$D$2</f>
        <v>410.00000000000006</v>
      </c>
      <c r="N32" s="109">
        <f>SUMIF(Dic!$B$3:$B$114,A32,Dic!$V$3:$V$114)</f>
        <v>0</v>
      </c>
      <c r="O32" s="183">
        <f t="shared" si="0"/>
        <v>1</v>
      </c>
    </row>
    <row r="33" spans="1:15" x14ac:dyDescent="0.3">
      <c r="A33" s="227">
        <v>650</v>
      </c>
      <c r="B33" s="228" t="s">
        <v>1046</v>
      </c>
      <c r="C33" s="229" t="s">
        <v>258</v>
      </c>
      <c r="D33" s="229" t="s">
        <v>128</v>
      </c>
      <c r="E33" s="229" t="s">
        <v>129</v>
      </c>
      <c r="F33" s="229" t="s">
        <v>133</v>
      </c>
      <c r="G33" s="229" t="s">
        <v>1047</v>
      </c>
      <c r="H33" s="229" t="s">
        <v>131</v>
      </c>
      <c r="I33" s="230"/>
      <c r="J33" s="230">
        <v>205</v>
      </c>
      <c r="K33" s="229" t="s">
        <v>1048</v>
      </c>
      <c r="L33" s="169">
        <f>I33+J33*EERR!$D$2</f>
        <v>139807.95000000001</v>
      </c>
      <c r="M33" s="109">
        <f>L33/EERR!$D$2</f>
        <v>205.00000000000003</v>
      </c>
      <c r="N33" s="109">
        <f>SUMIF(Dic!$B$3:$B$114,A33,Dic!$V$3:$V$114)</f>
        <v>0</v>
      </c>
      <c r="O33" s="183">
        <f t="shared" si="0"/>
        <v>1</v>
      </c>
    </row>
    <row r="34" spans="1:15" x14ac:dyDescent="0.3">
      <c r="A34" s="227">
        <v>651</v>
      </c>
      <c r="B34" s="228" t="s">
        <v>1049</v>
      </c>
      <c r="C34" s="229" t="s">
        <v>258</v>
      </c>
      <c r="D34" s="229" t="s">
        <v>128</v>
      </c>
      <c r="E34" s="229" t="s">
        <v>129</v>
      </c>
      <c r="F34" s="229" t="s">
        <v>133</v>
      </c>
      <c r="G34" s="229" t="s">
        <v>1050</v>
      </c>
      <c r="H34" s="229" t="s">
        <v>131</v>
      </c>
      <c r="I34" s="230"/>
      <c r="J34" s="230">
        <v>205</v>
      </c>
      <c r="K34" s="229" t="s">
        <v>1051</v>
      </c>
      <c r="L34" s="169">
        <f>I34+J34*EERR!$D$2</f>
        <v>139807.95000000001</v>
      </c>
      <c r="M34" s="109">
        <f>L34/EERR!$D$2</f>
        <v>205.00000000000003</v>
      </c>
      <c r="N34" s="109">
        <f>SUMIF(Dic!$B$3:$B$114,A34,Dic!$V$3:$V$114)</f>
        <v>0</v>
      </c>
      <c r="O34" s="183">
        <f t="shared" si="0"/>
        <v>1</v>
      </c>
    </row>
    <row r="35" spans="1:15" x14ac:dyDescent="0.3">
      <c r="A35" s="227">
        <v>652</v>
      </c>
      <c r="B35" s="228" t="s">
        <v>1052</v>
      </c>
      <c r="C35" s="229" t="s">
        <v>258</v>
      </c>
      <c r="D35" s="229" t="s">
        <v>128</v>
      </c>
      <c r="E35" s="229" t="s">
        <v>129</v>
      </c>
      <c r="F35" s="229" t="s">
        <v>134</v>
      </c>
      <c r="G35" s="229" t="s">
        <v>1053</v>
      </c>
      <c r="H35" s="229" t="s">
        <v>131</v>
      </c>
      <c r="I35" s="230"/>
      <c r="J35" s="230">
        <v>230</v>
      </c>
      <c r="K35" s="229" t="s">
        <v>1054</v>
      </c>
      <c r="L35" s="169">
        <f>I35+J35*EERR!$D$2</f>
        <v>156857.70000000001</v>
      </c>
      <c r="M35" s="109">
        <f>L35/EERR!$D$2</f>
        <v>230</v>
      </c>
      <c r="N35" s="109">
        <f>SUMIF(Dic!$B$3:$B$114,A35,Dic!$V$3:$V$114)</f>
        <v>453523.35000000003</v>
      </c>
      <c r="O35" s="183">
        <f t="shared" si="0"/>
        <v>1</v>
      </c>
    </row>
    <row r="36" spans="1:15" x14ac:dyDescent="0.3">
      <c r="A36" s="227">
        <v>653</v>
      </c>
      <c r="B36" s="228" t="s">
        <v>1055</v>
      </c>
      <c r="C36" s="229" t="s">
        <v>258</v>
      </c>
      <c r="D36" s="229" t="s">
        <v>128</v>
      </c>
      <c r="E36" s="229" t="s">
        <v>129</v>
      </c>
      <c r="F36" s="229" t="s">
        <v>133</v>
      </c>
      <c r="G36" s="229" t="s">
        <v>1056</v>
      </c>
      <c r="H36" s="229" t="s">
        <v>131</v>
      </c>
      <c r="I36" s="230"/>
      <c r="J36" s="230">
        <v>194.75</v>
      </c>
      <c r="K36" s="229" t="s">
        <v>1057</v>
      </c>
      <c r="L36" s="169">
        <f>I36+J36*EERR!$D$2</f>
        <v>132817.55249999999</v>
      </c>
      <c r="M36" s="109">
        <f>L36/EERR!$D$2</f>
        <v>194.74999999999997</v>
      </c>
      <c r="N36" s="109">
        <f>SUMIF(Dic!$B$3:$B$114,A36,Dic!$V$3:$V$114)</f>
        <v>0</v>
      </c>
      <c r="O36" s="183">
        <f t="shared" si="0"/>
        <v>1</v>
      </c>
    </row>
    <row r="37" spans="1:15" x14ac:dyDescent="0.3">
      <c r="A37" s="227">
        <v>654</v>
      </c>
      <c r="B37" s="228" t="s">
        <v>1058</v>
      </c>
      <c r="C37" s="229" t="s">
        <v>258</v>
      </c>
      <c r="D37" s="229" t="s">
        <v>128</v>
      </c>
      <c r="E37" s="229" t="s">
        <v>129</v>
      </c>
      <c r="F37" s="229" t="s">
        <v>134</v>
      </c>
      <c r="G37" s="229" t="s">
        <v>1059</v>
      </c>
      <c r="H37" s="229" t="s">
        <v>131</v>
      </c>
      <c r="I37" s="230"/>
      <c r="J37" s="230">
        <v>396</v>
      </c>
      <c r="K37" s="229" t="s">
        <v>1060</v>
      </c>
      <c r="L37" s="169">
        <f>I37+J37*EERR!$D$2</f>
        <v>270068.03999999998</v>
      </c>
      <c r="M37" s="109">
        <f>L37/EERR!$D$2</f>
        <v>395.99999999999994</v>
      </c>
      <c r="N37" s="109">
        <f>SUMIF(Dic!$B$3:$B$114,A37,Dic!$V$3:$V$114)</f>
        <v>0</v>
      </c>
      <c r="O37" s="183">
        <f t="shared" si="0"/>
        <v>1</v>
      </c>
    </row>
    <row r="38" spans="1:15" x14ac:dyDescent="0.3">
      <c r="A38" s="227">
        <v>655</v>
      </c>
      <c r="B38" s="228" t="s">
        <v>1061</v>
      </c>
      <c r="C38" s="229" t="s">
        <v>258</v>
      </c>
      <c r="D38" s="229" t="s">
        <v>128</v>
      </c>
      <c r="E38" s="229" t="s">
        <v>129</v>
      </c>
      <c r="F38" s="229" t="s">
        <v>134</v>
      </c>
      <c r="G38" s="229" t="s">
        <v>1062</v>
      </c>
      <c r="H38" s="229" t="s">
        <v>131</v>
      </c>
      <c r="I38" s="230"/>
      <c r="J38" s="230">
        <v>396</v>
      </c>
      <c r="K38" s="229" t="s">
        <v>1063</v>
      </c>
      <c r="L38" s="169">
        <f>I38+J38*EERR!$D$2</f>
        <v>270068.03999999998</v>
      </c>
      <c r="M38" s="109">
        <f>L38/EERR!$D$2</f>
        <v>395.99999999999994</v>
      </c>
      <c r="N38" s="109">
        <f>SUMIF(Dic!$B$3:$B$114,A38,Dic!$V$3:$V$114)</f>
        <v>0</v>
      </c>
      <c r="O38" s="183">
        <f t="shared" si="0"/>
        <v>1</v>
      </c>
    </row>
    <row r="39" spans="1:15" x14ac:dyDescent="0.3">
      <c r="A39" s="227">
        <v>656</v>
      </c>
      <c r="B39" s="228" t="s">
        <v>1064</v>
      </c>
      <c r="C39" s="229" t="s">
        <v>257</v>
      </c>
      <c r="D39" s="229" t="s">
        <v>128</v>
      </c>
      <c r="E39" s="229" t="s">
        <v>132</v>
      </c>
      <c r="F39" s="229" t="s">
        <v>133</v>
      </c>
      <c r="G39" s="229" t="s">
        <v>492</v>
      </c>
      <c r="H39" s="229" t="s">
        <v>132</v>
      </c>
      <c r="I39" s="230">
        <v>303525</v>
      </c>
      <c r="J39" s="230"/>
      <c r="K39" s="229" t="s">
        <v>1065</v>
      </c>
      <c r="L39" s="169">
        <f>I39+J39*EERR!$D$2</f>
        <v>303525</v>
      </c>
      <c r="M39" s="109">
        <f>L39/EERR!$D$2</f>
        <v>445.05784542295339</v>
      </c>
      <c r="N39" s="109">
        <f>SUMIF(Dic!$B$3:$B$114,A39,Dic!$V$3:$V$114)</f>
        <v>0</v>
      </c>
      <c r="O39" s="183">
        <f t="shared" si="0"/>
        <v>1</v>
      </c>
    </row>
    <row r="40" spans="1:15" x14ac:dyDescent="0.3">
      <c r="A40" s="227">
        <v>657</v>
      </c>
      <c r="B40" s="228" t="s">
        <v>1066</v>
      </c>
      <c r="C40" s="229" t="s">
        <v>257</v>
      </c>
      <c r="D40" s="229" t="s">
        <v>128</v>
      </c>
      <c r="E40" s="229" t="s">
        <v>132</v>
      </c>
      <c r="F40" s="229" t="s">
        <v>133</v>
      </c>
      <c r="G40" s="229" t="s">
        <v>1067</v>
      </c>
      <c r="H40" s="229" t="s">
        <v>132</v>
      </c>
      <c r="I40" s="230">
        <v>151762</v>
      </c>
      <c r="J40" s="230"/>
      <c r="K40" s="229" t="s">
        <v>1068</v>
      </c>
      <c r="L40" s="169">
        <f>I40+J40*EERR!$D$2</f>
        <v>151762</v>
      </c>
      <c r="M40" s="109">
        <f>L40/EERR!$D$2</f>
        <v>222.52818956289681</v>
      </c>
      <c r="N40" s="109">
        <f>SUMIF(Dic!$B$3:$B$114,A40,Dic!$V$3:$V$114)</f>
        <v>0</v>
      </c>
      <c r="O40" s="183">
        <f t="shared" si="0"/>
        <v>1</v>
      </c>
    </row>
    <row r="41" spans="1:15" x14ac:dyDescent="0.3">
      <c r="A41" s="227">
        <v>658</v>
      </c>
      <c r="B41" s="228" t="s">
        <v>1069</v>
      </c>
      <c r="C41" s="229" t="s">
        <v>257</v>
      </c>
      <c r="D41" s="229" t="s">
        <v>128</v>
      </c>
      <c r="E41" s="229" t="s">
        <v>132</v>
      </c>
      <c r="F41" s="229" t="s">
        <v>133</v>
      </c>
      <c r="G41" s="229" t="s">
        <v>1070</v>
      </c>
      <c r="H41" s="229" t="s">
        <v>132</v>
      </c>
      <c r="I41" s="230">
        <v>151762</v>
      </c>
      <c r="J41" s="230"/>
      <c r="K41" s="229" t="s">
        <v>1071</v>
      </c>
      <c r="L41" s="169">
        <f>I41+J41*EERR!$D$2</f>
        <v>151762</v>
      </c>
      <c r="M41" s="109">
        <f>L41/EERR!$D$2</f>
        <v>222.52818956289681</v>
      </c>
      <c r="N41" s="109">
        <f>SUMIF(Dic!$B$3:$B$114,A41,Dic!$V$3:$V$114)</f>
        <v>0</v>
      </c>
      <c r="O41" s="183">
        <f t="shared" si="0"/>
        <v>1</v>
      </c>
    </row>
    <row r="42" spans="1:15" x14ac:dyDescent="0.3">
      <c r="A42" s="227">
        <v>659</v>
      </c>
      <c r="B42" s="228" t="s">
        <v>1072</v>
      </c>
      <c r="C42" s="229" t="s">
        <v>258</v>
      </c>
      <c r="D42" s="229" t="s">
        <v>128</v>
      </c>
      <c r="E42" s="229" t="s">
        <v>129</v>
      </c>
      <c r="F42" s="229" t="s">
        <v>134</v>
      </c>
      <c r="G42" s="229" t="s">
        <v>1073</v>
      </c>
      <c r="H42" s="229" t="s">
        <v>131</v>
      </c>
      <c r="I42" s="230"/>
      <c r="J42" s="230">
        <v>194.75</v>
      </c>
      <c r="K42" s="229" t="s">
        <v>1074</v>
      </c>
      <c r="L42" s="169">
        <f>I42+J42*EERR!$D$2</f>
        <v>132817.55249999999</v>
      </c>
      <c r="M42" s="109">
        <f>L42/EERR!$D$2</f>
        <v>194.74999999999997</v>
      </c>
      <c r="N42" s="109">
        <f>SUMIF(Dic!$B$3:$B$114,A42,Dic!$V$3:$V$114)</f>
        <v>0</v>
      </c>
      <c r="O42" s="183">
        <f t="shared" si="0"/>
        <v>1</v>
      </c>
    </row>
    <row r="43" spans="1:15" x14ac:dyDescent="0.3">
      <c r="A43" s="227">
        <v>660</v>
      </c>
      <c r="B43" s="228" t="s">
        <v>1075</v>
      </c>
      <c r="C43" s="229" t="s">
        <v>258</v>
      </c>
      <c r="D43" s="229" t="s">
        <v>128</v>
      </c>
      <c r="E43" s="229" t="s">
        <v>129</v>
      </c>
      <c r="F43" s="229" t="s">
        <v>134</v>
      </c>
      <c r="G43" s="229" t="s">
        <v>1076</v>
      </c>
      <c r="H43" s="229" t="s">
        <v>131</v>
      </c>
      <c r="I43" s="230"/>
      <c r="J43" s="230">
        <v>205</v>
      </c>
      <c r="K43" s="229" t="s">
        <v>1077</v>
      </c>
      <c r="L43" s="169">
        <f>I43+J43*EERR!$D$2</f>
        <v>139807.95000000001</v>
      </c>
      <c r="M43" s="109">
        <f>L43/EERR!$D$2</f>
        <v>205.00000000000003</v>
      </c>
      <c r="N43" s="109">
        <f>SUMIF(Dic!$B$3:$B$114,A43,Dic!$V$3:$V$114)</f>
        <v>0</v>
      </c>
      <c r="O43" s="183">
        <f t="shared" si="0"/>
        <v>1</v>
      </c>
    </row>
    <row r="44" spans="1:15" x14ac:dyDescent="0.3">
      <c r="A44" s="227">
        <v>661</v>
      </c>
      <c r="B44" s="228" t="s">
        <v>1078</v>
      </c>
      <c r="C44" s="229" t="s">
        <v>258</v>
      </c>
      <c r="D44" s="229" t="s">
        <v>128</v>
      </c>
      <c r="E44" s="229" t="s">
        <v>129</v>
      </c>
      <c r="F44" s="229" t="s">
        <v>134</v>
      </c>
      <c r="G44" s="229" t="s">
        <v>1079</v>
      </c>
      <c r="H44" s="229" t="s">
        <v>131</v>
      </c>
      <c r="I44" s="230"/>
      <c r="J44" s="230">
        <v>205</v>
      </c>
      <c r="K44" s="229" t="s">
        <v>1080</v>
      </c>
      <c r="L44" s="169">
        <f>I44+J44*EERR!$D$2</f>
        <v>139807.95000000001</v>
      </c>
      <c r="M44" s="109">
        <f>L44/EERR!$D$2</f>
        <v>205.00000000000003</v>
      </c>
      <c r="N44" s="109">
        <f>SUMIF(Dic!$B$3:$B$114,A44,Dic!$V$3:$V$114)</f>
        <v>0</v>
      </c>
      <c r="O44" s="183">
        <f t="shared" si="0"/>
        <v>1</v>
      </c>
    </row>
    <row r="45" spans="1:15" x14ac:dyDescent="0.3">
      <c r="A45" s="227">
        <v>662</v>
      </c>
      <c r="B45" s="228" t="s">
        <v>1081</v>
      </c>
      <c r="C45" s="229" t="s">
        <v>258</v>
      </c>
      <c r="D45" s="229" t="s">
        <v>128</v>
      </c>
      <c r="E45" s="229" t="s">
        <v>129</v>
      </c>
      <c r="F45" s="229" t="s">
        <v>134</v>
      </c>
      <c r="G45" s="229" t="s">
        <v>1082</v>
      </c>
      <c r="H45" s="229" t="s">
        <v>131</v>
      </c>
      <c r="I45" s="230"/>
      <c r="J45" s="230">
        <v>205</v>
      </c>
      <c r="K45" s="229" t="s">
        <v>1083</v>
      </c>
      <c r="L45" s="169">
        <f>I45+J45*EERR!$D$2</f>
        <v>139807.95000000001</v>
      </c>
      <c r="M45" s="109">
        <f>L45/EERR!$D$2</f>
        <v>205.00000000000003</v>
      </c>
      <c r="N45" s="109">
        <f>SUMIF(Dic!$B$3:$B$114,A45,Dic!$V$3:$V$114)</f>
        <v>0</v>
      </c>
      <c r="O45" s="183">
        <f t="shared" si="0"/>
        <v>1</v>
      </c>
    </row>
    <row r="46" spans="1:15" x14ac:dyDescent="0.3">
      <c r="A46" s="227">
        <v>663</v>
      </c>
      <c r="B46" s="228" t="s">
        <v>1084</v>
      </c>
      <c r="C46" s="229" t="s">
        <v>258</v>
      </c>
      <c r="D46" s="229" t="s">
        <v>128</v>
      </c>
      <c r="E46" s="229" t="s">
        <v>129</v>
      </c>
      <c r="F46" s="229" t="s">
        <v>130</v>
      </c>
      <c r="G46" s="229" t="s">
        <v>1085</v>
      </c>
      <c r="H46" s="229" t="s">
        <v>131</v>
      </c>
      <c r="I46" s="230"/>
      <c r="J46" s="230">
        <v>230</v>
      </c>
      <c r="K46" s="229" t="s">
        <v>323</v>
      </c>
      <c r="L46" s="169">
        <f>I46+J46*EERR!$D$2</f>
        <v>156857.70000000001</v>
      </c>
      <c r="M46" s="109">
        <f>L46/EERR!$D$2</f>
        <v>230</v>
      </c>
      <c r="N46" s="109">
        <f>SUMIF(Dic!$B$3:$B$114,A46,Dic!$V$3:$V$114)</f>
        <v>156857.70000000001</v>
      </c>
      <c r="O46" s="183">
        <f t="shared" si="0"/>
        <v>1</v>
      </c>
    </row>
    <row r="47" spans="1:15" x14ac:dyDescent="0.3">
      <c r="A47" s="227">
        <v>664</v>
      </c>
      <c r="B47" s="228" t="s">
        <v>1086</v>
      </c>
      <c r="C47" s="229" t="s">
        <v>258</v>
      </c>
      <c r="D47" s="229" t="s">
        <v>128</v>
      </c>
      <c r="E47" s="229" t="s">
        <v>129</v>
      </c>
      <c r="F47" s="229" t="s">
        <v>130</v>
      </c>
      <c r="G47" s="229" t="s">
        <v>1087</v>
      </c>
      <c r="H47" s="229" t="s">
        <v>131</v>
      </c>
      <c r="I47" s="230"/>
      <c r="J47" s="230">
        <v>205</v>
      </c>
      <c r="K47" s="229" t="s">
        <v>1088</v>
      </c>
      <c r="L47" s="169">
        <f>I47+J47*EERR!$D$2</f>
        <v>139807.95000000001</v>
      </c>
      <c r="M47" s="109">
        <f>L47/EERR!$D$2</f>
        <v>205.00000000000003</v>
      </c>
      <c r="N47" s="109">
        <f>SUMIF(Dic!$B$3:$B$114,A47,Dic!$V$3:$V$114)</f>
        <v>0</v>
      </c>
      <c r="O47" s="183">
        <f t="shared" si="0"/>
        <v>1</v>
      </c>
    </row>
    <row r="48" spans="1:15" x14ac:dyDescent="0.3">
      <c r="A48" s="227">
        <v>665</v>
      </c>
      <c r="B48" s="228" t="s">
        <v>1089</v>
      </c>
      <c r="C48" s="229" t="s">
        <v>257</v>
      </c>
      <c r="D48" s="229" t="s">
        <v>128</v>
      </c>
      <c r="E48" s="229" t="s">
        <v>132</v>
      </c>
      <c r="F48" s="229" t="s">
        <v>134</v>
      </c>
      <c r="G48" s="229" t="s">
        <v>1090</v>
      </c>
      <c r="H48" s="229" t="s">
        <v>132</v>
      </c>
      <c r="I48" s="230">
        <v>164422</v>
      </c>
      <c r="J48" s="230"/>
      <c r="K48" s="229" t="s">
        <v>1091</v>
      </c>
      <c r="L48" s="169">
        <f>I48+J48*EERR!$D$2</f>
        <v>164422</v>
      </c>
      <c r="M48" s="109">
        <f>L48/EERR!$D$2</f>
        <v>241.09151160574203</v>
      </c>
      <c r="N48" s="109">
        <f>SUMIF(Dic!$B$3:$B$114,A48,Dic!$V$3:$V$114)</f>
        <v>0</v>
      </c>
      <c r="O48" s="183">
        <f t="shared" si="0"/>
        <v>1</v>
      </c>
    </row>
    <row r="49" spans="1:15" x14ac:dyDescent="0.3">
      <c r="A49" s="227">
        <v>666</v>
      </c>
      <c r="B49" s="228" t="s">
        <v>1092</v>
      </c>
      <c r="C49" s="229" t="s">
        <v>258</v>
      </c>
      <c r="D49" s="229" t="s">
        <v>128</v>
      </c>
      <c r="E49" s="229" t="s">
        <v>129</v>
      </c>
      <c r="F49" s="229" t="s">
        <v>134</v>
      </c>
      <c r="G49" s="229" t="s">
        <v>1093</v>
      </c>
      <c r="H49" s="229" t="s">
        <v>131</v>
      </c>
      <c r="I49" s="230"/>
      <c r="J49" s="230">
        <v>205</v>
      </c>
      <c r="K49" s="229" t="s">
        <v>1094</v>
      </c>
      <c r="L49" s="169">
        <f>I49+J49*EERR!$D$2</f>
        <v>139807.95000000001</v>
      </c>
      <c r="M49" s="109">
        <f>L49/EERR!$D$2</f>
        <v>205.00000000000003</v>
      </c>
      <c r="N49" s="109">
        <f>SUMIF(Dic!$B$3:$B$114,A49,Dic!$V$3:$V$114)</f>
        <v>0</v>
      </c>
      <c r="O49" s="183">
        <f t="shared" si="0"/>
        <v>1</v>
      </c>
    </row>
    <row r="50" spans="1:15" x14ac:dyDescent="0.3">
      <c r="A50" s="227">
        <v>667</v>
      </c>
      <c r="B50" s="228" t="s">
        <v>1095</v>
      </c>
      <c r="C50" s="229" t="s">
        <v>258</v>
      </c>
      <c r="D50" s="229" t="s">
        <v>128</v>
      </c>
      <c r="E50" s="229" t="s">
        <v>129</v>
      </c>
      <c r="F50" s="229" t="s">
        <v>134</v>
      </c>
      <c r="G50" s="229" t="s">
        <v>1096</v>
      </c>
      <c r="H50" s="229" t="s">
        <v>131</v>
      </c>
      <c r="I50" s="230"/>
      <c r="J50" s="230">
        <v>194.75</v>
      </c>
      <c r="K50" s="229" t="s">
        <v>1097</v>
      </c>
      <c r="L50" s="169">
        <f>I50+J50*EERR!$D$2</f>
        <v>132817.55249999999</v>
      </c>
      <c r="M50" s="109">
        <f>L50/EERR!$D$2</f>
        <v>194.74999999999997</v>
      </c>
      <c r="N50" s="109">
        <f>SUMIF(Dic!$B$3:$B$114,A50,Dic!$V$3:$V$114)</f>
        <v>0</v>
      </c>
      <c r="O50" s="183">
        <f t="shared" si="0"/>
        <v>1</v>
      </c>
    </row>
    <row r="51" spans="1:15" x14ac:dyDescent="0.3">
      <c r="A51" s="227">
        <v>668</v>
      </c>
      <c r="B51" s="228" t="s">
        <v>1098</v>
      </c>
      <c r="C51" s="229" t="s">
        <v>258</v>
      </c>
      <c r="D51" s="229" t="s">
        <v>128</v>
      </c>
      <c r="E51" s="229" t="s">
        <v>129</v>
      </c>
      <c r="F51" s="229" t="s">
        <v>133</v>
      </c>
      <c r="G51" s="229" t="s">
        <v>739</v>
      </c>
      <c r="H51" s="229" t="s">
        <v>131</v>
      </c>
      <c r="I51" s="230"/>
      <c r="J51" s="230">
        <v>218.5</v>
      </c>
      <c r="K51" s="229" t="s">
        <v>1099</v>
      </c>
      <c r="L51" s="169">
        <f>I51+J51*EERR!$D$2</f>
        <v>149014.815</v>
      </c>
      <c r="M51" s="109">
        <f>L51/EERR!$D$2</f>
        <v>218.5</v>
      </c>
      <c r="N51" s="109">
        <f>SUMIF(Dic!$B$3:$B$114,A51,Dic!$V$3:$V$114)</f>
        <v>149014.815</v>
      </c>
      <c r="O51" s="183">
        <f t="shared" si="0"/>
        <v>1</v>
      </c>
    </row>
    <row r="52" spans="1:15" x14ac:dyDescent="0.3">
      <c r="A52" s="227">
        <v>669</v>
      </c>
      <c r="B52" s="228" t="s">
        <v>1100</v>
      </c>
      <c r="C52" s="229" t="s">
        <v>258</v>
      </c>
      <c r="D52" s="229" t="s">
        <v>128</v>
      </c>
      <c r="E52" s="229" t="s">
        <v>129</v>
      </c>
      <c r="F52" s="229" t="s">
        <v>133</v>
      </c>
      <c r="G52" s="229" t="s">
        <v>739</v>
      </c>
      <c r="H52" s="229" t="s">
        <v>131</v>
      </c>
      <c r="I52" s="230"/>
      <c r="J52" s="230">
        <v>218.5</v>
      </c>
      <c r="K52" s="229" t="s">
        <v>1101</v>
      </c>
      <c r="L52" s="169">
        <f>I52+J52*EERR!$D$2</f>
        <v>149014.815</v>
      </c>
      <c r="M52" s="109">
        <f>L52/EERR!$D$2</f>
        <v>218.5</v>
      </c>
      <c r="N52" s="109">
        <f>SUMIF(Dic!$B$3:$B$114,A52,Dic!$V$3:$V$114)</f>
        <v>149014.815</v>
      </c>
      <c r="O52" s="183">
        <f t="shared" si="0"/>
        <v>1</v>
      </c>
    </row>
    <row r="53" spans="1:15" x14ac:dyDescent="0.3">
      <c r="A53" s="227">
        <v>670</v>
      </c>
      <c r="B53" s="228" t="s">
        <v>1102</v>
      </c>
      <c r="C53" s="229" t="s">
        <v>258</v>
      </c>
      <c r="D53" s="229" t="s">
        <v>128</v>
      </c>
      <c r="E53" s="229" t="s">
        <v>129</v>
      </c>
      <c r="F53" s="229" t="s">
        <v>134</v>
      </c>
      <c r="G53" s="229" t="s">
        <v>1103</v>
      </c>
      <c r="H53" s="229" t="s">
        <v>131</v>
      </c>
      <c r="I53" s="230"/>
      <c r="J53" s="230">
        <v>1004</v>
      </c>
      <c r="K53" s="229" t="s">
        <v>1104</v>
      </c>
      <c r="L53" s="169">
        <f>I53+J53*EERR!$D$2</f>
        <v>684717.96</v>
      </c>
      <c r="M53" s="109">
        <f>L53/EERR!$D$2</f>
        <v>1003.9999999999999</v>
      </c>
      <c r="N53" s="109">
        <f>SUMIF(Dic!$B$3:$B$114,A53,Dic!$V$3:$V$114)</f>
        <v>0</v>
      </c>
      <c r="O53" s="183">
        <f t="shared" si="0"/>
        <v>1</v>
      </c>
    </row>
    <row r="54" spans="1:15" x14ac:dyDescent="0.3">
      <c r="A54" s="227">
        <v>671</v>
      </c>
      <c r="B54" s="228" t="s">
        <v>1105</v>
      </c>
      <c r="C54" s="229" t="s">
        <v>258</v>
      </c>
      <c r="D54" s="229" t="s">
        <v>128</v>
      </c>
      <c r="E54" s="229" t="s">
        <v>129</v>
      </c>
      <c r="F54" s="229" t="s">
        <v>134</v>
      </c>
      <c r="G54" s="229" t="s">
        <v>471</v>
      </c>
      <c r="H54" s="229" t="s">
        <v>131</v>
      </c>
      <c r="I54" s="230"/>
      <c r="J54" s="230">
        <v>188.1</v>
      </c>
      <c r="K54" s="229" t="s">
        <v>1106</v>
      </c>
      <c r="L54" s="169">
        <f>I54+J54*EERR!$D$2</f>
        <v>128282.319</v>
      </c>
      <c r="M54" s="109">
        <f>L54/EERR!$D$2</f>
        <v>188.1</v>
      </c>
      <c r="N54" s="109">
        <f>SUMIF(Dic!$B$3:$B$114,A54,Dic!$V$3:$V$114)</f>
        <v>0</v>
      </c>
      <c r="O54" s="183">
        <f t="shared" si="0"/>
        <v>1</v>
      </c>
    </row>
    <row r="55" spans="1:15" x14ac:dyDescent="0.3">
      <c r="A55" s="227">
        <v>672</v>
      </c>
      <c r="B55" s="228" t="s">
        <v>1107</v>
      </c>
      <c r="C55" s="229" t="s">
        <v>258</v>
      </c>
      <c r="D55" s="229" t="s">
        <v>128</v>
      </c>
      <c r="E55" s="229" t="s">
        <v>129</v>
      </c>
      <c r="F55" s="229" t="s">
        <v>133</v>
      </c>
      <c r="G55" s="229" t="s">
        <v>1108</v>
      </c>
      <c r="H55" s="229" t="s">
        <v>131</v>
      </c>
      <c r="I55" s="230"/>
      <c r="J55" s="230">
        <v>410</v>
      </c>
      <c r="K55" s="229" t="s">
        <v>1109</v>
      </c>
      <c r="L55" s="169">
        <f>I55+J55*EERR!$D$2</f>
        <v>279615.90000000002</v>
      </c>
      <c r="M55" s="109">
        <f>L55/EERR!$D$2</f>
        <v>410.00000000000006</v>
      </c>
      <c r="N55" s="109">
        <f>SUMIF(Dic!$B$3:$B$114,A55,Dic!$V$3:$V$114)</f>
        <v>2271026.7000000002</v>
      </c>
      <c r="O55" s="183">
        <f t="shared" si="0"/>
        <v>1</v>
      </c>
    </row>
    <row r="56" spans="1:15" x14ac:dyDescent="0.3">
      <c r="A56" s="227">
        <v>673</v>
      </c>
      <c r="B56" s="228" t="s">
        <v>1110</v>
      </c>
      <c r="C56" s="229" t="s">
        <v>258</v>
      </c>
      <c r="D56" s="229" t="s">
        <v>128</v>
      </c>
      <c r="E56" s="229" t="s">
        <v>129</v>
      </c>
      <c r="F56" s="229" t="s">
        <v>130</v>
      </c>
      <c r="G56" s="229" t="s">
        <v>1029</v>
      </c>
      <c r="H56" s="229" t="s">
        <v>131</v>
      </c>
      <c r="I56" s="230"/>
      <c r="J56" s="230">
        <v>601</v>
      </c>
      <c r="K56" s="229" t="s">
        <v>307</v>
      </c>
      <c r="L56" s="169">
        <f>I56+J56*EERR!$D$2</f>
        <v>409875.99</v>
      </c>
      <c r="M56" s="109">
        <f>L56/EERR!$D$2</f>
        <v>601</v>
      </c>
      <c r="N56" s="109">
        <f>SUMIF(Dic!$B$3:$B$114,A56,Dic!$V$3:$V$114)</f>
        <v>0</v>
      </c>
      <c r="O56" s="183">
        <f t="shared" si="0"/>
        <v>1</v>
      </c>
    </row>
    <row r="57" spans="1:15" x14ac:dyDescent="0.3">
      <c r="A57" s="227">
        <v>674</v>
      </c>
      <c r="B57" s="228" t="s">
        <v>1111</v>
      </c>
      <c r="C57" s="229" t="s">
        <v>258</v>
      </c>
      <c r="D57" s="229" t="s">
        <v>128</v>
      </c>
      <c r="E57" s="229" t="s">
        <v>129</v>
      </c>
      <c r="F57" s="229" t="s">
        <v>134</v>
      </c>
      <c r="G57" s="229" t="s">
        <v>1112</v>
      </c>
      <c r="H57" s="229" t="s">
        <v>131</v>
      </c>
      <c r="I57" s="230"/>
      <c r="J57" s="230">
        <v>205</v>
      </c>
      <c r="K57" s="229" t="s">
        <v>1113</v>
      </c>
      <c r="L57" s="169">
        <f>I57+J57*EERR!$D$2</f>
        <v>139807.95000000001</v>
      </c>
      <c r="M57" s="109">
        <f>L57/EERR!$D$2</f>
        <v>205.00000000000003</v>
      </c>
      <c r="N57" s="109">
        <f>SUMIF(Dic!$B$3:$B$114,A57,Dic!$V$3:$V$114)</f>
        <v>0</v>
      </c>
      <c r="O57" s="183">
        <f t="shared" si="0"/>
        <v>1</v>
      </c>
    </row>
    <row r="58" spans="1:15" x14ac:dyDescent="0.3">
      <c r="A58" s="227">
        <v>675</v>
      </c>
      <c r="B58" s="228" t="s">
        <v>1114</v>
      </c>
      <c r="C58" s="229" t="s">
        <v>258</v>
      </c>
      <c r="D58" s="229" t="s">
        <v>128</v>
      </c>
      <c r="E58" s="229" t="s">
        <v>129</v>
      </c>
      <c r="F58" s="229" t="s">
        <v>134</v>
      </c>
      <c r="G58" s="229" t="s">
        <v>1115</v>
      </c>
      <c r="H58" s="229" t="s">
        <v>131</v>
      </c>
      <c r="I58" s="230"/>
      <c r="J58" s="230">
        <v>205</v>
      </c>
      <c r="K58" s="229" t="s">
        <v>1116</v>
      </c>
      <c r="L58" s="169">
        <f>I58+J58*EERR!$D$2</f>
        <v>139807.95000000001</v>
      </c>
      <c r="M58" s="109">
        <f>L58/EERR!$D$2</f>
        <v>205.00000000000003</v>
      </c>
      <c r="N58" s="109">
        <f>SUMIF(Dic!$B$3:$B$114,A58,Dic!$V$3:$V$114)</f>
        <v>0</v>
      </c>
      <c r="O58" s="183">
        <f t="shared" si="0"/>
        <v>1</v>
      </c>
    </row>
    <row r="59" spans="1:15" x14ac:dyDescent="0.3">
      <c r="A59" s="227">
        <v>676</v>
      </c>
      <c r="B59" s="228" t="s">
        <v>1117</v>
      </c>
      <c r="C59" s="229" t="s">
        <v>258</v>
      </c>
      <c r="D59" s="229" t="s">
        <v>128</v>
      </c>
      <c r="E59" s="229" t="s">
        <v>129</v>
      </c>
      <c r="F59" s="229" t="s">
        <v>134</v>
      </c>
      <c r="G59" s="229" t="s">
        <v>1118</v>
      </c>
      <c r="H59" s="229" t="s">
        <v>131</v>
      </c>
      <c r="I59" s="230"/>
      <c r="J59" s="230">
        <v>205</v>
      </c>
      <c r="K59" s="229" t="s">
        <v>1119</v>
      </c>
      <c r="L59" s="169">
        <f>I59+J59*EERR!$D$2</f>
        <v>139807.95000000001</v>
      </c>
      <c r="M59" s="109">
        <f>L59/EERR!$D$2</f>
        <v>205.00000000000003</v>
      </c>
      <c r="N59" s="109">
        <f>SUMIF(Dic!$B$3:$B$114,A59,Dic!$V$3:$V$114)</f>
        <v>0</v>
      </c>
      <c r="O59" s="183">
        <f t="shared" si="0"/>
        <v>1</v>
      </c>
    </row>
    <row r="60" spans="1:15" x14ac:dyDescent="0.3">
      <c r="A60" s="227">
        <v>677</v>
      </c>
      <c r="B60" s="228" t="s">
        <v>1120</v>
      </c>
      <c r="C60" s="229" t="s">
        <v>258</v>
      </c>
      <c r="D60" s="229" t="s">
        <v>128</v>
      </c>
      <c r="E60" s="229" t="s">
        <v>129</v>
      </c>
      <c r="F60" s="229" t="s">
        <v>133</v>
      </c>
      <c r="G60" s="229" t="s">
        <v>1121</v>
      </c>
      <c r="H60" s="229" t="s">
        <v>131</v>
      </c>
      <c r="I60" s="230"/>
      <c r="J60" s="230">
        <v>205</v>
      </c>
      <c r="K60" s="229" t="s">
        <v>1122</v>
      </c>
      <c r="L60" s="169">
        <f>I60+J60*EERR!$D$2</f>
        <v>139807.95000000001</v>
      </c>
      <c r="M60" s="109">
        <f>L60/EERR!$D$2</f>
        <v>205.00000000000003</v>
      </c>
      <c r="N60" s="109">
        <f>SUMIF(Dic!$B$3:$B$114,A60,Dic!$V$3:$V$114)</f>
        <v>0</v>
      </c>
      <c r="O60" s="183">
        <f t="shared" si="0"/>
        <v>1</v>
      </c>
    </row>
    <row r="61" spans="1:15" x14ac:dyDescent="0.3">
      <c r="A61" s="227">
        <v>678</v>
      </c>
      <c r="B61" s="228" t="s">
        <v>1123</v>
      </c>
      <c r="C61" s="229" t="s">
        <v>258</v>
      </c>
      <c r="D61" s="229" t="s">
        <v>128</v>
      </c>
      <c r="E61" s="229" t="s">
        <v>129</v>
      </c>
      <c r="F61" s="229" t="s">
        <v>133</v>
      </c>
      <c r="G61" s="229" t="s">
        <v>1121</v>
      </c>
      <c r="H61" s="229" t="s">
        <v>131</v>
      </c>
      <c r="I61" s="230"/>
      <c r="J61" s="230">
        <v>205</v>
      </c>
      <c r="K61" s="229" t="s">
        <v>1124</v>
      </c>
      <c r="L61" s="169">
        <f>I61+J61*EERR!$D$2</f>
        <v>139807.95000000001</v>
      </c>
      <c r="M61" s="109">
        <f>L61/EERR!$D$2</f>
        <v>205.00000000000003</v>
      </c>
      <c r="N61" s="109">
        <f>SUMIF(Dic!$B$3:$B$114,A61,Dic!$V$3:$V$114)</f>
        <v>0</v>
      </c>
      <c r="O61" s="183">
        <f t="shared" si="0"/>
        <v>1</v>
      </c>
    </row>
    <row r="62" spans="1:15" x14ac:dyDescent="0.3">
      <c r="A62" s="227">
        <v>679</v>
      </c>
      <c r="B62" s="228" t="s">
        <v>1125</v>
      </c>
      <c r="C62" s="229" t="s">
        <v>258</v>
      </c>
      <c r="D62" s="229" t="s">
        <v>128</v>
      </c>
      <c r="E62" s="229" t="s">
        <v>129</v>
      </c>
      <c r="F62" s="229" t="s">
        <v>133</v>
      </c>
      <c r="G62" s="229" t="s">
        <v>1126</v>
      </c>
      <c r="H62" s="229" t="s">
        <v>131</v>
      </c>
      <c r="I62" s="230"/>
      <c r="J62" s="230">
        <v>410</v>
      </c>
      <c r="K62" s="229" t="s">
        <v>1127</v>
      </c>
      <c r="L62" s="169">
        <f>I62+J62*EERR!$D$2</f>
        <v>279615.90000000002</v>
      </c>
      <c r="M62" s="109">
        <f>L62/EERR!$D$2</f>
        <v>410.00000000000006</v>
      </c>
      <c r="N62" s="109">
        <f>SUMIF(Dic!$B$3:$B$114,A62,Dic!$V$3:$V$114)</f>
        <v>0</v>
      </c>
      <c r="O62" s="183">
        <f t="shared" si="0"/>
        <v>1</v>
      </c>
    </row>
    <row r="63" spans="1:15" x14ac:dyDescent="0.3">
      <c r="A63" s="227">
        <v>680</v>
      </c>
      <c r="B63" s="228" t="s">
        <v>1128</v>
      </c>
      <c r="C63" s="229" t="s">
        <v>258</v>
      </c>
      <c r="D63" s="229" t="s">
        <v>128</v>
      </c>
      <c r="E63" s="229" t="s">
        <v>129</v>
      </c>
      <c r="F63" s="229" t="s">
        <v>134</v>
      </c>
      <c r="G63" s="229" t="s">
        <v>601</v>
      </c>
      <c r="H63" s="229" t="s">
        <v>131</v>
      </c>
      <c r="I63" s="230"/>
      <c r="J63" s="230">
        <v>205</v>
      </c>
      <c r="K63" s="229" t="s">
        <v>1129</v>
      </c>
      <c r="L63" s="169">
        <f>I63+J63*EERR!$D$2</f>
        <v>139807.95000000001</v>
      </c>
      <c r="M63" s="109">
        <f>L63/EERR!$D$2</f>
        <v>205.00000000000003</v>
      </c>
      <c r="N63" s="109">
        <f>SUMIF(Dic!$B$3:$B$114,A63,Dic!$V$3:$V$114)</f>
        <v>0</v>
      </c>
      <c r="O63" s="183">
        <f t="shared" si="0"/>
        <v>1</v>
      </c>
    </row>
    <row r="64" spans="1:15" x14ac:dyDescent="0.3">
      <c r="A64" s="227">
        <v>681</v>
      </c>
      <c r="B64" s="228" t="s">
        <v>1130</v>
      </c>
      <c r="C64" s="229" t="s">
        <v>258</v>
      </c>
      <c r="D64" s="229" t="s">
        <v>128</v>
      </c>
      <c r="E64" s="229" t="s">
        <v>129</v>
      </c>
      <c r="F64" s="229" t="s">
        <v>133</v>
      </c>
      <c r="G64" s="229" t="s">
        <v>1131</v>
      </c>
      <c r="H64" s="229" t="s">
        <v>131</v>
      </c>
      <c r="I64" s="230"/>
      <c r="J64" s="230">
        <v>205</v>
      </c>
      <c r="K64" s="229" t="s">
        <v>1132</v>
      </c>
      <c r="L64" s="169">
        <f>I64+J64*EERR!$D$2</f>
        <v>139807.95000000001</v>
      </c>
      <c r="M64" s="109">
        <f>L64/EERR!$D$2</f>
        <v>205.00000000000003</v>
      </c>
      <c r="N64" s="109">
        <f>SUMIF(Dic!$B$3:$B$114,A64,Dic!$V$3:$V$114)</f>
        <v>0</v>
      </c>
      <c r="O64" s="183">
        <f t="shared" si="0"/>
        <v>1</v>
      </c>
    </row>
    <row r="65" spans="1:15" x14ac:dyDescent="0.3">
      <c r="A65" s="227">
        <v>682</v>
      </c>
      <c r="B65" s="228" t="s">
        <v>1133</v>
      </c>
      <c r="C65" s="229" t="s">
        <v>257</v>
      </c>
      <c r="D65" s="229" t="s">
        <v>128</v>
      </c>
      <c r="E65" s="229" t="s">
        <v>132</v>
      </c>
      <c r="F65" s="229" t="s">
        <v>133</v>
      </c>
      <c r="G65" s="229" t="s">
        <v>1134</v>
      </c>
      <c r="H65" s="229" t="s">
        <v>132</v>
      </c>
      <c r="I65" s="230">
        <v>166130</v>
      </c>
      <c r="J65" s="230"/>
      <c r="K65" s="229" t="s">
        <v>1135</v>
      </c>
      <c r="L65" s="169">
        <f>I65+J65*EERR!$D$2</f>
        <v>166130</v>
      </c>
      <c r="M65" s="109">
        <f>L65/EERR!$D$2</f>
        <v>243.59594715465036</v>
      </c>
      <c r="N65" s="109">
        <f>SUMIF(Dic!$B$3:$B$114,A65,Dic!$V$3:$V$114)</f>
        <v>0</v>
      </c>
      <c r="O65" s="183">
        <f t="shared" si="0"/>
        <v>1</v>
      </c>
    </row>
    <row r="66" spans="1:15" x14ac:dyDescent="0.3">
      <c r="A66" s="227">
        <v>683</v>
      </c>
      <c r="B66" s="228" t="s">
        <v>1136</v>
      </c>
      <c r="C66" s="229" t="s">
        <v>258</v>
      </c>
      <c r="D66" s="229" t="s">
        <v>128</v>
      </c>
      <c r="E66" s="229" t="s">
        <v>129</v>
      </c>
      <c r="F66" s="229" t="s">
        <v>134</v>
      </c>
      <c r="G66" s="229" t="s">
        <v>1082</v>
      </c>
      <c r="H66" s="229" t="s">
        <v>131</v>
      </c>
      <c r="I66" s="230"/>
      <c r="J66" s="230">
        <v>205</v>
      </c>
      <c r="K66" s="229" t="s">
        <v>1137</v>
      </c>
      <c r="L66" s="169">
        <f>I66+J66*EERR!$D$2</f>
        <v>139807.95000000001</v>
      </c>
      <c r="M66" s="109">
        <f>L66/EERR!$D$2</f>
        <v>205.00000000000003</v>
      </c>
      <c r="N66" s="109">
        <f>SUMIF(Dic!$B$3:$B$114,A66,Dic!$V$3:$V$114)</f>
        <v>0</v>
      </c>
      <c r="O66" s="183">
        <f t="shared" si="0"/>
        <v>1</v>
      </c>
    </row>
    <row r="67" spans="1:15" x14ac:dyDescent="0.3">
      <c r="A67" s="227">
        <v>684</v>
      </c>
      <c r="B67" s="228" t="s">
        <v>1138</v>
      </c>
      <c r="C67" s="229" t="s">
        <v>258</v>
      </c>
      <c r="D67" s="229" t="s">
        <v>128</v>
      </c>
      <c r="E67" s="229" t="s">
        <v>129</v>
      </c>
      <c r="F67" s="229" t="s">
        <v>134</v>
      </c>
      <c r="G67" s="229" t="s">
        <v>1141</v>
      </c>
      <c r="H67" s="229" t="s">
        <v>131</v>
      </c>
      <c r="I67" s="230"/>
      <c r="J67" s="230">
        <v>205</v>
      </c>
      <c r="K67" s="229" t="s">
        <v>1142</v>
      </c>
      <c r="L67" s="169">
        <f>I67+J67*EERR!$D$2</f>
        <v>139807.95000000001</v>
      </c>
      <c r="M67" s="109">
        <f>L67/EERR!$D$2</f>
        <v>205.00000000000003</v>
      </c>
      <c r="N67" s="109">
        <f>SUMIF(Dic!$B$3:$B$114,A67,Dic!$V$3:$V$114)</f>
        <v>0</v>
      </c>
      <c r="O67" s="183">
        <f t="shared" si="0"/>
        <v>1</v>
      </c>
    </row>
    <row r="68" spans="1:15" x14ac:dyDescent="0.3">
      <c r="A68" s="227">
        <v>685</v>
      </c>
      <c r="B68" s="228" t="s">
        <v>1138</v>
      </c>
      <c r="C68" s="229" t="s">
        <v>258</v>
      </c>
      <c r="D68" s="229" t="s">
        <v>128</v>
      </c>
      <c r="E68" s="229" t="s">
        <v>129</v>
      </c>
      <c r="F68" s="229" t="s">
        <v>134</v>
      </c>
      <c r="G68" s="229" t="s">
        <v>1139</v>
      </c>
      <c r="H68" s="229" t="s">
        <v>131</v>
      </c>
      <c r="I68" s="230"/>
      <c r="J68" s="230">
        <v>205</v>
      </c>
      <c r="K68" s="229" t="s">
        <v>1140</v>
      </c>
      <c r="L68" s="169">
        <f>I68+J68*EERR!$D$2</f>
        <v>139807.95000000001</v>
      </c>
      <c r="M68" s="109">
        <f>L68/EERR!$D$2</f>
        <v>205.00000000000003</v>
      </c>
      <c r="N68" s="109">
        <f>SUMIF(Dic!$B$3:$B$114,A68,Dic!$V$3:$V$114)</f>
        <v>0</v>
      </c>
      <c r="O68" s="183">
        <f t="shared" ref="O68:O131" si="1">+A68-A67</f>
        <v>1</v>
      </c>
    </row>
    <row r="69" spans="1:15" x14ac:dyDescent="0.3">
      <c r="A69" s="227">
        <v>686</v>
      </c>
      <c r="B69" s="228" t="s">
        <v>1143</v>
      </c>
      <c r="C69" s="229" t="s">
        <v>258</v>
      </c>
      <c r="D69" s="229" t="s">
        <v>128</v>
      </c>
      <c r="E69" s="229" t="s">
        <v>129</v>
      </c>
      <c r="F69" s="229" t="s">
        <v>133</v>
      </c>
      <c r="G69" s="229" t="s">
        <v>1144</v>
      </c>
      <c r="H69" s="229" t="s">
        <v>131</v>
      </c>
      <c r="I69" s="230"/>
      <c r="J69" s="230">
        <v>205</v>
      </c>
      <c r="K69" s="229" t="s">
        <v>1145</v>
      </c>
      <c r="L69" s="169">
        <f>I69+J69*EERR!$D$2</f>
        <v>139807.95000000001</v>
      </c>
      <c r="M69" s="109">
        <f>L69/EERR!$D$2</f>
        <v>205.00000000000003</v>
      </c>
      <c r="N69" s="109">
        <f>SUMIF(Dic!$B$3:$B$114,A69,Dic!$V$3:$V$114)</f>
        <v>0</v>
      </c>
      <c r="O69" s="183">
        <f t="shared" si="1"/>
        <v>1</v>
      </c>
    </row>
    <row r="70" spans="1:15" x14ac:dyDescent="0.3">
      <c r="A70" s="227">
        <v>687</v>
      </c>
      <c r="B70" s="228" t="s">
        <v>1146</v>
      </c>
      <c r="C70" s="229" t="s">
        <v>257</v>
      </c>
      <c r="D70" s="229" t="s">
        <v>128</v>
      </c>
      <c r="E70" s="229" t="s">
        <v>132</v>
      </c>
      <c r="F70" s="229" t="s">
        <v>134</v>
      </c>
      <c r="G70" s="229" t="s">
        <v>1147</v>
      </c>
      <c r="H70" s="229" t="s">
        <v>132</v>
      </c>
      <c r="I70" s="230">
        <v>157823</v>
      </c>
      <c r="J70" s="230"/>
      <c r="K70" s="229" t="s">
        <v>1104</v>
      </c>
      <c r="L70" s="169">
        <f>I70+J70*EERR!$D$2</f>
        <v>157823</v>
      </c>
      <c r="M70" s="109">
        <f>L70/EERR!$D$2</f>
        <v>231.41541664833795</v>
      </c>
      <c r="N70" s="109">
        <f>SUMIF(Dic!$B$3:$B$114,A70,Dic!$V$3:$V$114)</f>
        <v>0</v>
      </c>
      <c r="O70" s="183">
        <f t="shared" si="1"/>
        <v>1</v>
      </c>
    </row>
    <row r="71" spans="1:15" x14ac:dyDescent="0.3">
      <c r="A71" s="227">
        <v>688</v>
      </c>
      <c r="B71" s="228" t="s">
        <v>1148</v>
      </c>
      <c r="C71" s="229" t="s">
        <v>258</v>
      </c>
      <c r="D71" s="229" t="s">
        <v>128</v>
      </c>
      <c r="E71" s="229" t="s">
        <v>129</v>
      </c>
      <c r="F71" s="229" t="s">
        <v>134</v>
      </c>
      <c r="G71" s="229" t="s">
        <v>1149</v>
      </c>
      <c r="H71" s="229" t="s">
        <v>131</v>
      </c>
      <c r="I71" s="230"/>
      <c r="J71" s="230">
        <v>194.75</v>
      </c>
      <c r="K71" s="229" t="s">
        <v>1150</v>
      </c>
      <c r="L71" s="169">
        <f>I71+J71*EERR!$D$2</f>
        <v>132817.55249999999</v>
      </c>
      <c r="M71" s="109">
        <f>L71/EERR!$D$2</f>
        <v>194.74999999999997</v>
      </c>
      <c r="N71" s="109">
        <f>SUMIF(Dic!$B$3:$B$114,A71,Dic!$V$3:$V$114)</f>
        <v>0</v>
      </c>
      <c r="O71" s="183">
        <f t="shared" si="1"/>
        <v>1</v>
      </c>
    </row>
    <row r="72" spans="1:15" x14ac:dyDescent="0.3">
      <c r="A72" s="227">
        <v>689</v>
      </c>
      <c r="B72" s="228" t="s">
        <v>1151</v>
      </c>
      <c r="C72" s="229" t="s">
        <v>258</v>
      </c>
      <c r="D72" s="229" t="s">
        <v>128</v>
      </c>
      <c r="E72" s="229" t="s">
        <v>129</v>
      </c>
      <c r="F72" s="229" t="s">
        <v>133</v>
      </c>
      <c r="G72" s="229" t="s">
        <v>558</v>
      </c>
      <c r="H72" s="229" t="s">
        <v>131</v>
      </c>
      <c r="I72" s="230"/>
      <c r="J72" s="230">
        <v>615</v>
      </c>
      <c r="K72" s="229" t="s">
        <v>1152</v>
      </c>
      <c r="L72" s="169">
        <f>I72+J72*EERR!$D$2</f>
        <v>419423.85</v>
      </c>
      <c r="M72" s="109">
        <f>L72/EERR!$D$2</f>
        <v>615</v>
      </c>
      <c r="N72" s="109">
        <f>SUMIF(Dic!$B$3:$B$114,A72,Dic!$V$3:$V$114)</f>
        <v>0</v>
      </c>
      <c r="O72" s="183">
        <f t="shared" si="1"/>
        <v>1</v>
      </c>
    </row>
    <row r="73" spans="1:15" x14ac:dyDescent="0.3">
      <c r="A73" s="227">
        <v>690</v>
      </c>
      <c r="B73" s="228" t="s">
        <v>1153</v>
      </c>
      <c r="C73" s="229" t="s">
        <v>258</v>
      </c>
      <c r="D73" s="229" t="s">
        <v>128</v>
      </c>
      <c r="E73" s="229" t="s">
        <v>129</v>
      </c>
      <c r="F73" s="229" t="s">
        <v>134</v>
      </c>
      <c r="G73" s="229" t="s">
        <v>1149</v>
      </c>
      <c r="H73" s="229" t="s">
        <v>131</v>
      </c>
      <c r="I73" s="230"/>
      <c r="J73" s="230">
        <v>194.75</v>
      </c>
      <c r="K73" s="229" t="s">
        <v>1154</v>
      </c>
      <c r="L73" s="169">
        <f>I73+J73*EERR!$D$2</f>
        <v>132817.55249999999</v>
      </c>
      <c r="M73" s="109">
        <f>L73/EERR!$D$2</f>
        <v>194.74999999999997</v>
      </c>
      <c r="N73" s="109">
        <f>SUMIF(Dic!$B$3:$B$114,A73,Dic!$V$3:$V$114)</f>
        <v>0</v>
      </c>
      <c r="O73" s="183">
        <f t="shared" si="1"/>
        <v>1</v>
      </c>
    </row>
    <row r="74" spans="1:15" x14ac:dyDescent="0.3">
      <c r="A74" s="227">
        <v>691</v>
      </c>
      <c r="B74" s="228" t="s">
        <v>1155</v>
      </c>
      <c r="C74" s="229" t="s">
        <v>258</v>
      </c>
      <c r="D74" s="229" t="s">
        <v>128</v>
      </c>
      <c r="E74" s="229" t="s">
        <v>129</v>
      </c>
      <c r="F74" s="229" t="s">
        <v>133</v>
      </c>
      <c r="G74" s="229" t="s">
        <v>572</v>
      </c>
      <c r="H74" s="229" t="s">
        <v>131</v>
      </c>
      <c r="I74" s="230"/>
      <c r="J74" s="230">
        <v>2050</v>
      </c>
      <c r="K74" s="229" t="s">
        <v>1156</v>
      </c>
      <c r="L74" s="169">
        <f>I74+J74*EERR!$D$2</f>
        <v>1398079.5</v>
      </c>
      <c r="M74" s="109">
        <f>L74/EERR!$D$2</f>
        <v>2050</v>
      </c>
      <c r="N74" s="109">
        <f>SUMIF(Dic!$B$3:$B$114,A74,Dic!$V$3:$V$114)</f>
        <v>0</v>
      </c>
      <c r="O74" s="183">
        <f t="shared" si="1"/>
        <v>1</v>
      </c>
    </row>
    <row r="75" spans="1:15" x14ac:dyDescent="0.3">
      <c r="A75" s="227">
        <v>692</v>
      </c>
      <c r="B75" s="228" t="s">
        <v>1157</v>
      </c>
      <c r="C75" s="229" t="s">
        <v>257</v>
      </c>
      <c r="D75" s="229" t="s">
        <v>128</v>
      </c>
      <c r="E75" s="229" t="s">
        <v>132</v>
      </c>
      <c r="F75" s="229" t="s">
        <v>134</v>
      </c>
      <c r="G75" s="229" t="s">
        <v>1158</v>
      </c>
      <c r="H75" s="229" t="s">
        <v>132</v>
      </c>
      <c r="I75" s="230">
        <v>6000</v>
      </c>
      <c r="J75" s="230"/>
      <c r="K75" s="229" t="s">
        <v>1159</v>
      </c>
      <c r="L75" s="169">
        <f>I75+J75*EERR!$D$2</f>
        <v>6000</v>
      </c>
      <c r="M75" s="109">
        <f>L75/EERR!$D$2</f>
        <v>8.797782958694409</v>
      </c>
      <c r="N75" s="109">
        <f>SUMIF(Dic!$B$3:$B$114,A75,Dic!$V$3:$V$114)</f>
        <v>0</v>
      </c>
      <c r="O75" s="183">
        <f t="shared" si="1"/>
        <v>1</v>
      </c>
    </row>
    <row r="76" spans="1:15" x14ac:dyDescent="0.3">
      <c r="A76" s="227">
        <v>693</v>
      </c>
      <c r="B76" s="228" t="s">
        <v>1160</v>
      </c>
      <c r="C76" s="229" t="s">
        <v>258</v>
      </c>
      <c r="D76" s="229" t="s">
        <v>128</v>
      </c>
      <c r="E76" s="229" t="s">
        <v>129</v>
      </c>
      <c r="F76" s="229" t="s">
        <v>133</v>
      </c>
      <c r="G76" s="229" t="s">
        <v>1161</v>
      </c>
      <c r="H76" s="229" t="s">
        <v>131</v>
      </c>
      <c r="I76" s="230"/>
      <c r="J76" s="230">
        <v>779</v>
      </c>
      <c r="K76" s="229" t="s">
        <v>1162</v>
      </c>
      <c r="L76" s="169">
        <f>I76+J76*EERR!$D$2</f>
        <v>531270.21</v>
      </c>
      <c r="M76" s="109">
        <f>L76/EERR!$D$2</f>
        <v>778.99999999999989</v>
      </c>
      <c r="N76" s="109">
        <f>SUMIF(Dic!$B$3:$B$114,A76,Dic!$V$3:$V$114)</f>
        <v>0</v>
      </c>
      <c r="O76" s="183">
        <f t="shared" si="1"/>
        <v>1</v>
      </c>
    </row>
    <row r="77" spans="1:15" x14ac:dyDescent="0.3">
      <c r="A77" s="227">
        <v>694</v>
      </c>
      <c r="B77" s="228" t="s">
        <v>1163</v>
      </c>
      <c r="C77" s="229" t="s">
        <v>258</v>
      </c>
      <c r="D77" s="229" t="s">
        <v>128</v>
      </c>
      <c r="E77" s="229" t="s">
        <v>129</v>
      </c>
      <c r="F77" s="229" t="s">
        <v>134</v>
      </c>
      <c r="G77" s="229" t="s">
        <v>575</v>
      </c>
      <c r="H77" s="229" t="s">
        <v>131</v>
      </c>
      <c r="I77" s="230"/>
      <c r="J77" s="230">
        <v>615</v>
      </c>
      <c r="K77" s="229" t="s">
        <v>1164</v>
      </c>
      <c r="L77" s="169">
        <f>I77+J77*EERR!$D$2</f>
        <v>419423.85</v>
      </c>
      <c r="M77" s="109">
        <f>L77/EERR!$D$2</f>
        <v>615</v>
      </c>
      <c r="N77" s="109">
        <f>SUMIF(Dic!$B$3:$B$114,A77,Dic!$V$3:$V$114)</f>
        <v>559231.80000000005</v>
      </c>
      <c r="O77" s="183">
        <f t="shared" si="1"/>
        <v>1</v>
      </c>
    </row>
    <row r="78" spans="1:15" x14ac:dyDescent="0.3">
      <c r="A78" s="227">
        <v>695</v>
      </c>
      <c r="B78" s="228" t="s">
        <v>1165</v>
      </c>
      <c r="C78" s="229" t="s">
        <v>258</v>
      </c>
      <c r="D78" s="229" t="s">
        <v>128</v>
      </c>
      <c r="E78" s="229" t="s">
        <v>129</v>
      </c>
      <c r="F78" s="229" t="s">
        <v>134</v>
      </c>
      <c r="G78" s="229" t="s">
        <v>1166</v>
      </c>
      <c r="H78" s="229" t="s">
        <v>131</v>
      </c>
      <c r="I78" s="230"/>
      <c r="J78" s="230">
        <v>205</v>
      </c>
      <c r="K78" s="229" t="s">
        <v>1167</v>
      </c>
      <c r="L78" s="169">
        <f>I78+J78*EERR!$D$2</f>
        <v>139807.95000000001</v>
      </c>
      <c r="M78" s="109">
        <f>L78/EERR!$D$2</f>
        <v>205.00000000000003</v>
      </c>
      <c r="N78" s="109">
        <f>SUMIF(Dic!$B$3:$B$114,A78,Dic!$V$3:$V$114)</f>
        <v>0</v>
      </c>
      <c r="O78" s="183">
        <f t="shared" si="1"/>
        <v>1</v>
      </c>
    </row>
    <row r="79" spans="1:15" x14ac:dyDescent="0.3">
      <c r="A79" s="227">
        <v>696</v>
      </c>
      <c r="B79" s="228" t="s">
        <v>1168</v>
      </c>
      <c r="C79" s="229" t="s">
        <v>258</v>
      </c>
      <c r="D79" s="229" t="s">
        <v>128</v>
      </c>
      <c r="E79" s="229" t="s">
        <v>129</v>
      </c>
      <c r="F79" s="229" t="s">
        <v>134</v>
      </c>
      <c r="G79" s="229" t="s">
        <v>608</v>
      </c>
      <c r="H79" s="229" t="s">
        <v>131</v>
      </c>
      <c r="I79" s="230"/>
      <c r="J79" s="230">
        <v>845</v>
      </c>
      <c r="K79" s="229" t="s">
        <v>1169</v>
      </c>
      <c r="L79" s="169">
        <f>I79+J79*EERR!$D$2</f>
        <v>576281.55000000005</v>
      </c>
      <c r="M79" s="109">
        <f>L79/EERR!$D$2</f>
        <v>845.00000000000011</v>
      </c>
      <c r="N79" s="109">
        <f>SUMIF(Dic!$B$3:$B$114,A79,Dic!$V$3:$V$114)</f>
        <v>0</v>
      </c>
      <c r="O79" s="183">
        <f t="shared" si="1"/>
        <v>1</v>
      </c>
    </row>
    <row r="80" spans="1:15" x14ac:dyDescent="0.3">
      <c r="A80" s="227">
        <v>697</v>
      </c>
      <c r="B80" s="228" t="s">
        <v>1170</v>
      </c>
      <c r="C80" s="229" t="s">
        <v>257</v>
      </c>
      <c r="D80" s="229" t="s">
        <v>128</v>
      </c>
      <c r="E80" s="229" t="s">
        <v>132</v>
      </c>
      <c r="F80" s="229" t="s">
        <v>428</v>
      </c>
      <c r="G80" s="229" t="s">
        <v>1171</v>
      </c>
      <c r="H80" s="229" t="s">
        <v>430</v>
      </c>
      <c r="I80" s="230">
        <v>159677</v>
      </c>
      <c r="J80" s="230"/>
      <c r="K80" s="229" t="s">
        <v>1172</v>
      </c>
      <c r="L80" s="169">
        <f>I80+J80*EERR!$D$2</f>
        <v>159677</v>
      </c>
      <c r="M80" s="109">
        <f>L80/EERR!$D$2</f>
        <v>234.13393158257452</v>
      </c>
      <c r="N80" s="109">
        <f>SUMIF(Dic!$B$3:$B$114,A80,Dic!$V$3:$V$114)</f>
        <v>0</v>
      </c>
      <c r="O80" s="183">
        <f t="shared" si="1"/>
        <v>1</v>
      </c>
    </row>
    <row r="81" spans="1:17" x14ac:dyDescent="0.3">
      <c r="A81" s="227">
        <v>698</v>
      </c>
      <c r="B81" s="228" t="s">
        <v>1173</v>
      </c>
      <c r="C81" s="229" t="s">
        <v>257</v>
      </c>
      <c r="D81" s="229" t="s">
        <v>128</v>
      </c>
      <c r="E81" s="229" t="s">
        <v>132</v>
      </c>
      <c r="F81" s="229" t="s">
        <v>428</v>
      </c>
      <c r="G81" s="229" t="s">
        <v>1171</v>
      </c>
      <c r="H81" s="229" t="s">
        <v>430</v>
      </c>
      <c r="I81" s="230">
        <v>6000</v>
      </c>
      <c r="J81" s="230"/>
      <c r="K81" s="229" t="s">
        <v>1174</v>
      </c>
      <c r="L81" s="169">
        <f>I81+J81*EERR!$D$2</f>
        <v>6000</v>
      </c>
      <c r="M81" s="109">
        <f>L81/EERR!$D$2</f>
        <v>8.797782958694409</v>
      </c>
      <c r="N81" s="109">
        <f>SUMIF(Dic!$B$3:$B$114,A81,Dic!$V$3:$V$114)</f>
        <v>0</v>
      </c>
      <c r="O81" s="183">
        <f t="shared" si="1"/>
        <v>1</v>
      </c>
    </row>
    <row r="82" spans="1:17" x14ac:dyDescent="0.3">
      <c r="A82" s="227">
        <v>699</v>
      </c>
      <c r="B82" s="228" t="s">
        <v>1175</v>
      </c>
      <c r="C82" s="229" t="s">
        <v>258</v>
      </c>
      <c r="D82" s="229" t="s">
        <v>128</v>
      </c>
      <c r="E82" s="229" t="s">
        <v>129</v>
      </c>
      <c r="F82" s="229" t="s">
        <v>134</v>
      </c>
      <c r="G82" s="229" t="s">
        <v>614</v>
      </c>
      <c r="H82" s="229" t="s">
        <v>131</v>
      </c>
      <c r="I82" s="230"/>
      <c r="J82" s="230">
        <v>205</v>
      </c>
      <c r="K82" s="229" t="s">
        <v>1176</v>
      </c>
      <c r="L82" s="169">
        <f>I82+J82*EERR!$D$2</f>
        <v>139807.95000000001</v>
      </c>
      <c r="M82" s="109">
        <f>L82/EERR!$D$2</f>
        <v>205.00000000000003</v>
      </c>
      <c r="N82" s="109">
        <f>SUMIF(Dic!$B$3:$B$114,A82,Dic!$V$3:$V$114)</f>
        <v>0</v>
      </c>
      <c r="O82" s="183">
        <f t="shared" si="1"/>
        <v>1</v>
      </c>
    </row>
    <row r="83" spans="1:17" x14ac:dyDescent="0.3">
      <c r="A83" s="227">
        <v>700</v>
      </c>
      <c r="B83" s="228" t="s">
        <v>1177</v>
      </c>
      <c r="C83" s="229" t="s">
        <v>258</v>
      </c>
      <c r="D83" s="229" t="s">
        <v>128</v>
      </c>
      <c r="E83" s="229" t="s">
        <v>129</v>
      </c>
      <c r="F83" s="229" t="s">
        <v>134</v>
      </c>
      <c r="G83" s="229" t="s">
        <v>1178</v>
      </c>
      <c r="H83" s="229" t="s">
        <v>131</v>
      </c>
      <c r="I83" s="230"/>
      <c r="J83" s="230">
        <v>205</v>
      </c>
      <c r="K83" s="229" t="s">
        <v>1179</v>
      </c>
      <c r="L83" s="169">
        <f>I83+J83*EERR!$D$2</f>
        <v>139807.95000000001</v>
      </c>
      <c r="M83" s="109">
        <f>L83/EERR!$D$2</f>
        <v>205.00000000000003</v>
      </c>
      <c r="N83" s="109">
        <f>SUMIF(Dic!$B$3:$B$114,A83,Dic!$V$3:$V$114)</f>
        <v>0</v>
      </c>
      <c r="O83" s="183">
        <f t="shared" si="1"/>
        <v>1</v>
      </c>
    </row>
    <row r="84" spans="1:17" x14ac:dyDescent="0.3">
      <c r="A84" s="227">
        <v>701</v>
      </c>
      <c r="B84" s="228" t="s">
        <v>1180</v>
      </c>
      <c r="C84" s="229" t="s">
        <v>258</v>
      </c>
      <c r="D84" s="229" t="s">
        <v>128</v>
      </c>
      <c r="E84" s="229" t="s">
        <v>129</v>
      </c>
      <c r="F84" s="229" t="s">
        <v>130</v>
      </c>
      <c r="G84" s="229" t="s">
        <v>1181</v>
      </c>
      <c r="H84" s="229" t="s">
        <v>131</v>
      </c>
      <c r="I84" s="230"/>
      <c r="J84" s="230">
        <v>194.75</v>
      </c>
      <c r="K84" s="229" t="s">
        <v>1182</v>
      </c>
      <c r="L84" s="169">
        <f>I84+J84*EERR!$D$2</f>
        <v>132817.55249999999</v>
      </c>
      <c r="M84" s="109">
        <f>L84/EERR!$D$2</f>
        <v>194.74999999999997</v>
      </c>
      <c r="N84" s="109">
        <f>SUMIF(Dic!$B$3:$B$114,A84,Dic!$V$3:$V$114)</f>
        <v>0</v>
      </c>
      <c r="O84" s="183">
        <f t="shared" si="1"/>
        <v>1</v>
      </c>
    </row>
    <row r="85" spans="1:17" x14ac:dyDescent="0.3">
      <c r="A85" s="227">
        <v>702</v>
      </c>
      <c r="B85" s="228" t="s">
        <v>1183</v>
      </c>
      <c r="C85" s="229" t="s">
        <v>258</v>
      </c>
      <c r="D85" s="229" t="s">
        <v>128</v>
      </c>
      <c r="E85" s="229" t="s">
        <v>129</v>
      </c>
      <c r="F85" s="229" t="s">
        <v>133</v>
      </c>
      <c r="G85" s="229" t="s">
        <v>629</v>
      </c>
      <c r="H85" s="229" t="s">
        <v>131</v>
      </c>
      <c r="I85" s="230"/>
      <c r="J85" s="230">
        <v>218.5</v>
      </c>
      <c r="K85" s="229" t="s">
        <v>1184</v>
      </c>
      <c r="L85" s="169">
        <f>I85+J85*EERR!$D$2</f>
        <v>149014.815</v>
      </c>
      <c r="M85" s="109">
        <f>L85/EERR!$D$2</f>
        <v>218.5</v>
      </c>
      <c r="N85" s="109">
        <f>SUMIF(Dic!$B$3:$B$114,A85,Dic!$V$3:$V$114)</f>
        <v>0</v>
      </c>
      <c r="O85" s="183">
        <f t="shared" si="1"/>
        <v>1</v>
      </c>
    </row>
    <row r="86" spans="1:17" x14ac:dyDescent="0.3">
      <c r="A86" s="227">
        <v>703</v>
      </c>
      <c r="B86" s="228" t="s">
        <v>1185</v>
      </c>
      <c r="C86" s="229" t="s">
        <v>258</v>
      </c>
      <c r="D86" s="229" t="s">
        <v>128</v>
      </c>
      <c r="E86" s="229" t="s">
        <v>129</v>
      </c>
      <c r="F86" s="229" t="s">
        <v>134</v>
      </c>
      <c r="G86" s="229" t="s">
        <v>645</v>
      </c>
      <c r="H86" s="229" t="s">
        <v>131</v>
      </c>
      <c r="I86" s="230"/>
      <c r="J86" s="230">
        <v>437</v>
      </c>
      <c r="K86" s="229" t="s">
        <v>1186</v>
      </c>
      <c r="L86" s="169">
        <f>I86+J86*EERR!$D$2</f>
        <v>298029.63</v>
      </c>
      <c r="M86" s="109">
        <f>L86/EERR!$D$2</f>
        <v>437</v>
      </c>
      <c r="N86" s="109">
        <f>SUMIF(Dic!$B$3:$B$114,A86,Dic!$V$3:$V$114)</f>
        <v>0</v>
      </c>
      <c r="O86" s="183">
        <f t="shared" si="1"/>
        <v>1</v>
      </c>
    </row>
    <row r="87" spans="1:17" x14ac:dyDescent="0.3">
      <c r="A87" s="227">
        <v>704</v>
      </c>
      <c r="B87" s="228" t="s">
        <v>1187</v>
      </c>
      <c r="C87" s="229" t="s">
        <v>258</v>
      </c>
      <c r="D87" s="229" t="s">
        <v>128</v>
      </c>
      <c r="E87" s="229" t="s">
        <v>129</v>
      </c>
      <c r="F87" s="229" t="s">
        <v>134</v>
      </c>
      <c r="G87" s="229" t="s">
        <v>648</v>
      </c>
      <c r="H87" s="229" t="s">
        <v>131</v>
      </c>
      <c r="I87" s="230"/>
      <c r="J87" s="230">
        <v>460</v>
      </c>
      <c r="K87" s="229" t="s">
        <v>1188</v>
      </c>
      <c r="L87" s="169">
        <f>I87+J87*EERR!$D$2</f>
        <v>313715.40000000002</v>
      </c>
      <c r="M87" s="109">
        <f>L87/EERR!$D$2</f>
        <v>460</v>
      </c>
      <c r="N87" s="109">
        <f>SUMIF(Dic!$B$3:$B$114,A87,Dic!$V$3:$V$114)</f>
        <v>0</v>
      </c>
      <c r="O87" s="183">
        <f t="shared" si="1"/>
        <v>1</v>
      </c>
    </row>
    <row r="88" spans="1:17" x14ac:dyDescent="0.3">
      <c r="A88" s="227">
        <v>705</v>
      </c>
      <c r="B88" s="228">
        <v>43455.765972222223</v>
      </c>
      <c r="C88" s="229" t="s">
        <v>258</v>
      </c>
      <c r="D88" s="229" t="s">
        <v>128</v>
      </c>
      <c r="E88" s="229" t="s">
        <v>129</v>
      </c>
      <c r="F88" s="229" t="s">
        <v>134</v>
      </c>
      <c r="G88" s="229" t="s">
        <v>674</v>
      </c>
      <c r="H88" s="229" t="s">
        <v>131</v>
      </c>
      <c r="I88" s="230"/>
      <c r="J88" s="230">
        <v>1150</v>
      </c>
      <c r="K88" s="229" t="s">
        <v>1189</v>
      </c>
      <c r="L88" s="169">
        <f>I88+J88*EERR!$D$2</f>
        <v>784288.5</v>
      </c>
      <c r="M88" s="109">
        <f>L88/EERR!$D$2</f>
        <v>1150</v>
      </c>
      <c r="N88" s="109">
        <f>SUMIF(Dic!$B$3:$B$114,A88,Dic!$V$3:$V$114)</f>
        <v>0</v>
      </c>
      <c r="O88" s="183">
        <f t="shared" si="1"/>
        <v>1</v>
      </c>
    </row>
    <row r="89" spans="1:17" x14ac:dyDescent="0.3">
      <c r="A89" s="227">
        <v>706</v>
      </c>
      <c r="B89" s="228" t="s">
        <v>1283</v>
      </c>
      <c r="C89" s="229" t="s">
        <v>258</v>
      </c>
      <c r="D89" s="229" t="s">
        <v>128</v>
      </c>
      <c r="E89" s="229" t="s">
        <v>129</v>
      </c>
      <c r="F89" s="229" t="s">
        <v>133</v>
      </c>
      <c r="G89" s="229" t="s">
        <v>1284</v>
      </c>
      <c r="H89" s="229" t="s">
        <v>131</v>
      </c>
      <c r="I89" s="230"/>
      <c r="J89" s="230">
        <v>230</v>
      </c>
      <c r="K89" s="229" t="s">
        <v>1285</v>
      </c>
      <c r="L89" s="169">
        <f>I89+J89*EERR!$D$2</f>
        <v>156857.70000000001</v>
      </c>
      <c r="M89" s="109">
        <f>L89/EERR!$D$2</f>
        <v>230</v>
      </c>
      <c r="N89" s="109">
        <f>SUMIF(Dic!$B$3:$B$114,A89,Dic!$V$3:$V$114)</f>
        <v>156857.70000000001</v>
      </c>
      <c r="O89" s="183">
        <f t="shared" si="1"/>
        <v>1</v>
      </c>
    </row>
    <row r="90" spans="1:17" x14ac:dyDescent="0.3">
      <c r="A90" s="227">
        <v>707</v>
      </c>
      <c r="B90" s="228" t="s">
        <v>1190</v>
      </c>
      <c r="C90" s="229" t="s">
        <v>258</v>
      </c>
      <c r="D90" s="229" t="s">
        <v>128</v>
      </c>
      <c r="E90" s="229" t="s">
        <v>129</v>
      </c>
      <c r="F90" s="229" t="s">
        <v>133</v>
      </c>
      <c r="G90" s="229" t="s">
        <v>1191</v>
      </c>
      <c r="H90" s="229" t="s">
        <v>131</v>
      </c>
      <c r="I90" s="230"/>
      <c r="J90" s="230">
        <v>230</v>
      </c>
      <c r="K90" s="229" t="s">
        <v>1192</v>
      </c>
      <c r="L90" s="169">
        <f>I90+J90*EERR!$D$2</f>
        <v>156857.70000000001</v>
      </c>
      <c r="M90" s="109">
        <f>L90/EERR!$D$2</f>
        <v>230</v>
      </c>
      <c r="N90" s="109">
        <f>SUMIF(Dic!$B$3:$B$114,A90,Dic!$V$3:$V$114)</f>
        <v>156857.70000000001</v>
      </c>
      <c r="O90" s="183">
        <f t="shared" si="1"/>
        <v>1</v>
      </c>
    </row>
    <row r="91" spans="1:17" x14ac:dyDescent="0.3">
      <c r="A91" s="227">
        <v>708</v>
      </c>
      <c r="B91" s="228" t="s">
        <v>1193</v>
      </c>
      <c r="C91" s="229" t="s">
        <v>258</v>
      </c>
      <c r="D91" s="229" t="s">
        <v>128</v>
      </c>
      <c r="E91" s="229" t="s">
        <v>129</v>
      </c>
      <c r="F91" s="229" t="s">
        <v>133</v>
      </c>
      <c r="G91" s="229" t="s">
        <v>1194</v>
      </c>
      <c r="H91" s="229" t="s">
        <v>131</v>
      </c>
      <c r="I91" s="230"/>
      <c r="J91" s="230">
        <v>205</v>
      </c>
      <c r="K91" s="229" t="s">
        <v>1195</v>
      </c>
      <c r="L91" s="169">
        <f>I91+J91*EERR!$D$2</f>
        <v>139807.95000000001</v>
      </c>
      <c r="M91" s="109">
        <f>L91/EERR!$D$2</f>
        <v>205.00000000000003</v>
      </c>
      <c r="N91" s="109">
        <f>SUMIF(Dic!$B$3:$B$114,A91,Dic!$V$3:$V$114)</f>
        <v>0</v>
      </c>
      <c r="O91" s="183">
        <f t="shared" si="1"/>
        <v>1</v>
      </c>
    </row>
    <row r="92" spans="1:17" x14ac:dyDescent="0.3">
      <c r="A92" s="227">
        <v>709</v>
      </c>
      <c r="B92" s="228" t="s">
        <v>1196</v>
      </c>
      <c r="C92" s="229" t="s">
        <v>258</v>
      </c>
      <c r="D92" s="229" t="s">
        <v>128</v>
      </c>
      <c r="E92" s="229" t="s">
        <v>129</v>
      </c>
      <c r="F92" s="229" t="s">
        <v>133</v>
      </c>
      <c r="G92" s="229" t="s">
        <v>1197</v>
      </c>
      <c r="H92" s="229" t="s">
        <v>131</v>
      </c>
      <c r="I92" s="230"/>
      <c r="J92" s="230">
        <v>205</v>
      </c>
      <c r="K92" s="229" t="s">
        <v>1198</v>
      </c>
      <c r="L92" s="169">
        <f>I92+J92*EERR!$D$2</f>
        <v>139807.95000000001</v>
      </c>
      <c r="M92" s="109">
        <f>L92/EERR!$D$2</f>
        <v>205.00000000000003</v>
      </c>
      <c r="N92" s="109">
        <f>SUMIF(Dic!$B$3:$B$114,A92,Dic!$V$3:$V$114)</f>
        <v>0</v>
      </c>
      <c r="O92" s="183">
        <f t="shared" si="1"/>
        <v>1</v>
      </c>
    </row>
    <row r="93" spans="1:17" x14ac:dyDescent="0.3">
      <c r="A93" s="227">
        <v>710</v>
      </c>
      <c r="B93" s="228" t="s">
        <v>1199</v>
      </c>
      <c r="C93" s="229" t="s">
        <v>258</v>
      </c>
      <c r="D93" s="229" t="s">
        <v>128</v>
      </c>
      <c r="E93" s="229" t="s">
        <v>129</v>
      </c>
      <c r="F93" s="229" t="s">
        <v>134</v>
      </c>
      <c r="G93" s="229" t="s">
        <v>1200</v>
      </c>
      <c r="H93" s="229" t="s">
        <v>131</v>
      </c>
      <c r="I93" s="230"/>
      <c r="J93" s="230">
        <v>205</v>
      </c>
      <c r="K93" s="229" t="s">
        <v>1201</v>
      </c>
      <c r="L93" s="169">
        <f>I93+J93*EERR!$D$2</f>
        <v>139807.95000000001</v>
      </c>
      <c r="M93" s="109">
        <f>L93/EERR!$D$2</f>
        <v>205.00000000000003</v>
      </c>
      <c r="N93" s="109">
        <f>SUMIF(Dic!$B$3:$B$114,A93,Dic!$V$3:$V$114)</f>
        <v>0</v>
      </c>
      <c r="O93" s="183">
        <f t="shared" si="1"/>
        <v>1</v>
      </c>
    </row>
    <row r="94" spans="1:17" x14ac:dyDescent="0.3">
      <c r="A94" s="227">
        <v>711</v>
      </c>
      <c r="B94" s="228" t="s">
        <v>1202</v>
      </c>
      <c r="C94" s="229" t="s">
        <v>257</v>
      </c>
      <c r="D94" s="229" t="s">
        <v>128</v>
      </c>
      <c r="E94" s="229" t="s">
        <v>132</v>
      </c>
      <c r="F94" s="229" t="s">
        <v>133</v>
      </c>
      <c r="G94" s="229" t="s">
        <v>629</v>
      </c>
      <c r="H94" s="229" t="s">
        <v>132</v>
      </c>
      <c r="I94" s="230">
        <v>13000</v>
      </c>
      <c r="J94" s="230"/>
      <c r="K94" s="229" t="s">
        <v>1203</v>
      </c>
      <c r="L94" s="169">
        <f>I94+J94*EERR!$D$2</f>
        <v>13000</v>
      </c>
      <c r="M94" s="109">
        <f>L94/EERR!$D$2</f>
        <v>19.061863077171218</v>
      </c>
      <c r="N94" s="109">
        <f>SUMIF(Dic!$B$3:$B$114,A94,Dic!$V$3:$V$114)</f>
        <v>0</v>
      </c>
      <c r="O94" s="183">
        <f t="shared" si="1"/>
        <v>1</v>
      </c>
    </row>
    <row r="95" spans="1:17" x14ac:dyDescent="0.3">
      <c r="A95" s="227">
        <v>712</v>
      </c>
      <c r="B95" s="228" t="s">
        <v>1204</v>
      </c>
      <c r="C95" s="229" t="s">
        <v>258</v>
      </c>
      <c r="D95" s="229" t="s">
        <v>128</v>
      </c>
      <c r="E95" s="229" t="s">
        <v>129</v>
      </c>
      <c r="F95" s="229" t="s">
        <v>130</v>
      </c>
      <c r="G95" s="229" t="s">
        <v>1205</v>
      </c>
      <c r="H95" s="229" t="s">
        <v>131</v>
      </c>
      <c r="I95" s="230"/>
      <c r="J95" s="230">
        <v>410</v>
      </c>
      <c r="K95" s="229" t="s">
        <v>1206</v>
      </c>
      <c r="L95" s="169">
        <f>I95+J95*EERR!$D$2</f>
        <v>279615.90000000002</v>
      </c>
      <c r="M95" s="109">
        <f>L95/EERR!$D$2</f>
        <v>410.00000000000006</v>
      </c>
      <c r="N95" s="109">
        <f>SUMIF(Dic!$B$3:$B$114,A95,Dic!$V$3:$V$114)</f>
        <v>0</v>
      </c>
      <c r="O95" s="183">
        <f t="shared" si="1"/>
        <v>1</v>
      </c>
    </row>
    <row r="96" spans="1:17" x14ac:dyDescent="0.3">
      <c r="A96" s="227">
        <v>713</v>
      </c>
      <c r="B96" s="228" t="s">
        <v>1207</v>
      </c>
      <c r="C96" s="229" t="s">
        <v>258</v>
      </c>
      <c r="D96" s="229" t="s">
        <v>128</v>
      </c>
      <c r="E96" s="229" t="s">
        <v>129</v>
      </c>
      <c r="F96" s="229" t="s">
        <v>134</v>
      </c>
      <c r="G96" s="229" t="s">
        <v>626</v>
      </c>
      <c r="H96" s="229" t="s">
        <v>131</v>
      </c>
      <c r="I96" s="230"/>
      <c r="J96" s="230">
        <v>230</v>
      </c>
      <c r="K96" s="229" t="s">
        <v>1208</v>
      </c>
      <c r="L96" s="169">
        <f>I96+J96*EERR!$D$2</f>
        <v>156857.70000000001</v>
      </c>
      <c r="M96" s="109">
        <f>L96/EERR!$D$2</f>
        <v>230</v>
      </c>
      <c r="N96" s="109">
        <f>SUMIF(Dic!$B$3:$B$114,A96,Dic!$V$3:$V$114)</f>
        <v>0</v>
      </c>
      <c r="O96" s="183">
        <f t="shared" si="1"/>
        <v>1</v>
      </c>
      <c r="Q96" s="58" t="s">
        <v>269</v>
      </c>
    </row>
    <row r="97" spans="1:18" x14ac:dyDescent="0.3">
      <c r="A97" s="227">
        <v>714</v>
      </c>
      <c r="B97" s="228" t="s">
        <v>1209</v>
      </c>
      <c r="C97" s="229" t="s">
        <v>258</v>
      </c>
      <c r="D97" s="229" t="s">
        <v>128</v>
      </c>
      <c r="E97" s="229" t="s">
        <v>129</v>
      </c>
      <c r="F97" s="229" t="s">
        <v>134</v>
      </c>
      <c r="G97" s="229" t="s">
        <v>626</v>
      </c>
      <c r="H97" s="229" t="s">
        <v>131</v>
      </c>
      <c r="I97" s="230"/>
      <c r="J97" s="230">
        <v>218.5</v>
      </c>
      <c r="K97" s="229" t="s">
        <v>1210</v>
      </c>
      <c r="L97" s="169">
        <f>I97+J97*EERR!$D$2</f>
        <v>149014.815</v>
      </c>
      <c r="M97" s="109">
        <f>L97/EERR!$D$2</f>
        <v>218.5</v>
      </c>
      <c r="N97" s="109">
        <f>SUMIF(Dic!$B$3:$B$114,A97,Dic!$V$3:$V$114)</f>
        <v>149014.815</v>
      </c>
      <c r="O97" s="183">
        <f t="shared" si="1"/>
        <v>1</v>
      </c>
    </row>
    <row r="98" spans="1:18" x14ac:dyDescent="0.3">
      <c r="A98" s="227">
        <v>715</v>
      </c>
      <c r="B98" s="228" t="s">
        <v>1211</v>
      </c>
      <c r="C98" s="229" t="s">
        <v>258</v>
      </c>
      <c r="D98" s="229" t="s">
        <v>128</v>
      </c>
      <c r="E98" s="229" t="s">
        <v>129</v>
      </c>
      <c r="F98" s="229" t="s">
        <v>134</v>
      </c>
      <c r="G98" s="229" t="s">
        <v>1212</v>
      </c>
      <c r="H98" s="229" t="s">
        <v>131</v>
      </c>
      <c r="I98" s="230"/>
      <c r="J98" s="230">
        <v>194.75</v>
      </c>
      <c r="K98" s="229" t="s">
        <v>1213</v>
      </c>
      <c r="L98" s="169">
        <f>I98+J98*EERR!$D$2</f>
        <v>132817.55249999999</v>
      </c>
      <c r="M98" s="109">
        <f>L98/EERR!$D$2</f>
        <v>194.74999999999997</v>
      </c>
      <c r="N98" s="109">
        <f>SUMIF(Dic!$B$3:$B$114,A98,Dic!$V$3:$V$114)</f>
        <v>0</v>
      </c>
      <c r="O98" s="183">
        <f t="shared" si="1"/>
        <v>1</v>
      </c>
    </row>
    <row r="99" spans="1:18" x14ac:dyDescent="0.3">
      <c r="A99" s="227">
        <v>716</v>
      </c>
      <c r="B99" s="228" t="s">
        <v>1214</v>
      </c>
      <c r="C99" s="229" t="s">
        <v>258</v>
      </c>
      <c r="D99" s="229" t="s">
        <v>128</v>
      </c>
      <c r="E99" s="229" t="s">
        <v>129</v>
      </c>
      <c r="F99" s="229" t="s">
        <v>134</v>
      </c>
      <c r="G99" s="229" t="s">
        <v>1215</v>
      </c>
      <c r="H99" s="229" t="s">
        <v>131</v>
      </c>
      <c r="I99" s="230"/>
      <c r="J99" s="230">
        <v>205</v>
      </c>
      <c r="K99" s="229" t="s">
        <v>1216</v>
      </c>
      <c r="L99" s="169">
        <f>I99+J99*EERR!$D$2</f>
        <v>139807.95000000001</v>
      </c>
      <c r="M99" s="109">
        <f>L99/EERR!$D$2</f>
        <v>205.00000000000003</v>
      </c>
      <c r="N99" s="109">
        <f>SUMIF(Dic!$B$3:$B$114,A99,Dic!$V$3:$V$114)</f>
        <v>0</v>
      </c>
      <c r="O99" s="183">
        <f t="shared" si="1"/>
        <v>1</v>
      </c>
      <c r="R99" s="58" t="s">
        <v>221</v>
      </c>
    </row>
    <row r="100" spans="1:18" x14ac:dyDescent="0.3">
      <c r="A100" s="227">
        <v>717</v>
      </c>
      <c r="B100" s="228" t="s">
        <v>1217</v>
      </c>
      <c r="C100" s="229" t="s">
        <v>258</v>
      </c>
      <c r="D100" s="229" t="s">
        <v>128</v>
      </c>
      <c r="E100" s="229" t="s">
        <v>129</v>
      </c>
      <c r="F100" s="229" t="s">
        <v>134</v>
      </c>
      <c r="G100" s="229" t="s">
        <v>1215</v>
      </c>
      <c r="H100" s="229" t="s">
        <v>131</v>
      </c>
      <c r="I100" s="230"/>
      <c r="J100" s="230">
        <v>205</v>
      </c>
      <c r="K100" s="229" t="s">
        <v>1218</v>
      </c>
      <c r="L100" s="169">
        <f>I100+J100*EERR!$D$2</f>
        <v>139807.95000000001</v>
      </c>
      <c r="M100" s="109">
        <f>L100/EERR!$D$2</f>
        <v>205.00000000000003</v>
      </c>
      <c r="N100" s="109">
        <f>SUMIF(Dic!$B$3:$B$114,A100,Dic!$V$3:$V$114)</f>
        <v>0</v>
      </c>
      <c r="O100" s="183">
        <f t="shared" si="1"/>
        <v>1</v>
      </c>
    </row>
    <row r="101" spans="1:18" x14ac:dyDescent="0.3">
      <c r="A101" s="227">
        <v>718</v>
      </c>
      <c r="B101" s="228" t="s">
        <v>1219</v>
      </c>
      <c r="C101" s="229" t="s">
        <v>258</v>
      </c>
      <c r="D101" s="229" t="s">
        <v>128</v>
      </c>
      <c r="E101" s="229" t="s">
        <v>129</v>
      </c>
      <c r="F101" s="229" t="s">
        <v>134</v>
      </c>
      <c r="G101" s="229" t="s">
        <v>1220</v>
      </c>
      <c r="H101" s="229" t="s">
        <v>131</v>
      </c>
      <c r="I101" s="230"/>
      <c r="J101" s="230">
        <v>205</v>
      </c>
      <c r="K101" s="229" t="s">
        <v>1221</v>
      </c>
      <c r="L101" s="169">
        <f>I101+J101*EERR!$D$2</f>
        <v>139807.95000000001</v>
      </c>
      <c r="M101" s="109">
        <f>L101/EERR!$D$2</f>
        <v>205.00000000000003</v>
      </c>
      <c r="N101" s="109">
        <f>SUMIF(Dic!$B$3:$B$114,A101,Dic!$V$3:$V$114)</f>
        <v>0</v>
      </c>
      <c r="O101" s="183">
        <f t="shared" si="1"/>
        <v>1</v>
      </c>
    </row>
    <row r="102" spans="1:18" x14ac:dyDescent="0.3">
      <c r="A102" s="227">
        <v>719</v>
      </c>
      <c r="B102" s="228" t="s">
        <v>1222</v>
      </c>
      <c r="C102" s="229" t="s">
        <v>258</v>
      </c>
      <c r="D102" s="229" t="s">
        <v>128</v>
      </c>
      <c r="E102" s="229" t="s">
        <v>129</v>
      </c>
      <c r="F102" s="229" t="s">
        <v>134</v>
      </c>
      <c r="G102" s="229" t="s">
        <v>608</v>
      </c>
      <c r="H102" s="229" t="s">
        <v>131</v>
      </c>
      <c r="I102" s="230"/>
      <c r="J102" s="230">
        <v>102.5</v>
      </c>
      <c r="K102" s="229" t="s">
        <v>1223</v>
      </c>
      <c r="L102" s="169">
        <f>I102+J102*EERR!$D$2</f>
        <v>69903.975000000006</v>
      </c>
      <c r="M102" s="109">
        <f>L102/EERR!$D$2</f>
        <v>102.50000000000001</v>
      </c>
      <c r="N102" s="109">
        <f>SUMIF(Dic!$B$3:$B$114,A102,Dic!$V$3:$V$114)</f>
        <v>0</v>
      </c>
      <c r="O102" s="183">
        <f t="shared" si="1"/>
        <v>1</v>
      </c>
    </row>
    <row r="103" spans="1:18" x14ac:dyDescent="0.3">
      <c r="A103" s="227">
        <v>720</v>
      </c>
      <c r="B103" s="228" t="s">
        <v>1224</v>
      </c>
      <c r="C103" s="229" t="s">
        <v>257</v>
      </c>
      <c r="D103" s="229" t="s">
        <v>128</v>
      </c>
      <c r="E103" s="229" t="s">
        <v>132</v>
      </c>
      <c r="F103" s="229" t="s">
        <v>134</v>
      </c>
      <c r="G103" s="229" t="s">
        <v>608</v>
      </c>
      <c r="H103" s="229" t="s">
        <v>132</v>
      </c>
      <c r="I103" s="230">
        <v>10000</v>
      </c>
      <c r="J103" s="230"/>
      <c r="K103" s="229" t="s">
        <v>1225</v>
      </c>
      <c r="L103" s="169">
        <f>I103+J103*EERR!$D$2</f>
        <v>10000</v>
      </c>
      <c r="M103" s="109">
        <f>L103/EERR!$D$2</f>
        <v>14.662971597824015</v>
      </c>
      <c r="N103" s="109">
        <f>SUMIF(Dic!$B$3:$B$114,A103,Dic!$V$3:$V$114)</f>
        <v>0</v>
      </c>
      <c r="O103" s="183">
        <f t="shared" si="1"/>
        <v>1</v>
      </c>
    </row>
    <row r="104" spans="1:18" x14ac:dyDescent="0.3">
      <c r="A104" s="227">
        <v>721</v>
      </c>
      <c r="B104" s="228" t="s">
        <v>1226</v>
      </c>
      <c r="C104" s="229" t="s">
        <v>258</v>
      </c>
      <c r="D104" s="229" t="s">
        <v>128</v>
      </c>
      <c r="E104" s="229" t="s">
        <v>129</v>
      </c>
      <c r="F104" s="229" t="s">
        <v>133</v>
      </c>
      <c r="G104" s="229" t="s">
        <v>1227</v>
      </c>
      <c r="H104" s="229" t="s">
        <v>131</v>
      </c>
      <c r="I104" s="230"/>
      <c r="J104" s="230">
        <v>1150</v>
      </c>
      <c r="K104" s="229" t="s">
        <v>1228</v>
      </c>
      <c r="L104" s="169">
        <f>I104+J104*EERR!$D$2</f>
        <v>784288.5</v>
      </c>
      <c r="M104" s="109">
        <f>L104/EERR!$D$2</f>
        <v>1150</v>
      </c>
      <c r="N104" s="109">
        <f>SUMIF(Dic!$B$3:$B$114,A104,Dic!$V$3:$V$114)</f>
        <v>0</v>
      </c>
      <c r="O104" s="183">
        <f t="shared" si="1"/>
        <v>1</v>
      </c>
    </row>
    <row r="105" spans="1:18" x14ac:dyDescent="0.3">
      <c r="A105" s="227">
        <v>722</v>
      </c>
      <c r="B105" s="228" t="s">
        <v>1229</v>
      </c>
      <c r="C105" s="229" t="s">
        <v>258</v>
      </c>
      <c r="D105" s="229" t="s">
        <v>128</v>
      </c>
      <c r="E105" s="229" t="s">
        <v>129</v>
      </c>
      <c r="F105" s="229" t="s">
        <v>133</v>
      </c>
      <c r="G105" s="229" t="s">
        <v>653</v>
      </c>
      <c r="H105" s="229" t="s">
        <v>131</v>
      </c>
      <c r="I105" s="230"/>
      <c r="J105" s="230">
        <v>1560</v>
      </c>
      <c r="K105" s="229" t="s">
        <v>1230</v>
      </c>
      <c r="L105" s="169">
        <f>I105+J105*EERR!$D$2</f>
        <v>1063904.3999999999</v>
      </c>
      <c r="M105" s="109">
        <f>L105/EERR!$D$2</f>
        <v>1559.9999999999998</v>
      </c>
      <c r="N105" s="109">
        <f>SUMIF(Dic!$B$3:$B$114,A105,Dic!$V$3:$V$114)</f>
        <v>0</v>
      </c>
      <c r="O105" s="183">
        <f t="shared" si="1"/>
        <v>1</v>
      </c>
    </row>
    <row r="106" spans="1:18" x14ac:dyDescent="0.3">
      <c r="A106" s="227">
        <v>723</v>
      </c>
      <c r="B106" s="228" t="s">
        <v>1231</v>
      </c>
      <c r="C106" s="229" t="s">
        <v>258</v>
      </c>
      <c r="D106" s="229" t="s">
        <v>128</v>
      </c>
      <c r="E106" s="229" t="s">
        <v>129</v>
      </c>
      <c r="F106" s="229" t="s">
        <v>134</v>
      </c>
      <c r="G106" s="229" t="s">
        <v>663</v>
      </c>
      <c r="H106" s="229" t="s">
        <v>131</v>
      </c>
      <c r="I106" s="230"/>
      <c r="J106" s="230">
        <v>460</v>
      </c>
      <c r="K106" s="229" t="s">
        <v>1232</v>
      </c>
      <c r="L106" s="169">
        <f>I106+J106*EERR!$D$2</f>
        <v>313715.40000000002</v>
      </c>
      <c r="M106" s="109">
        <f>L106/EERR!$D$2</f>
        <v>460</v>
      </c>
      <c r="N106" s="109">
        <f>SUMIF(Dic!$B$3:$B$114,A106,Dic!$V$3:$V$114)</f>
        <v>0</v>
      </c>
      <c r="O106" s="183">
        <f t="shared" si="1"/>
        <v>1</v>
      </c>
    </row>
    <row r="107" spans="1:18" x14ac:dyDescent="0.3">
      <c r="A107" s="227">
        <v>724</v>
      </c>
      <c r="B107" s="228" t="s">
        <v>1233</v>
      </c>
      <c r="C107" s="229" t="s">
        <v>258</v>
      </c>
      <c r="D107" s="229" t="s">
        <v>128</v>
      </c>
      <c r="E107" s="229" t="s">
        <v>129</v>
      </c>
      <c r="F107" s="229" t="s">
        <v>134</v>
      </c>
      <c r="G107" s="229" t="s">
        <v>671</v>
      </c>
      <c r="H107" s="229" t="s">
        <v>131</v>
      </c>
      <c r="I107" s="230"/>
      <c r="J107" s="230">
        <v>920</v>
      </c>
      <c r="K107" s="229" t="s">
        <v>1234</v>
      </c>
      <c r="L107" s="169">
        <f>I107+J107*EERR!$D$2</f>
        <v>627430.80000000005</v>
      </c>
      <c r="M107" s="109">
        <f>L107/EERR!$D$2</f>
        <v>920</v>
      </c>
      <c r="N107" s="109">
        <f>SUMIF(Dic!$B$3:$B$114,A107,Dic!$V$3:$V$114)</f>
        <v>0</v>
      </c>
      <c r="O107" s="183">
        <f t="shared" si="1"/>
        <v>1</v>
      </c>
    </row>
    <row r="108" spans="1:18" x14ac:dyDescent="0.3">
      <c r="A108" s="227">
        <v>725</v>
      </c>
      <c r="B108" s="228" t="s">
        <v>1235</v>
      </c>
      <c r="C108" s="229" t="s">
        <v>258</v>
      </c>
      <c r="D108" s="229" t="s">
        <v>128</v>
      </c>
      <c r="E108" s="229" t="s">
        <v>129</v>
      </c>
      <c r="F108" s="229" t="s">
        <v>130</v>
      </c>
      <c r="G108" s="229" t="s">
        <v>1236</v>
      </c>
      <c r="H108" s="229" t="s">
        <v>131</v>
      </c>
      <c r="I108" s="230"/>
      <c r="J108" s="230">
        <v>1330</v>
      </c>
      <c r="K108" s="229" t="s">
        <v>1237</v>
      </c>
      <c r="L108" s="169">
        <f>I108+J108*EERR!$D$2</f>
        <v>907046.70000000007</v>
      </c>
      <c r="M108" s="109">
        <f>L108/EERR!$D$2</f>
        <v>1330</v>
      </c>
      <c r="N108" s="109">
        <f>SUMIF(Dic!$B$3:$B$114,A108,Dic!$V$3:$V$114)</f>
        <v>0</v>
      </c>
      <c r="O108" s="183">
        <f t="shared" si="1"/>
        <v>1</v>
      </c>
    </row>
    <row r="109" spans="1:18" x14ac:dyDescent="0.3">
      <c r="A109" s="227">
        <v>726</v>
      </c>
      <c r="B109" s="228" t="s">
        <v>1238</v>
      </c>
      <c r="C109" s="229" t="s">
        <v>258</v>
      </c>
      <c r="D109" s="229" t="s">
        <v>128</v>
      </c>
      <c r="E109" s="229" t="s">
        <v>129</v>
      </c>
      <c r="F109" s="229" t="s">
        <v>134</v>
      </c>
      <c r="G109" s="229" t="s">
        <v>698</v>
      </c>
      <c r="H109" s="229" t="s">
        <v>131</v>
      </c>
      <c r="I109" s="230"/>
      <c r="J109" s="230">
        <v>640</v>
      </c>
      <c r="K109" s="229" t="s">
        <v>1239</v>
      </c>
      <c r="L109" s="169">
        <f>I109+J109*EERR!$D$2</f>
        <v>436473.59999999998</v>
      </c>
      <c r="M109" s="109">
        <f>L109/EERR!$D$2</f>
        <v>640</v>
      </c>
      <c r="N109" s="109">
        <f>SUMIF(Dic!$B$3:$B$114,A109,Dic!$V$3:$V$114)</f>
        <v>0</v>
      </c>
      <c r="O109" s="183">
        <f t="shared" si="1"/>
        <v>1</v>
      </c>
    </row>
    <row r="110" spans="1:18" x14ac:dyDescent="0.3">
      <c r="A110" s="227">
        <v>727</v>
      </c>
      <c r="B110" s="228" t="s">
        <v>1240</v>
      </c>
      <c r="C110" s="229" t="s">
        <v>258</v>
      </c>
      <c r="D110" s="229" t="s">
        <v>128</v>
      </c>
      <c r="E110" s="229" t="s">
        <v>129</v>
      </c>
      <c r="F110" s="229" t="s">
        <v>134</v>
      </c>
      <c r="G110" s="229" t="s">
        <v>698</v>
      </c>
      <c r="H110" s="229" t="s">
        <v>131</v>
      </c>
      <c r="I110" s="230"/>
      <c r="J110" s="230">
        <v>640</v>
      </c>
      <c r="K110" s="229" t="s">
        <v>1241</v>
      </c>
      <c r="L110" s="169">
        <f>I110+J110*EERR!$D$2</f>
        <v>436473.59999999998</v>
      </c>
      <c r="M110" s="109">
        <f>L110/EERR!$D$2</f>
        <v>640</v>
      </c>
      <c r="N110" s="109">
        <f>SUMIF(Dic!$B$3:$B$114,A110,Dic!$V$3:$V$114)</f>
        <v>0</v>
      </c>
      <c r="O110" s="183">
        <f t="shared" si="1"/>
        <v>1</v>
      </c>
    </row>
    <row r="111" spans="1:18" x14ac:dyDescent="0.3">
      <c r="A111" s="227">
        <v>728</v>
      </c>
      <c r="B111" s="228" t="s">
        <v>1242</v>
      </c>
      <c r="C111" s="229" t="s">
        <v>257</v>
      </c>
      <c r="D111" s="229" t="s">
        <v>128</v>
      </c>
      <c r="E111" s="229" t="s">
        <v>132</v>
      </c>
      <c r="F111" s="229" t="s">
        <v>134</v>
      </c>
      <c r="G111" s="229" t="s">
        <v>626</v>
      </c>
      <c r="H111" s="229" t="s">
        <v>132</v>
      </c>
      <c r="I111" s="230">
        <v>12000</v>
      </c>
      <c r="J111" s="230"/>
      <c r="K111" s="229" t="s">
        <v>1243</v>
      </c>
      <c r="L111" s="169">
        <f>I111+J111*EERR!$D$2</f>
        <v>12000</v>
      </c>
      <c r="M111" s="109">
        <f>L111/EERR!$D$2</f>
        <v>17.595565917388818</v>
      </c>
      <c r="N111" s="109">
        <f>SUMIF(Dic!$B$3:$B$114,A111,Dic!$V$3:$V$114)</f>
        <v>0</v>
      </c>
      <c r="O111" s="183">
        <f t="shared" si="1"/>
        <v>1</v>
      </c>
    </row>
    <row r="112" spans="1:18" x14ac:dyDescent="0.3">
      <c r="A112" s="227">
        <v>729</v>
      </c>
      <c r="B112" s="228" t="s">
        <v>1244</v>
      </c>
      <c r="C112" s="229" t="s">
        <v>258</v>
      </c>
      <c r="D112" s="229" t="s">
        <v>128</v>
      </c>
      <c r="E112" s="229" t="s">
        <v>129</v>
      </c>
      <c r="F112" s="229" t="s">
        <v>133</v>
      </c>
      <c r="G112" s="229" t="s">
        <v>1245</v>
      </c>
      <c r="H112" s="229" t="s">
        <v>131</v>
      </c>
      <c r="I112" s="230"/>
      <c r="J112" s="230">
        <v>205</v>
      </c>
      <c r="K112" s="229" t="s">
        <v>1246</v>
      </c>
      <c r="L112" s="169">
        <f>I112+J112*EERR!$D$2</f>
        <v>139807.95000000001</v>
      </c>
      <c r="M112" s="109">
        <f>L112/EERR!$D$2</f>
        <v>205.00000000000003</v>
      </c>
      <c r="N112" s="109">
        <f>SUMIF(Dic!$B$3:$B$114,A112,Dic!$V$3:$V$114)</f>
        <v>0</v>
      </c>
      <c r="O112" s="183">
        <f t="shared" si="1"/>
        <v>1</v>
      </c>
    </row>
    <row r="113" spans="1:15" x14ac:dyDescent="0.3">
      <c r="A113" s="227">
        <v>730</v>
      </c>
      <c r="B113" s="228" t="s">
        <v>1247</v>
      </c>
      <c r="C113" s="229" t="s">
        <v>258</v>
      </c>
      <c r="D113" s="229" t="s">
        <v>128</v>
      </c>
      <c r="E113" s="229" t="s">
        <v>129</v>
      </c>
      <c r="F113" s="229" t="s">
        <v>133</v>
      </c>
      <c r="G113" s="229" t="s">
        <v>1248</v>
      </c>
      <c r="H113" s="229" t="s">
        <v>131</v>
      </c>
      <c r="I113" s="230"/>
      <c r="J113" s="230">
        <v>205</v>
      </c>
      <c r="K113" s="229" t="s">
        <v>1249</v>
      </c>
      <c r="L113" s="169">
        <f>I113+J113*EERR!$D$2</f>
        <v>139807.95000000001</v>
      </c>
      <c r="M113" s="109">
        <f>L113/EERR!$D$2</f>
        <v>205.00000000000003</v>
      </c>
      <c r="N113" s="109">
        <f>SUMIF(Dic!$B$3:$B$114,A113,Dic!$V$3:$V$114)</f>
        <v>0</v>
      </c>
      <c r="O113" s="183">
        <f t="shared" si="1"/>
        <v>1</v>
      </c>
    </row>
    <row r="114" spans="1:15" x14ac:dyDescent="0.3">
      <c r="A114" s="227">
        <v>731</v>
      </c>
      <c r="B114" s="228" t="s">
        <v>1250</v>
      </c>
      <c r="C114" s="229" t="s">
        <v>258</v>
      </c>
      <c r="D114" s="229" t="s">
        <v>128</v>
      </c>
      <c r="E114" s="229" t="s">
        <v>129</v>
      </c>
      <c r="F114" s="229" t="s">
        <v>134</v>
      </c>
      <c r="G114" s="229" t="s">
        <v>1251</v>
      </c>
      <c r="H114" s="229" t="s">
        <v>131</v>
      </c>
      <c r="I114" s="230"/>
      <c r="J114" s="230">
        <v>205</v>
      </c>
      <c r="K114" s="229" t="s">
        <v>1252</v>
      </c>
      <c r="L114" s="169">
        <f>I114+J114*EERR!$D$2</f>
        <v>139807.95000000001</v>
      </c>
      <c r="M114" s="109">
        <f>L114/EERR!$D$2</f>
        <v>205.00000000000003</v>
      </c>
      <c r="N114" s="109">
        <f>SUMIF(Dic!$B$3:$B$114,A114,Dic!$V$3:$V$114)</f>
        <v>0</v>
      </c>
      <c r="O114" s="183">
        <f t="shared" si="1"/>
        <v>1</v>
      </c>
    </row>
    <row r="115" spans="1:15" x14ac:dyDescent="0.3">
      <c r="A115" s="227">
        <v>732</v>
      </c>
      <c r="B115" s="228" t="s">
        <v>1253</v>
      </c>
      <c r="C115" s="229" t="s">
        <v>258</v>
      </c>
      <c r="D115" s="229" t="s">
        <v>128</v>
      </c>
      <c r="E115" s="229" t="s">
        <v>129</v>
      </c>
      <c r="F115" s="229" t="s">
        <v>133</v>
      </c>
      <c r="G115" s="229" t="s">
        <v>1254</v>
      </c>
      <c r="H115" s="229" t="s">
        <v>131</v>
      </c>
      <c r="I115" s="230"/>
      <c r="J115" s="230">
        <v>205</v>
      </c>
      <c r="K115" s="229" t="s">
        <v>1255</v>
      </c>
      <c r="L115" s="169">
        <f>I115+J115*EERR!$D$2</f>
        <v>139807.95000000001</v>
      </c>
      <c r="M115" s="109">
        <f>L115/EERR!$D$2</f>
        <v>205.00000000000003</v>
      </c>
      <c r="N115" s="109">
        <f>SUMIF(Dic!$B$3:$B$114,A115,Dic!$V$3:$V$114)</f>
        <v>0</v>
      </c>
      <c r="O115" s="183">
        <f t="shared" si="1"/>
        <v>1</v>
      </c>
    </row>
    <row r="116" spans="1:15" x14ac:dyDescent="0.3">
      <c r="A116" s="227">
        <v>733</v>
      </c>
      <c r="B116" s="228" t="s">
        <v>1256</v>
      </c>
      <c r="C116" s="229" t="s">
        <v>258</v>
      </c>
      <c r="D116" s="229" t="s">
        <v>128</v>
      </c>
      <c r="E116" s="229" t="s">
        <v>129</v>
      </c>
      <c r="F116" s="229" t="s">
        <v>134</v>
      </c>
      <c r="G116" s="229" t="s">
        <v>703</v>
      </c>
      <c r="H116" s="229" t="s">
        <v>131</v>
      </c>
      <c r="I116" s="230"/>
      <c r="J116" s="230">
        <v>205</v>
      </c>
      <c r="K116" s="229" t="s">
        <v>1257</v>
      </c>
      <c r="L116" s="169">
        <f>I116+J116*EERR!$D$2</f>
        <v>139807.95000000001</v>
      </c>
      <c r="M116" s="109">
        <f>L116/EERR!$D$2</f>
        <v>205.00000000000003</v>
      </c>
      <c r="N116" s="109">
        <f>SUMIF(Dic!$B$3:$B$114,A116,Dic!$V$3:$V$114)</f>
        <v>0</v>
      </c>
      <c r="O116" s="183">
        <f t="shared" si="1"/>
        <v>1</v>
      </c>
    </row>
    <row r="117" spans="1:15" x14ac:dyDescent="0.3">
      <c r="A117" s="227">
        <v>734</v>
      </c>
      <c r="B117" s="228" t="s">
        <v>1258</v>
      </c>
      <c r="C117" s="229" t="s">
        <v>258</v>
      </c>
      <c r="D117" s="229" t="s">
        <v>128</v>
      </c>
      <c r="E117" s="229" t="s">
        <v>129</v>
      </c>
      <c r="F117" s="229" t="s">
        <v>133</v>
      </c>
      <c r="G117" s="229" t="s">
        <v>1259</v>
      </c>
      <c r="H117" s="229" t="s">
        <v>131</v>
      </c>
      <c r="I117" s="230"/>
      <c r="J117" s="230">
        <v>205</v>
      </c>
      <c r="K117" s="229" t="s">
        <v>1260</v>
      </c>
      <c r="L117" s="169">
        <f>I117+J117*EERR!$D$2</f>
        <v>139807.95000000001</v>
      </c>
      <c r="M117" s="109">
        <f>L117/EERR!$D$2</f>
        <v>205.00000000000003</v>
      </c>
      <c r="N117" s="109">
        <f>SUMIF(Dic!$B$3:$B$114,A117,Dic!$V$3:$V$114)</f>
        <v>0</v>
      </c>
      <c r="O117" s="183">
        <f t="shared" si="1"/>
        <v>1</v>
      </c>
    </row>
    <row r="118" spans="1:15" x14ac:dyDescent="0.3">
      <c r="A118" s="227">
        <v>735</v>
      </c>
      <c r="B118" s="228" t="s">
        <v>1261</v>
      </c>
      <c r="C118" s="229" t="s">
        <v>257</v>
      </c>
      <c r="D118" s="229" t="s">
        <v>128</v>
      </c>
      <c r="E118" s="229" t="s">
        <v>132</v>
      </c>
      <c r="F118" s="229" t="s">
        <v>133</v>
      </c>
      <c r="G118" s="229" t="s">
        <v>1262</v>
      </c>
      <c r="H118" s="229" t="s">
        <v>132</v>
      </c>
      <c r="I118" s="230">
        <v>160836</v>
      </c>
      <c r="J118" s="230"/>
      <c r="K118" s="229" t="s">
        <v>1263</v>
      </c>
      <c r="L118" s="169">
        <f>I118+J118*EERR!$D$2</f>
        <v>160836</v>
      </c>
      <c r="M118" s="109">
        <f>L118/EERR!$D$2</f>
        <v>235.83336999076232</v>
      </c>
      <c r="N118" s="109">
        <f>SUMIF(Dic!$B$3:$B$114,A118,Dic!$V$3:$V$114)</f>
        <v>0</v>
      </c>
      <c r="O118" s="183">
        <f t="shared" si="1"/>
        <v>1</v>
      </c>
    </row>
    <row r="119" spans="1:15" x14ac:dyDescent="0.3">
      <c r="A119" s="227">
        <v>736</v>
      </c>
      <c r="B119" s="228" t="s">
        <v>1264</v>
      </c>
      <c r="C119" s="229" t="s">
        <v>258</v>
      </c>
      <c r="D119" s="229" t="s">
        <v>128</v>
      </c>
      <c r="E119" s="229" t="s">
        <v>129</v>
      </c>
      <c r="F119" s="229" t="s">
        <v>134</v>
      </c>
      <c r="G119" s="229" t="s">
        <v>1265</v>
      </c>
      <c r="H119" s="229" t="s">
        <v>131</v>
      </c>
      <c r="I119" s="230"/>
      <c r="J119" s="230">
        <v>205</v>
      </c>
      <c r="K119" s="229" t="s">
        <v>1266</v>
      </c>
      <c r="L119" s="169">
        <f>I119+J119*EERR!$D$2</f>
        <v>139807.95000000001</v>
      </c>
      <c r="M119" s="109">
        <f>L119/EERR!$D$2</f>
        <v>205.00000000000003</v>
      </c>
      <c r="N119" s="109">
        <f>SUMIF(Dic!$B$3:$B$114,A119,Dic!$V$3:$V$114)</f>
        <v>0</v>
      </c>
      <c r="O119" s="183">
        <f t="shared" si="1"/>
        <v>1</v>
      </c>
    </row>
    <row r="120" spans="1:15" x14ac:dyDescent="0.3">
      <c r="A120" s="227">
        <v>737</v>
      </c>
      <c r="B120" s="228" t="s">
        <v>1267</v>
      </c>
      <c r="C120" s="229" t="s">
        <v>258</v>
      </c>
      <c r="D120" s="229" t="s">
        <v>128</v>
      </c>
      <c r="E120" s="229" t="s">
        <v>129</v>
      </c>
      <c r="F120" s="229" t="s">
        <v>134</v>
      </c>
      <c r="G120" s="229" t="s">
        <v>716</v>
      </c>
      <c r="H120" s="229" t="s">
        <v>131</v>
      </c>
      <c r="I120" s="230"/>
      <c r="J120" s="230">
        <v>460</v>
      </c>
      <c r="K120" s="229" t="s">
        <v>1268</v>
      </c>
      <c r="L120" s="169">
        <f>I120+J120*EERR!$D$2</f>
        <v>313715.40000000002</v>
      </c>
      <c r="M120" s="109">
        <f>L120/EERR!$D$2</f>
        <v>460</v>
      </c>
      <c r="N120" s="109">
        <f>SUMIF(Dic!$B$3:$B$114,A120,Dic!$V$3:$V$114)</f>
        <v>0</v>
      </c>
      <c r="O120" s="183">
        <f t="shared" si="1"/>
        <v>1</v>
      </c>
    </row>
    <row r="121" spans="1:15" x14ac:dyDescent="0.3">
      <c r="A121" s="227">
        <v>738</v>
      </c>
      <c r="B121" s="228" t="s">
        <v>1269</v>
      </c>
      <c r="C121" s="229" t="s">
        <v>258</v>
      </c>
      <c r="D121" s="229" t="s">
        <v>128</v>
      </c>
      <c r="E121" s="229" t="s">
        <v>129</v>
      </c>
      <c r="F121" s="229" t="s">
        <v>133</v>
      </c>
      <c r="G121" s="229" t="s">
        <v>1270</v>
      </c>
      <c r="H121" s="229" t="s">
        <v>131</v>
      </c>
      <c r="I121" s="230"/>
      <c r="J121" s="230">
        <v>75</v>
      </c>
      <c r="K121" s="229" t="s">
        <v>1271</v>
      </c>
      <c r="L121" s="169">
        <f>I121+J121*EERR!$D$2</f>
        <v>51149.25</v>
      </c>
      <c r="M121" s="109">
        <f>L121/EERR!$D$2</f>
        <v>75</v>
      </c>
      <c r="N121" s="109">
        <f>SUMIF(Dic!$B$3:$B$114,A121,Dic!$V$3:$V$114)</f>
        <v>0</v>
      </c>
      <c r="O121" s="183">
        <f t="shared" si="1"/>
        <v>1</v>
      </c>
    </row>
    <row r="122" spans="1:15" x14ac:dyDescent="0.3">
      <c r="A122" s="227">
        <v>739</v>
      </c>
      <c r="B122" s="228" t="s">
        <v>1272</v>
      </c>
      <c r="C122" s="229" t="s">
        <v>257</v>
      </c>
      <c r="D122" s="229" t="s">
        <v>128</v>
      </c>
      <c r="E122" s="229" t="s">
        <v>132</v>
      </c>
      <c r="F122" s="229" t="s">
        <v>133</v>
      </c>
      <c r="G122" s="229" t="s">
        <v>731</v>
      </c>
      <c r="H122" s="229" t="s">
        <v>132</v>
      </c>
      <c r="I122" s="230">
        <v>569843</v>
      </c>
      <c r="J122" s="230"/>
      <c r="K122" s="229" t="s">
        <v>1273</v>
      </c>
      <c r="L122" s="169">
        <f>I122+J122*EERR!$D$2</f>
        <v>569843</v>
      </c>
      <c r="M122" s="109">
        <f>L122/EERR!$D$2</f>
        <v>835.55917242188298</v>
      </c>
      <c r="N122" s="109">
        <f>SUMIF(Dic!$B$3:$B$114,A122,Dic!$V$3:$V$114)</f>
        <v>0</v>
      </c>
      <c r="O122" s="183">
        <f t="shared" si="1"/>
        <v>1</v>
      </c>
    </row>
    <row r="123" spans="1:15" x14ac:dyDescent="0.3">
      <c r="A123" s="227">
        <v>740</v>
      </c>
      <c r="B123" s="228" t="s">
        <v>1274</v>
      </c>
      <c r="C123" s="229" t="s">
        <v>258</v>
      </c>
      <c r="D123" s="229" t="s">
        <v>128</v>
      </c>
      <c r="E123" s="229" t="s">
        <v>129</v>
      </c>
      <c r="F123" s="229" t="s">
        <v>133</v>
      </c>
      <c r="G123" s="229" t="s">
        <v>1275</v>
      </c>
      <c r="H123" s="229" t="s">
        <v>131</v>
      </c>
      <c r="I123" s="230"/>
      <c r="J123" s="230">
        <v>205</v>
      </c>
      <c r="K123" s="229" t="s">
        <v>1276</v>
      </c>
      <c r="L123" s="169">
        <f>I123+J123*EERR!$D$2</f>
        <v>139807.95000000001</v>
      </c>
      <c r="M123" s="109">
        <f>L123/EERR!$D$2</f>
        <v>205.00000000000003</v>
      </c>
      <c r="N123" s="109">
        <f>SUMIF(Dic!$B$3:$B$114,A123,Dic!$V$3:$V$114)</f>
        <v>0</v>
      </c>
      <c r="O123" s="183">
        <f t="shared" si="1"/>
        <v>1</v>
      </c>
    </row>
    <row r="124" spans="1:15" x14ac:dyDescent="0.3">
      <c r="A124" s="227">
        <v>741</v>
      </c>
      <c r="B124" s="327" t="s">
        <v>1325</v>
      </c>
      <c r="C124" s="229" t="s">
        <v>258</v>
      </c>
      <c r="D124" s="229" t="s">
        <v>128</v>
      </c>
      <c r="E124" s="229" t="s">
        <v>129</v>
      </c>
      <c r="F124" s="229" t="s">
        <v>134</v>
      </c>
      <c r="G124" s="229" t="s">
        <v>1326</v>
      </c>
      <c r="H124" s="229" t="s">
        <v>131</v>
      </c>
      <c r="I124" s="230"/>
      <c r="J124" s="230">
        <v>205</v>
      </c>
      <c r="K124" s="229" t="s">
        <v>1371</v>
      </c>
      <c r="L124" s="169">
        <f>I124+J124*EERR!$D$2</f>
        <v>139807.95000000001</v>
      </c>
      <c r="M124" s="109">
        <f>L124/EERR!$D$2</f>
        <v>205.00000000000003</v>
      </c>
      <c r="N124" s="109">
        <f>SUMIF(Dic!$B$3:$B$114,A124,Dic!$V$3:$V$114)</f>
        <v>0</v>
      </c>
      <c r="O124" s="183">
        <f t="shared" si="1"/>
        <v>1</v>
      </c>
    </row>
    <row r="125" spans="1:15" x14ac:dyDescent="0.3">
      <c r="A125" s="227">
        <v>742</v>
      </c>
      <c r="B125" s="327" t="s">
        <v>1325</v>
      </c>
      <c r="C125" s="229" t="s">
        <v>258</v>
      </c>
      <c r="D125" s="229" t="s">
        <v>128</v>
      </c>
      <c r="E125" s="229" t="s">
        <v>129</v>
      </c>
      <c r="F125" s="229" t="s">
        <v>134</v>
      </c>
      <c r="G125" s="229" t="s">
        <v>1327</v>
      </c>
      <c r="H125" s="229" t="s">
        <v>131</v>
      </c>
      <c r="I125" s="230"/>
      <c r="J125" s="230">
        <v>205</v>
      </c>
      <c r="K125" s="229" t="s">
        <v>1372</v>
      </c>
      <c r="L125" s="169">
        <f>I125+J125*EERR!$D$2</f>
        <v>139807.95000000001</v>
      </c>
      <c r="M125" s="109">
        <f>L125/EERR!$D$2</f>
        <v>205.00000000000003</v>
      </c>
      <c r="N125" s="109">
        <f>SUMIF(Dic!$B$3:$B$114,A125,Dic!$V$3:$V$114)</f>
        <v>0</v>
      </c>
      <c r="O125" s="183">
        <f t="shared" si="1"/>
        <v>1</v>
      </c>
    </row>
    <row r="126" spans="1:15" x14ac:dyDescent="0.3">
      <c r="A126" s="227">
        <v>743</v>
      </c>
      <c r="B126" s="327" t="s">
        <v>1325</v>
      </c>
      <c r="C126" s="229" t="s">
        <v>258</v>
      </c>
      <c r="D126" s="229" t="s">
        <v>128</v>
      </c>
      <c r="E126" s="229" t="s">
        <v>129</v>
      </c>
      <c r="F126" s="229" t="s">
        <v>130</v>
      </c>
      <c r="G126" s="229" t="s">
        <v>1205</v>
      </c>
      <c r="H126" s="229" t="s">
        <v>131</v>
      </c>
      <c r="I126" s="230"/>
      <c r="J126" s="230">
        <v>410</v>
      </c>
      <c r="K126" s="229" t="s">
        <v>1373</v>
      </c>
      <c r="L126" s="169">
        <f>I126+J126*EERR!$D$2</f>
        <v>279615.90000000002</v>
      </c>
      <c r="M126" s="109">
        <f>L126/EERR!$D$2</f>
        <v>410.00000000000006</v>
      </c>
      <c r="N126" s="109">
        <f>SUMIF(Dic!$B$3:$B$114,A126,Dic!$V$3:$V$114)</f>
        <v>0</v>
      </c>
      <c r="O126" s="183">
        <f t="shared" si="1"/>
        <v>1</v>
      </c>
    </row>
    <row r="127" spans="1:15" x14ac:dyDescent="0.3">
      <c r="A127" s="227">
        <v>744</v>
      </c>
      <c r="B127" s="327" t="s">
        <v>1325</v>
      </c>
      <c r="C127" s="229" t="s">
        <v>258</v>
      </c>
      <c r="D127" s="229" t="s">
        <v>128</v>
      </c>
      <c r="E127" s="229" t="s">
        <v>129</v>
      </c>
      <c r="F127" s="229" t="s">
        <v>133</v>
      </c>
      <c r="G127" s="229" t="s">
        <v>1328</v>
      </c>
      <c r="H127" s="229" t="s">
        <v>131</v>
      </c>
      <c r="I127" s="230"/>
      <c r="J127" s="230">
        <v>205</v>
      </c>
      <c r="K127" s="229" t="s">
        <v>1374</v>
      </c>
      <c r="L127" s="169">
        <f>I127+J127*EERR!$D$2</f>
        <v>139807.95000000001</v>
      </c>
      <c r="M127" s="109">
        <f>L127/EERR!$D$2</f>
        <v>205.00000000000003</v>
      </c>
      <c r="N127" s="109">
        <f>SUMIF(Dic!$B$3:$B$114,A127,Dic!$V$3:$V$114)</f>
        <v>0</v>
      </c>
      <c r="O127" s="183">
        <f t="shared" si="1"/>
        <v>1</v>
      </c>
    </row>
    <row r="128" spans="1:15" x14ac:dyDescent="0.3">
      <c r="A128" s="227">
        <v>745</v>
      </c>
      <c r="B128" s="327" t="s">
        <v>1325</v>
      </c>
      <c r="C128" s="229" t="s">
        <v>258</v>
      </c>
      <c r="D128" s="229" t="s">
        <v>128</v>
      </c>
      <c r="E128" s="229" t="s">
        <v>129</v>
      </c>
      <c r="F128" s="229" t="s">
        <v>133</v>
      </c>
      <c r="G128" s="229" t="s">
        <v>739</v>
      </c>
      <c r="H128" s="229" t="s">
        <v>131</v>
      </c>
      <c r="I128" s="230"/>
      <c r="J128" s="230">
        <v>874</v>
      </c>
      <c r="K128" s="229" t="s">
        <v>1370</v>
      </c>
      <c r="L128" s="169">
        <f>I128+J128*EERR!$D$2</f>
        <v>596059.26</v>
      </c>
      <c r="M128" s="109">
        <f>L128/EERR!$D$2</f>
        <v>874</v>
      </c>
      <c r="N128" s="109">
        <f>SUMIF(Dic!$B$3:$B$114,A128,Dic!$V$3:$V$114)</f>
        <v>0</v>
      </c>
      <c r="O128" s="183">
        <f t="shared" si="1"/>
        <v>1</v>
      </c>
    </row>
    <row r="129" spans="1:15" x14ac:dyDescent="0.3">
      <c r="A129" s="227">
        <v>746</v>
      </c>
      <c r="B129" s="327" t="s">
        <v>1329</v>
      </c>
      <c r="C129" s="229" t="s">
        <v>258</v>
      </c>
      <c r="D129" s="229" t="s">
        <v>128</v>
      </c>
      <c r="E129" s="229" t="s">
        <v>129</v>
      </c>
      <c r="F129" s="229" t="s">
        <v>133</v>
      </c>
      <c r="G129" s="229" t="s">
        <v>1330</v>
      </c>
      <c r="H129" s="229" t="s">
        <v>131</v>
      </c>
      <c r="I129" s="230"/>
      <c r="J129" s="230">
        <v>460</v>
      </c>
      <c r="K129" s="229" t="s">
        <v>1375</v>
      </c>
      <c r="L129" s="169">
        <f>I129+J129*EERR!$D$2</f>
        <v>313715.40000000002</v>
      </c>
      <c r="M129" s="109">
        <f>L129/EERR!$D$2</f>
        <v>460</v>
      </c>
      <c r="N129" s="109">
        <f>SUMIF(Dic!$B$3:$B$114,A129,Dic!$V$3:$V$114)</f>
        <v>0</v>
      </c>
      <c r="O129" s="183">
        <f t="shared" si="1"/>
        <v>1</v>
      </c>
    </row>
    <row r="130" spans="1:15" x14ac:dyDescent="0.3">
      <c r="A130" s="227">
        <v>747</v>
      </c>
      <c r="B130" s="228" t="s">
        <v>1277</v>
      </c>
      <c r="C130" s="229" t="s">
        <v>257</v>
      </c>
      <c r="D130" s="229" t="s">
        <v>128</v>
      </c>
      <c r="E130" s="229" t="s">
        <v>132</v>
      </c>
      <c r="F130" s="229" t="s">
        <v>134</v>
      </c>
      <c r="G130" s="229" t="s">
        <v>1278</v>
      </c>
      <c r="H130" s="229" t="s">
        <v>132</v>
      </c>
      <c r="I130" s="230">
        <v>169789</v>
      </c>
      <c r="J130" s="230"/>
      <c r="K130" s="229" t="s">
        <v>1279</v>
      </c>
      <c r="L130" s="169">
        <f>I130+J130*EERR!$D$2</f>
        <v>169789</v>
      </c>
      <c r="M130" s="109">
        <f>L130/EERR!$D$2</f>
        <v>248.96112846229417</v>
      </c>
      <c r="N130" s="109">
        <f>SUMIF(Dic!$B$3:$B$114,A130,Dic!$V$3:$V$114)</f>
        <v>0</v>
      </c>
      <c r="O130" s="183">
        <f t="shared" si="1"/>
        <v>1</v>
      </c>
    </row>
    <row r="131" spans="1:15" x14ac:dyDescent="0.3">
      <c r="A131" s="227">
        <v>748</v>
      </c>
      <c r="B131" s="327" t="s">
        <v>1331</v>
      </c>
      <c r="C131" s="229" t="s">
        <v>258</v>
      </c>
      <c r="D131" s="229" t="s">
        <v>128</v>
      </c>
      <c r="E131" s="229" t="s">
        <v>129</v>
      </c>
      <c r="F131" s="229" t="s">
        <v>130</v>
      </c>
      <c r="G131" s="229" t="s">
        <v>725</v>
      </c>
      <c r="H131" s="229" t="s">
        <v>131</v>
      </c>
      <c r="I131" s="230"/>
      <c r="J131" s="230">
        <v>460</v>
      </c>
      <c r="K131" s="229" t="s">
        <v>1376</v>
      </c>
      <c r="L131" s="169">
        <f>I131+J131*EERR!$D$2</f>
        <v>313715.40000000002</v>
      </c>
      <c r="M131" s="109">
        <f>L131/EERR!$D$2</f>
        <v>460</v>
      </c>
      <c r="N131" s="109">
        <f>SUMIF(Dic!$B$3:$B$114,A131,Dic!$V$3:$V$114)</f>
        <v>0</v>
      </c>
      <c r="O131" s="183">
        <f t="shared" si="1"/>
        <v>1</v>
      </c>
    </row>
    <row r="132" spans="1:15" x14ac:dyDescent="0.3">
      <c r="A132" s="227">
        <v>749</v>
      </c>
      <c r="B132" s="228" t="s">
        <v>1332</v>
      </c>
      <c r="C132" s="229" t="s">
        <v>258</v>
      </c>
      <c r="D132" s="229" t="s">
        <v>128</v>
      </c>
      <c r="E132" s="229" t="s">
        <v>129</v>
      </c>
      <c r="F132" s="229" t="s">
        <v>130</v>
      </c>
      <c r="G132" s="229" t="s">
        <v>1333</v>
      </c>
      <c r="H132" s="229" t="s">
        <v>131</v>
      </c>
      <c r="I132" s="230"/>
      <c r="J132" s="230">
        <v>205</v>
      </c>
      <c r="K132" s="229" t="s">
        <v>1377</v>
      </c>
      <c r="L132" s="169">
        <f>I132+J132*EERR!$D$2</f>
        <v>139807.95000000001</v>
      </c>
      <c r="M132" s="109">
        <f>L132/EERR!$D$2</f>
        <v>205.00000000000003</v>
      </c>
      <c r="N132" s="109">
        <f>SUMIF(Dic!$B$3:$B$114,A132,Dic!$V$3:$V$114)</f>
        <v>0</v>
      </c>
      <c r="O132" s="183">
        <f t="shared" ref="O132:O166" si="2">+A132-A131</f>
        <v>1</v>
      </c>
    </row>
    <row r="133" spans="1:15" x14ac:dyDescent="0.3">
      <c r="A133" s="227">
        <v>750</v>
      </c>
      <c r="B133" s="228" t="s">
        <v>1334</v>
      </c>
      <c r="C133" s="229" t="s">
        <v>258</v>
      </c>
      <c r="D133" s="229" t="s">
        <v>128</v>
      </c>
      <c r="E133" s="229" t="s">
        <v>129</v>
      </c>
      <c r="F133" s="229" t="s">
        <v>130</v>
      </c>
      <c r="G133" s="229" t="s">
        <v>1333</v>
      </c>
      <c r="H133" s="229" t="s">
        <v>131</v>
      </c>
      <c r="I133" s="230"/>
      <c r="J133" s="230">
        <v>205</v>
      </c>
      <c r="K133" s="229" t="s">
        <v>1378</v>
      </c>
      <c r="L133" s="169">
        <f>I133+J133*EERR!$D$2</f>
        <v>139807.95000000001</v>
      </c>
      <c r="M133" s="109">
        <f>L133/EERR!$D$2</f>
        <v>205.00000000000003</v>
      </c>
      <c r="N133" s="109">
        <f>SUMIF(Dic!$B$3:$B$114,A133,Dic!$V$3:$V$114)</f>
        <v>0</v>
      </c>
      <c r="O133" s="183">
        <f t="shared" si="2"/>
        <v>1</v>
      </c>
    </row>
    <row r="134" spans="1:15" x14ac:dyDescent="0.3">
      <c r="A134" s="227">
        <v>751</v>
      </c>
      <c r="B134" s="228" t="s">
        <v>1335</v>
      </c>
      <c r="C134" s="229" t="s">
        <v>258</v>
      </c>
      <c r="D134" s="229" t="s">
        <v>128</v>
      </c>
      <c r="E134" s="229" t="s">
        <v>129</v>
      </c>
      <c r="F134" s="229" t="s">
        <v>133</v>
      </c>
      <c r="G134" s="229" t="s">
        <v>722</v>
      </c>
      <c r="H134" s="229" t="s">
        <v>131</v>
      </c>
      <c r="I134" s="230"/>
      <c r="J134" s="230">
        <v>690</v>
      </c>
      <c r="K134" s="229" t="s">
        <v>1379</v>
      </c>
      <c r="L134" s="169">
        <f>I134+J134*EERR!$D$2</f>
        <v>470573.10000000003</v>
      </c>
      <c r="M134" s="109">
        <f>L134/EERR!$D$2</f>
        <v>690</v>
      </c>
      <c r="N134" s="109">
        <f>SUMIF(Dic!$B$3:$B$114,A134,Dic!$V$3:$V$114)</f>
        <v>0</v>
      </c>
      <c r="O134" s="183">
        <f t="shared" si="2"/>
        <v>1</v>
      </c>
    </row>
    <row r="135" spans="1:15" x14ac:dyDescent="0.3">
      <c r="A135" s="227">
        <v>752</v>
      </c>
      <c r="B135" s="228" t="s">
        <v>1336</v>
      </c>
      <c r="C135" s="229" t="s">
        <v>258</v>
      </c>
      <c r="D135" s="229" t="s">
        <v>128</v>
      </c>
      <c r="E135" s="229" t="s">
        <v>129</v>
      </c>
      <c r="F135" s="229" t="s">
        <v>134</v>
      </c>
      <c r="G135" s="229" t="s">
        <v>1337</v>
      </c>
      <c r="H135" s="229" t="s">
        <v>131</v>
      </c>
      <c r="I135" s="230"/>
      <c r="J135" s="230">
        <v>205</v>
      </c>
      <c r="K135" s="229" t="s">
        <v>1380</v>
      </c>
      <c r="L135" s="169">
        <f>I135+J135*EERR!$D$2</f>
        <v>139807.95000000001</v>
      </c>
      <c r="M135" s="109">
        <f>L135/EERR!$D$2</f>
        <v>205.00000000000003</v>
      </c>
      <c r="N135" s="109">
        <f>SUMIF(Dic!$B$3:$B$114,A135,Dic!$V$3:$V$114)</f>
        <v>0</v>
      </c>
      <c r="O135" s="183">
        <f t="shared" si="2"/>
        <v>1</v>
      </c>
    </row>
    <row r="136" spans="1:15" x14ac:dyDescent="0.3">
      <c r="A136" s="227">
        <v>753</v>
      </c>
      <c r="B136" s="228" t="s">
        <v>1338</v>
      </c>
      <c r="C136" s="229" t="s">
        <v>258</v>
      </c>
      <c r="D136" s="229" t="s">
        <v>128</v>
      </c>
      <c r="E136" s="229" t="s">
        <v>129</v>
      </c>
      <c r="F136" s="229" t="s">
        <v>133</v>
      </c>
      <c r="G136" s="229" t="s">
        <v>1339</v>
      </c>
      <c r="H136" s="229" t="s">
        <v>131</v>
      </c>
      <c r="I136" s="230"/>
      <c r="J136" s="230">
        <v>194.75</v>
      </c>
      <c r="K136" s="229" t="s">
        <v>1381</v>
      </c>
      <c r="L136" s="169">
        <f>I136+J136*EERR!$D$2</f>
        <v>132817.55249999999</v>
      </c>
      <c r="M136" s="109">
        <f>L136/EERR!$D$2</f>
        <v>194.74999999999997</v>
      </c>
      <c r="N136" s="109">
        <f>SUMIF(Dic!$B$3:$B$114,A136,Dic!$V$3:$V$114)</f>
        <v>0</v>
      </c>
      <c r="O136" s="183">
        <f t="shared" si="2"/>
        <v>1</v>
      </c>
    </row>
    <row r="137" spans="1:15" x14ac:dyDescent="0.3">
      <c r="A137" s="227">
        <v>754</v>
      </c>
      <c r="B137" s="228" t="s">
        <v>1340</v>
      </c>
      <c r="C137" s="229" t="s">
        <v>258</v>
      </c>
      <c r="D137" s="229" t="s">
        <v>128</v>
      </c>
      <c r="E137" s="229" t="s">
        <v>129</v>
      </c>
      <c r="F137" s="229" t="s">
        <v>130</v>
      </c>
      <c r="G137" s="229" t="s">
        <v>1341</v>
      </c>
      <c r="H137" s="229" t="s">
        <v>131</v>
      </c>
      <c r="I137" s="230"/>
      <c r="J137" s="230">
        <v>230</v>
      </c>
      <c r="K137" s="229" t="s">
        <v>323</v>
      </c>
      <c r="L137" s="169">
        <f>I137+J137*EERR!$D$2</f>
        <v>156857.70000000001</v>
      </c>
      <c r="M137" s="109">
        <f>L137/EERR!$D$2</f>
        <v>230</v>
      </c>
      <c r="N137" s="109">
        <f>SUMIF(Dic!$B$3:$B$114,A137,Dic!$V$3:$V$114)</f>
        <v>0</v>
      </c>
      <c r="O137" s="183">
        <f t="shared" si="2"/>
        <v>1</v>
      </c>
    </row>
    <row r="138" spans="1:15" x14ac:dyDescent="0.3">
      <c r="A138" s="227">
        <v>755</v>
      </c>
      <c r="B138" s="228" t="s">
        <v>1280</v>
      </c>
      <c r="C138" s="229" t="s">
        <v>257</v>
      </c>
      <c r="D138" s="229" t="s">
        <v>128</v>
      </c>
      <c r="E138" s="229" t="s">
        <v>132</v>
      </c>
      <c r="F138" s="229" t="s">
        <v>133</v>
      </c>
      <c r="G138" s="229" t="s">
        <v>1281</v>
      </c>
      <c r="H138" s="229" t="s">
        <v>132</v>
      </c>
      <c r="I138" s="230">
        <v>339578</v>
      </c>
      <c r="J138" s="230"/>
      <c r="K138" s="229" t="s">
        <v>1282</v>
      </c>
      <c r="L138" s="169">
        <f>I138+J138*EERR!$D$2</f>
        <v>339578</v>
      </c>
      <c r="M138" s="109">
        <f>L138/EERR!$D$2</f>
        <v>497.92225692458834</v>
      </c>
      <c r="N138" s="109">
        <f>SUMIF(Dic!$B$3:$B$114,A138,Dic!$V$3:$V$114)</f>
        <v>0</v>
      </c>
      <c r="O138" s="183">
        <f t="shared" si="2"/>
        <v>1</v>
      </c>
    </row>
    <row r="139" spans="1:15" x14ac:dyDescent="0.3">
      <c r="A139" s="227">
        <v>756</v>
      </c>
      <c r="B139" s="228" t="s">
        <v>1342</v>
      </c>
      <c r="C139" s="229" t="s">
        <v>258</v>
      </c>
      <c r="D139" s="229" t="s">
        <v>128</v>
      </c>
      <c r="E139" s="229" t="s">
        <v>129</v>
      </c>
      <c r="F139" s="229" t="s">
        <v>133</v>
      </c>
      <c r="G139" s="229" t="s">
        <v>1343</v>
      </c>
      <c r="H139" s="229" t="s">
        <v>131</v>
      </c>
      <c r="I139" s="230"/>
      <c r="J139" s="230">
        <v>230</v>
      </c>
      <c r="K139" s="229" t="s">
        <v>1382</v>
      </c>
      <c r="L139" s="169">
        <f>I139+J139*EERR!$D$2</f>
        <v>156857.70000000001</v>
      </c>
      <c r="M139" s="109">
        <f>L139/EERR!$D$2</f>
        <v>230</v>
      </c>
      <c r="N139" s="109">
        <f>SUMIF(Dic!$B$3:$B$114,A139,Dic!$V$3:$V$114)</f>
        <v>313715.40000000002</v>
      </c>
      <c r="O139" s="183">
        <f t="shared" si="2"/>
        <v>1</v>
      </c>
    </row>
    <row r="140" spans="1:15" x14ac:dyDescent="0.3">
      <c r="A140" s="227">
        <v>757</v>
      </c>
      <c r="B140" s="228" t="s">
        <v>1344</v>
      </c>
      <c r="C140" s="229" t="s">
        <v>258</v>
      </c>
      <c r="D140" s="229" t="s">
        <v>128</v>
      </c>
      <c r="E140" s="229" t="s">
        <v>129</v>
      </c>
      <c r="F140" s="229" t="s">
        <v>133</v>
      </c>
      <c r="G140" s="229" t="s">
        <v>1008</v>
      </c>
      <c r="H140" s="229" t="s">
        <v>131</v>
      </c>
      <c r="I140" s="230"/>
      <c r="J140" s="230">
        <v>621</v>
      </c>
      <c r="K140" s="229" t="s">
        <v>1383</v>
      </c>
      <c r="L140" s="169">
        <f>I140+J140*EERR!$D$2</f>
        <v>423515.79</v>
      </c>
      <c r="M140" s="109">
        <f>L140/EERR!$D$2</f>
        <v>621</v>
      </c>
      <c r="N140" s="109">
        <f>SUMIF(Dic!$B$3:$B$114,A140,Dic!$V$3:$V$114)</f>
        <v>0</v>
      </c>
      <c r="O140" s="183">
        <f t="shared" si="2"/>
        <v>1</v>
      </c>
    </row>
    <row r="141" spans="1:15" x14ac:dyDescent="0.3">
      <c r="A141" s="227">
        <v>758</v>
      </c>
      <c r="B141" s="228" t="s">
        <v>1345</v>
      </c>
      <c r="C141" s="229" t="s">
        <v>258</v>
      </c>
      <c r="D141" s="229" t="s">
        <v>128</v>
      </c>
      <c r="E141" s="229" t="s">
        <v>129</v>
      </c>
      <c r="F141" s="229" t="s">
        <v>133</v>
      </c>
      <c r="G141" s="229" t="s">
        <v>1346</v>
      </c>
      <c r="H141" s="229" t="s">
        <v>131</v>
      </c>
      <c r="I141" s="230"/>
      <c r="J141" s="230">
        <v>435</v>
      </c>
      <c r="K141" s="229" t="s">
        <v>1384</v>
      </c>
      <c r="L141" s="169">
        <f>I141+J141*EERR!$D$2</f>
        <v>296665.65000000002</v>
      </c>
      <c r="M141" s="109">
        <f>L141/EERR!$D$2</f>
        <v>435</v>
      </c>
      <c r="N141" s="109">
        <f>SUMIF(Dic!$B$3:$B$114,A141,Dic!$V$3:$V$114)</f>
        <v>0</v>
      </c>
      <c r="O141" s="183">
        <f t="shared" si="2"/>
        <v>1</v>
      </c>
    </row>
    <row r="142" spans="1:15" x14ac:dyDescent="0.3">
      <c r="A142" s="227">
        <v>759</v>
      </c>
      <c r="B142" s="228" t="s">
        <v>1347</v>
      </c>
      <c r="C142" s="229" t="s">
        <v>1348</v>
      </c>
      <c r="D142" s="229" t="s">
        <v>128</v>
      </c>
      <c r="E142" s="229" t="s">
        <v>129</v>
      </c>
      <c r="F142" s="229" t="s">
        <v>134</v>
      </c>
      <c r="G142" s="229" t="s">
        <v>1290</v>
      </c>
      <c r="H142" s="229" t="s">
        <v>131</v>
      </c>
      <c r="I142" s="230"/>
      <c r="J142" s="230">
        <v>640</v>
      </c>
      <c r="K142" s="229" t="s">
        <v>1385</v>
      </c>
      <c r="L142" s="169">
        <f>I142+J142*EERR!$D$2</f>
        <v>436473.59999999998</v>
      </c>
      <c r="M142" s="109">
        <f>L142/EERR!$D$2</f>
        <v>640</v>
      </c>
      <c r="N142" s="109">
        <f>SUMIF(Dic!$B$3:$B$114,A142,Dic!$V$3:$V$114)</f>
        <v>0</v>
      </c>
      <c r="O142" s="183">
        <f t="shared" si="2"/>
        <v>1</v>
      </c>
    </row>
    <row r="143" spans="1:15" x14ac:dyDescent="0.3">
      <c r="A143" s="227">
        <v>760</v>
      </c>
      <c r="B143" s="228" t="s">
        <v>1349</v>
      </c>
      <c r="C143" s="229" t="s">
        <v>1350</v>
      </c>
      <c r="D143" s="229" t="s">
        <v>128</v>
      </c>
      <c r="E143" s="229" t="s">
        <v>129</v>
      </c>
      <c r="F143" s="229" t="s">
        <v>134</v>
      </c>
      <c r="G143" s="229" t="s">
        <v>1351</v>
      </c>
      <c r="H143" s="229" t="s">
        <v>131</v>
      </c>
      <c r="I143" s="230"/>
      <c r="J143" s="230">
        <v>194.75</v>
      </c>
      <c r="K143" s="229" t="s">
        <v>1386</v>
      </c>
      <c r="L143" s="169">
        <f>I143+J143*EERR!$D$2</f>
        <v>132817.55249999999</v>
      </c>
      <c r="M143" s="109">
        <f>L143/EERR!$D$2</f>
        <v>194.74999999999997</v>
      </c>
      <c r="N143" s="109">
        <f>SUMIF(Dic!$B$3:$B$114,A143,Dic!$V$3:$V$114)</f>
        <v>0</v>
      </c>
      <c r="O143" s="183">
        <f t="shared" si="2"/>
        <v>1</v>
      </c>
    </row>
    <row r="144" spans="1:15" x14ac:dyDescent="0.3">
      <c r="A144" s="227">
        <v>761</v>
      </c>
      <c r="B144" s="228" t="s">
        <v>1352</v>
      </c>
      <c r="C144" s="229" t="s">
        <v>1353</v>
      </c>
      <c r="D144" s="229" t="s">
        <v>128</v>
      </c>
      <c r="E144" s="229" t="s">
        <v>129</v>
      </c>
      <c r="F144" s="229" t="s">
        <v>134</v>
      </c>
      <c r="G144" s="229" t="s">
        <v>999</v>
      </c>
      <c r="H144" s="229" t="s">
        <v>131</v>
      </c>
      <c r="I144" s="230"/>
      <c r="J144" s="230">
        <v>205</v>
      </c>
      <c r="K144" s="229" t="s">
        <v>1387</v>
      </c>
      <c r="L144" s="169">
        <f>I144+J144*EERR!$D$2</f>
        <v>139807.95000000001</v>
      </c>
      <c r="M144" s="109">
        <f>L144/EERR!$D$2</f>
        <v>205.00000000000003</v>
      </c>
      <c r="N144" s="109">
        <f>SUMIF(Dic!$B$3:$B$114,A144,Dic!$V$3:$V$114)</f>
        <v>0</v>
      </c>
      <c r="O144" s="183">
        <f t="shared" si="2"/>
        <v>1</v>
      </c>
    </row>
    <row r="145" spans="1:18" x14ac:dyDescent="0.3">
      <c r="A145" s="227">
        <v>762</v>
      </c>
      <c r="B145" s="228" t="s">
        <v>1354</v>
      </c>
      <c r="C145" s="229" t="s">
        <v>1355</v>
      </c>
      <c r="D145" s="229" t="s">
        <v>128</v>
      </c>
      <c r="E145" s="229" t="s">
        <v>129</v>
      </c>
      <c r="F145" s="229" t="s">
        <v>130</v>
      </c>
      <c r="G145" s="229" t="s">
        <v>1356</v>
      </c>
      <c r="H145" s="229" t="s">
        <v>131</v>
      </c>
      <c r="I145" s="230"/>
      <c r="J145" s="230">
        <v>640</v>
      </c>
      <c r="K145" s="229" t="s">
        <v>1388</v>
      </c>
      <c r="L145" s="169">
        <f>I145+J145*EERR!$D$2</f>
        <v>436473.59999999998</v>
      </c>
      <c r="M145" s="109">
        <f>L145/EERR!$D$2</f>
        <v>640</v>
      </c>
      <c r="N145" s="109">
        <f>SUMIF(Dic!$B$3:$B$114,A145,Dic!$V$3:$V$114)</f>
        <v>0</v>
      </c>
      <c r="O145" s="183">
        <f t="shared" si="2"/>
        <v>1</v>
      </c>
    </row>
    <row r="146" spans="1:18" x14ac:dyDescent="0.3">
      <c r="A146" s="227">
        <v>763</v>
      </c>
      <c r="B146" s="228" t="s">
        <v>1357</v>
      </c>
      <c r="C146" s="229" t="s">
        <v>1358</v>
      </c>
      <c r="D146" s="229" t="s">
        <v>128</v>
      </c>
      <c r="E146" s="229" t="s">
        <v>129</v>
      </c>
      <c r="F146" s="229" t="s">
        <v>130</v>
      </c>
      <c r="G146" s="229" t="s">
        <v>990</v>
      </c>
      <c r="H146" s="229" t="s">
        <v>131</v>
      </c>
      <c r="I146" s="230"/>
      <c r="J146" s="230">
        <v>410</v>
      </c>
      <c r="K146" s="229" t="s">
        <v>643</v>
      </c>
      <c r="L146" s="169">
        <f>I146+J146*EERR!$D$2</f>
        <v>279615.90000000002</v>
      </c>
      <c r="M146" s="109">
        <f>L146/EERR!$D$2</f>
        <v>410.00000000000006</v>
      </c>
      <c r="N146" s="109">
        <f>SUMIF(Dic!$B$3:$B$114,A146,Dic!$V$3:$V$114)</f>
        <v>0</v>
      </c>
      <c r="O146" s="183">
        <f t="shared" si="2"/>
        <v>1</v>
      </c>
    </row>
    <row r="147" spans="1:18" x14ac:dyDescent="0.3">
      <c r="A147" s="227">
        <v>764</v>
      </c>
      <c r="B147" s="228" t="s">
        <v>1359</v>
      </c>
      <c r="C147" s="229" t="s">
        <v>1360</v>
      </c>
      <c r="D147" s="229" t="s">
        <v>128</v>
      </c>
      <c r="E147" s="229" t="s">
        <v>129</v>
      </c>
      <c r="F147" s="229" t="s">
        <v>133</v>
      </c>
      <c r="G147" s="229" t="s">
        <v>1361</v>
      </c>
      <c r="H147" s="229" t="s">
        <v>131</v>
      </c>
      <c r="I147" s="230"/>
      <c r="J147" s="230">
        <v>205</v>
      </c>
      <c r="K147" s="229" t="s">
        <v>1389</v>
      </c>
      <c r="L147" s="169">
        <f>I147+J147*EERR!$D$2</f>
        <v>139807.95000000001</v>
      </c>
      <c r="M147" s="109">
        <f>L147/EERR!$D$2</f>
        <v>205.00000000000003</v>
      </c>
      <c r="N147" s="109">
        <f>SUMIF(Dic!$B$3:$B$114,A147,Dic!$V$3:$V$114)</f>
        <v>0</v>
      </c>
      <c r="O147" s="183">
        <f t="shared" si="2"/>
        <v>1</v>
      </c>
    </row>
    <row r="148" spans="1:18" x14ac:dyDescent="0.3">
      <c r="A148" s="227">
        <v>765</v>
      </c>
      <c r="B148" s="228" t="s">
        <v>1362</v>
      </c>
      <c r="C148" s="229" t="s">
        <v>1363</v>
      </c>
      <c r="D148" s="229" t="s">
        <v>128</v>
      </c>
      <c r="E148" s="229" t="s">
        <v>129</v>
      </c>
      <c r="F148" s="229" t="s">
        <v>134</v>
      </c>
      <c r="G148" s="229" t="s">
        <v>1364</v>
      </c>
      <c r="H148" s="229" t="s">
        <v>131</v>
      </c>
      <c r="I148" s="230"/>
      <c r="J148" s="230">
        <v>205</v>
      </c>
      <c r="K148" s="229" t="s">
        <v>1390</v>
      </c>
      <c r="L148" s="169">
        <f>I148+J148*EERR!$D$2</f>
        <v>139807.95000000001</v>
      </c>
      <c r="M148" s="109">
        <f>L148/EERR!$D$2</f>
        <v>205.00000000000003</v>
      </c>
      <c r="N148" s="109">
        <f>SUMIF(Dic!$B$3:$B$114,A148,Dic!$V$3:$V$114)</f>
        <v>0</v>
      </c>
      <c r="O148" s="183">
        <f t="shared" si="2"/>
        <v>1</v>
      </c>
    </row>
    <row r="149" spans="1:18" x14ac:dyDescent="0.3">
      <c r="A149" s="227">
        <v>766</v>
      </c>
      <c r="B149" s="228" t="s">
        <v>1365</v>
      </c>
      <c r="C149" s="229" t="s">
        <v>1366</v>
      </c>
      <c r="D149" s="229" t="s">
        <v>128</v>
      </c>
      <c r="E149" s="229" t="s">
        <v>129</v>
      </c>
      <c r="F149" s="229" t="s">
        <v>133</v>
      </c>
      <c r="G149" s="229" t="s">
        <v>1367</v>
      </c>
      <c r="H149" s="229" t="s">
        <v>131</v>
      </c>
      <c r="I149" s="230"/>
      <c r="J149" s="230">
        <v>205</v>
      </c>
      <c r="K149" s="229" t="s">
        <v>1391</v>
      </c>
      <c r="L149" s="169">
        <f>I149+J149*EERR!$D$2</f>
        <v>139807.95000000001</v>
      </c>
      <c r="M149" s="109">
        <f>L149/EERR!$D$2</f>
        <v>205.00000000000003</v>
      </c>
      <c r="N149" s="109">
        <f>SUMIF(Dic!$B$3:$B$114,A149,Dic!$V$3:$V$114)</f>
        <v>0</v>
      </c>
      <c r="O149" s="183">
        <f t="shared" si="2"/>
        <v>1</v>
      </c>
    </row>
    <row r="150" spans="1:18" x14ac:dyDescent="0.3">
      <c r="A150" s="227">
        <v>767</v>
      </c>
      <c r="B150" s="228" t="s">
        <v>1368</v>
      </c>
      <c r="C150" s="229" t="s">
        <v>1369</v>
      </c>
      <c r="D150" s="229" t="s">
        <v>128</v>
      </c>
      <c r="E150" s="229" t="s">
        <v>129</v>
      </c>
      <c r="F150" s="229" t="s">
        <v>130</v>
      </c>
      <c r="G150" s="229" t="s">
        <v>1026</v>
      </c>
      <c r="H150" s="229" t="s">
        <v>131</v>
      </c>
      <c r="I150" s="230"/>
      <c r="J150" s="230">
        <v>205</v>
      </c>
      <c r="K150" s="229" t="s">
        <v>1392</v>
      </c>
      <c r="L150" s="169">
        <f>I150+J150*EERR!$D$2</f>
        <v>139807.95000000001</v>
      </c>
      <c r="M150" s="109">
        <f>L150/EERR!$D$2</f>
        <v>205.00000000000003</v>
      </c>
      <c r="N150" s="109">
        <f>SUMIF(Dic!$B$3:$B$114,A150,Dic!$V$3:$V$114)</f>
        <v>0</v>
      </c>
      <c r="O150" s="183">
        <f t="shared" si="2"/>
        <v>1</v>
      </c>
    </row>
    <row r="151" spans="1:18" x14ac:dyDescent="0.3">
      <c r="A151" s="227">
        <v>768</v>
      </c>
      <c r="B151" s="228" t="s">
        <v>1286</v>
      </c>
      <c r="C151" s="229" t="s">
        <v>257</v>
      </c>
      <c r="D151" s="229" t="s">
        <v>128</v>
      </c>
      <c r="E151" s="229" t="s">
        <v>132</v>
      </c>
      <c r="F151" s="229" t="s">
        <v>133</v>
      </c>
      <c r="G151" s="229" t="s">
        <v>1287</v>
      </c>
      <c r="H151" s="229" t="s">
        <v>132</v>
      </c>
      <c r="I151" s="230">
        <v>10000</v>
      </c>
      <c r="J151" s="230"/>
      <c r="K151" s="229" t="s">
        <v>1288</v>
      </c>
      <c r="L151" s="169">
        <f>I151+J151*EERR!$D$2</f>
        <v>10000</v>
      </c>
      <c r="M151" s="109">
        <f>L151/EERR!$D$2</f>
        <v>14.662971597824015</v>
      </c>
      <c r="N151" s="109">
        <f>SUMIF(Dic!$B$3:$B$114,A151,Dic!$V$3:$V$114)</f>
        <v>0</v>
      </c>
      <c r="O151" s="183">
        <f t="shared" si="2"/>
        <v>1</v>
      </c>
    </row>
    <row r="152" spans="1:18" x14ac:dyDescent="0.3">
      <c r="A152" s="227">
        <v>769</v>
      </c>
      <c r="B152" s="228" t="s">
        <v>1289</v>
      </c>
      <c r="C152" s="229" t="s">
        <v>257</v>
      </c>
      <c r="D152" s="229" t="s">
        <v>128</v>
      </c>
      <c r="E152" s="229" t="s">
        <v>132</v>
      </c>
      <c r="F152" s="229" t="s">
        <v>134</v>
      </c>
      <c r="G152" s="229" t="s">
        <v>1290</v>
      </c>
      <c r="H152" s="229" t="s">
        <v>132</v>
      </c>
      <c r="I152" s="230">
        <v>30000</v>
      </c>
      <c r="J152" s="230"/>
      <c r="K152" s="229" t="s">
        <v>1291</v>
      </c>
      <c r="L152" s="169">
        <f>I152+J152*EERR!$D$2</f>
        <v>30000</v>
      </c>
      <c r="M152" s="109">
        <f>L152/EERR!$D$2</f>
        <v>43.988914793472041</v>
      </c>
      <c r="N152" s="109">
        <f>SUMIF(Dic!$B$3:$B$114,A152,Dic!$V$3:$V$114)</f>
        <v>0</v>
      </c>
      <c r="O152" s="183">
        <f t="shared" si="2"/>
        <v>1</v>
      </c>
    </row>
    <row r="153" spans="1:18" x14ac:dyDescent="0.3">
      <c r="A153" s="227">
        <v>771</v>
      </c>
      <c r="B153" s="228" t="s">
        <v>1292</v>
      </c>
      <c r="C153" s="229" t="s">
        <v>257</v>
      </c>
      <c r="D153" s="229" t="s">
        <v>128</v>
      </c>
      <c r="E153" s="229" t="s">
        <v>132</v>
      </c>
      <c r="F153" s="229" t="s">
        <v>134</v>
      </c>
      <c r="G153" s="229" t="s">
        <v>1293</v>
      </c>
      <c r="H153" s="229" t="s">
        <v>132</v>
      </c>
      <c r="I153" s="230">
        <v>170277</v>
      </c>
      <c r="J153" s="230"/>
      <c r="K153" s="229" t="s">
        <v>1294</v>
      </c>
      <c r="L153" s="169">
        <f>I153+J153*EERR!$D$2</f>
        <v>170277</v>
      </c>
      <c r="M153" s="109">
        <f>L153/EERR!$D$2</f>
        <v>249.67668147626799</v>
      </c>
      <c r="N153" s="109">
        <f>SUMIF(Dic!$B$3:$B$114,A153,Dic!$V$3:$V$114)</f>
        <v>0</v>
      </c>
      <c r="O153" s="183">
        <f t="shared" si="2"/>
        <v>2</v>
      </c>
    </row>
    <row r="154" spans="1:18" x14ac:dyDescent="0.3">
      <c r="A154" s="227">
        <v>773</v>
      </c>
      <c r="B154" s="228" t="s">
        <v>1295</v>
      </c>
      <c r="C154" s="229" t="s">
        <v>257</v>
      </c>
      <c r="D154" s="229" t="s">
        <v>128</v>
      </c>
      <c r="E154" s="229" t="s">
        <v>132</v>
      </c>
      <c r="F154" s="229" t="s">
        <v>134</v>
      </c>
      <c r="G154" s="229" t="s">
        <v>1296</v>
      </c>
      <c r="H154" s="229" t="s">
        <v>132</v>
      </c>
      <c r="I154" s="230">
        <v>170277</v>
      </c>
      <c r="J154" s="230"/>
      <c r="K154" s="229" t="s">
        <v>1297</v>
      </c>
      <c r="L154" s="169">
        <f>I154+J154*EERR!$D$2</f>
        <v>170277</v>
      </c>
      <c r="M154" s="109">
        <f>L154/EERR!$D$2</f>
        <v>249.67668147626799</v>
      </c>
      <c r="N154" s="109">
        <f>SUMIF(Dic!$B$3:$B$114,A154,Dic!$V$3:$V$114)</f>
        <v>0</v>
      </c>
      <c r="O154" s="183">
        <f t="shared" si="2"/>
        <v>2</v>
      </c>
    </row>
    <row r="155" spans="1:18" x14ac:dyDescent="0.3">
      <c r="A155" s="227">
        <v>774</v>
      </c>
      <c r="B155" s="228" t="s">
        <v>1298</v>
      </c>
      <c r="C155" s="229" t="s">
        <v>258</v>
      </c>
      <c r="D155" s="229" t="s">
        <v>128</v>
      </c>
      <c r="E155" s="229" t="s">
        <v>129</v>
      </c>
      <c r="F155" s="229" t="s">
        <v>133</v>
      </c>
      <c r="G155" s="229" t="s">
        <v>1299</v>
      </c>
      <c r="H155" s="229" t="s">
        <v>131</v>
      </c>
      <c r="I155" s="230"/>
      <c r="J155" s="230">
        <v>205</v>
      </c>
      <c r="K155" s="229" t="s">
        <v>1300</v>
      </c>
      <c r="L155" s="169">
        <f>I155+J155*EERR!$D$2</f>
        <v>139807.95000000001</v>
      </c>
      <c r="M155" s="109">
        <f>L155/EERR!$D$2</f>
        <v>205.00000000000003</v>
      </c>
      <c r="N155" s="109">
        <f>SUMIF(Dic!$B$3:$B$114,A155,Dic!$V$3:$V$114)</f>
        <v>0</v>
      </c>
      <c r="O155" s="183">
        <f t="shared" si="2"/>
        <v>1</v>
      </c>
    </row>
    <row r="156" spans="1:18" x14ac:dyDescent="0.3">
      <c r="A156" s="227">
        <v>775</v>
      </c>
      <c r="B156" s="228" t="s">
        <v>1301</v>
      </c>
      <c r="C156" s="229" t="s">
        <v>258</v>
      </c>
      <c r="D156" s="229" t="s">
        <v>128</v>
      </c>
      <c r="E156" s="229" t="s">
        <v>129</v>
      </c>
      <c r="F156" s="229" t="s">
        <v>133</v>
      </c>
      <c r="G156" s="229" t="s">
        <v>1302</v>
      </c>
      <c r="H156" s="229" t="s">
        <v>131</v>
      </c>
      <c r="I156" s="230"/>
      <c r="J156" s="230">
        <v>205</v>
      </c>
      <c r="K156" s="229" t="s">
        <v>1303</v>
      </c>
      <c r="L156" s="169">
        <f>I156+J156*EERR!$D$2</f>
        <v>139807.95000000001</v>
      </c>
      <c r="M156" s="109">
        <f>L156/EERR!$D$2</f>
        <v>205.00000000000003</v>
      </c>
      <c r="N156" s="109">
        <f>SUMIF(Dic!$B$3:$B$114,A156,Dic!$V$3:$V$114)</f>
        <v>0</v>
      </c>
      <c r="O156" s="183">
        <f t="shared" si="2"/>
        <v>1</v>
      </c>
    </row>
    <row r="157" spans="1:18" x14ac:dyDescent="0.3">
      <c r="A157" s="227">
        <v>777</v>
      </c>
      <c r="B157" s="228" t="s">
        <v>1304</v>
      </c>
      <c r="C157" s="229" t="s">
        <v>258</v>
      </c>
      <c r="D157" s="229" t="s">
        <v>128</v>
      </c>
      <c r="E157" s="229" t="s">
        <v>129</v>
      </c>
      <c r="F157" s="229" t="s">
        <v>134</v>
      </c>
      <c r="G157" s="229" t="s">
        <v>1305</v>
      </c>
      <c r="H157" s="229" t="s">
        <v>131</v>
      </c>
      <c r="I157" s="230"/>
      <c r="J157" s="230">
        <v>184.5</v>
      </c>
      <c r="K157" s="229" t="s">
        <v>1306</v>
      </c>
      <c r="L157" s="169">
        <f>I157+J157*EERR!$D$2</f>
        <v>125827.155</v>
      </c>
      <c r="M157" s="109">
        <f>L157/EERR!$D$2</f>
        <v>184.5</v>
      </c>
      <c r="N157" s="109">
        <f>SUMIF(Dic!$B$3:$B$114,A157,Dic!$V$3:$V$114)</f>
        <v>0</v>
      </c>
      <c r="O157" s="183">
        <f t="shared" si="2"/>
        <v>2</v>
      </c>
    </row>
    <row r="158" spans="1:18" x14ac:dyDescent="0.3">
      <c r="A158" s="227">
        <v>778</v>
      </c>
      <c r="B158" s="228" t="s">
        <v>1307</v>
      </c>
      <c r="C158" s="229" t="s">
        <v>258</v>
      </c>
      <c r="D158" s="229" t="s">
        <v>128</v>
      </c>
      <c r="E158" s="229" t="s">
        <v>129</v>
      </c>
      <c r="F158" s="229" t="s">
        <v>130</v>
      </c>
      <c r="G158" s="229" t="s">
        <v>1308</v>
      </c>
      <c r="H158" s="229" t="s">
        <v>131</v>
      </c>
      <c r="I158" s="230"/>
      <c r="J158" s="230">
        <v>205</v>
      </c>
      <c r="K158" s="229" t="s">
        <v>1309</v>
      </c>
      <c r="L158" s="169">
        <f>I158+J158*EERR!$D$2</f>
        <v>139807.95000000001</v>
      </c>
      <c r="M158" s="109">
        <f>L158/EERR!$D$2</f>
        <v>205.00000000000003</v>
      </c>
      <c r="N158" s="109">
        <f>SUMIF(Dic!$B$3:$B$114,A158,Dic!$V$3:$V$114)</f>
        <v>0</v>
      </c>
      <c r="O158" s="183">
        <f t="shared" si="2"/>
        <v>1</v>
      </c>
    </row>
    <row r="159" spans="1:18" x14ac:dyDescent="0.3">
      <c r="A159" s="227">
        <v>779</v>
      </c>
      <c r="B159" s="228" t="s">
        <v>1310</v>
      </c>
      <c r="C159" s="229" t="s">
        <v>258</v>
      </c>
      <c r="D159" s="229" t="s">
        <v>128</v>
      </c>
      <c r="E159" s="229" t="s">
        <v>129</v>
      </c>
      <c r="F159" s="229" t="s">
        <v>130</v>
      </c>
      <c r="G159" s="229" t="s">
        <v>1308</v>
      </c>
      <c r="H159" s="229" t="s">
        <v>131</v>
      </c>
      <c r="I159" s="230"/>
      <c r="J159" s="230">
        <v>205</v>
      </c>
      <c r="K159" s="229" t="s">
        <v>346</v>
      </c>
      <c r="L159" s="169">
        <f>I159+J159*EERR!$D$2</f>
        <v>139807.95000000001</v>
      </c>
      <c r="M159" s="109">
        <f>L159/EERR!$D$2</f>
        <v>205.00000000000003</v>
      </c>
      <c r="N159" s="109">
        <f>SUMIF(Dic!$B$3:$B$114,A159,Dic!$V$3:$V$114)</f>
        <v>0</v>
      </c>
      <c r="O159" s="183">
        <f t="shared" si="2"/>
        <v>1</v>
      </c>
      <c r="Q159" s="183">
        <f>SUM(J2:J166)+Dic!L113</f>
        <v>60497.2</v>
      </c>
      <c r="R159" s="164">
        <f>Q159*EERR!D2</f>
        <v>41258485.427999996</v>
      </c>
    </row>
    <row r="160" spans="1:18" x14ac:dyDescent="0.3">
      <c r="A160" s="227">
        <v>780</v>
      </c>
      <c r="B160" s="228" t="s">
        <v>1311</v>
      </c>
      <c r="C160" s="229" t="s">
        <v>258</v>
      </c>
      <c r="D160" s="229" t="s">
        <v>128</v>
      </c>
      <c r="E160" s="229" t="s">
        <v>129</v>
      </c>
      <c r="F160" s="229" t="s">
        <v>134</v>
      </c>
      <c r="G160" s="229" t="s">
        <v>1312</v>
      </c>
      <c r="H160" s="229" t="s">
        <v>131</v>
      </c>
      <c r="I160" s="230"/>
      <c r="J160" s="230">
        <v>205</v>
      </c>
      <c r="K160" s="229" t="s">
        <v>1313</v>
      </c>
      <c r="L160" s="169">
        <f>I160+J160*EERR!$D$2</f>
        <v>139807.95000000001</v>
      </c>
      <c r="M160" s="109">
        <f>L160/EERR!$D$2</f>
        <v>205.00000000000003</v>
      </c>
      <c r="N160" s="109">
        <f>SUMIF(Dic!$B$3:$B$114,A160,Dic!$V$3:$V$114)</f>
        <v>0</v>
      </c>
      <c r="O160" s="183">
        <f t="shared" si="2"/>
        <v>1</v>
      </c>
    </row>
    <row r="161" spans="1:15" x14ac:dyDescent="0.3">
      <c r="A161" s="227">
        <v>782</v>
      </c>
      <c r="B161" s="228" t="s">
        <v>1314</v>
      </c>
      <c r="C161" s="229" t="s">
        <v>258</v>
      </c>
      <c r="D161" s="229" t="s">
        <v>128</v>
      </c>
      <c r="E161" s="229" t="s">
        <v>129</v>
      </c>
      <c r="F161" s="229" t="s">
        <v>130</v>
      </c>
      <c r="G161" s="229" t="s">
        <v>1315</v>
      </c>
      <c r="H161" s="229" t="s">
        <v>131</v>
      </c>
      <c r="I161" s="230"/>
      <c r="J161" s="230">
        <v>205</v>
      </c>
      <c r="K161" s="229" t="s">
        <v>1206</v>
      </c>
      <c r="L161" s="169">
        <f>I161+J161*EERR!$D$2</f>
        <v>139807.95000000001</v>
      </c>
      <c r="M161" s="109">
        <f>L161/EERR!$D$2</f>
        <v>205.00000000000003</v>
      </c>
      <c r="N161" s="109">
        <f>SUMIF(Dic!$B$3:$B$114,A161,Dic!$V$3:$V$114)</f>
        <v>0</v>
      </c>
      <c r="O161" s="183">
        <f t="shared" si="2"/>
        <v>2</v>
      </c>
    </row>
    <row r="162" spans="1:15" x14ac:dyDescent="0.3">
      <c r="A162" s="227">
        <v>783</v>
      </c>
      <c r="B162" s="228" t="s">
        <v>1316</v>
      </c>
      <c r="C162" s="229" t="s">
        <v>258</v>
      </c>
      <c r="D162" s="229" t="s">
        <v>128</v>
      </c>
      <c r="E162" s="229" t="s">
        <v>129</v>
      </c>
      <c r="F162" s="229" t="s">
        <v>134</v>
      </c>
      <c r="G162" s="229" t="s">
        <v>1317</v>
      </c>
      <c r="H162" s="229" t="s">
        <v>131</v>
      </c>
      <c r="I162" s="230"/>
      <c r="J162" s="230">
        <v>205</v>
      </c>
      <c r="K162" s="229" t="s">
        <v>1318</v>
      </c>
      <c r="L162" s="169">
        <f>I162+J162*EERR!$D$2</f>
        <v>139807.95000000001</v>
      </c>
      <c r="M162" s="109">
        <f>L162/EERR!$D$2</f>
        <v>205.00000000000003</v>
      </c>
      <c r="N162" s="109">
        <f>SUMIF(Dic!$B$3:$B$114,A162,Dic!$V$3:$V$114)</f>
        <v>0</v>
      </c>
      <c r="O162" s="183">
        <f t="shared" si="2"/>
        <v>1</v>
      </c>
    </row>
    <row r="163" spans="1:15" x14ac:dyDescent="0.3">
      <c r="A163" s="227">
        <v>784</v>
      </c>
      <c r="B163" s="228" t="s">
        <v>1319</v>
      </c>
      <c r="C163" s="229" t="s">
        <v>258</v>
      </c>
      <c r="D163" s="229" t="s">
        <v>128</v>
      </c>
      <c r="E163" s="229" t="s">
        <v>129</v>
      </c>
      <c r="F163" s="229" t="s">
        <v>134</v>
      </c>
      <c r="G163" s="229" t="s">
        <v>1141</v>
      </c>
      <c r="H163" s="229" t="s">
        <v>131</v>
      </c>
      <c r="I163" s="230"/>
      <c r="J163" s="230">
        <v>615</v>
      </c>
      <c r="K163" s="229" t="s">
        <v>1320</v>
      </c>
      <c r="L163" s="169">
        <f>I163+J163*EERR!$D$2</f>
        <v>419423.85</v>
      </c>
      <c r="M163" s="109">
        <f>L163/EERR!$D$2</f>
        <v>615</v>
      </c>
      <c r="N163" s="109">
        <f>SUMIF(Dic!$B$3:$B$114,A163,Dic!$V$3:$V$114)</f>
        <v>0</v>
      </c>
      <c r="O163" s="183">
        <f t="shared" si="2"/>
        <v>1</v>
      </c>
    </row>
    <row r="164" spans="1:15" x14ac:dyDescent="0.3">
      <c r="A164" s="227">
        <v>785</v>
      </c>
      <c r="B164" s="228" t="s">
        <v>1321</v>
      </c>
      <c r="C164" s="229" t="s">
        <v>258</v>
      </c>
      <c r="D164" s="229" t="s">
        <v>128</v>
      </c>
      <c r="E164" s="229" t="s">
        <v>129</v>
      </c>
      <c r="F164" s="229" t="s">
        <v>134</v>
      </c>
      <c r="G164" s="229" t="s">
        <v>1041</v>
      </c>
      <c r="H164" s="229" t="s">
        <v>131</v>
      </c>
      <c r="I164" s="230"/>
      <c r="J164" s="230">
        <v>410</v>
      </c>
      <c r="K164" s="229" t="s">
        <v>1322</v>
      </c>
      <c r="L164" s="169">
        <f>I164+J164*EERR!$D$2</f>
        <v>279615.90000000002</v>
      </c>
      <c r="M164" s="109">
        <f>L164/EERR!$D$2</f>
        <v>410.00000000000006</v>
      </c>
      <c r="N164" s="109">
        <f>SUMIF(Dic!$B$3:$B$114,A164,Dic!$V$3:$V$114)</f>
        <v>0</v>
      </c>
      <c r="O164" s="183">
        <f t="shared" si="2"/>
        <v>1</v>
      </c>
    </row>
    <row r="165" spans="1:15" x14ac:dyDescent="0.3">
      <c r="A165" s="227">
        <v>786</v>
      </c>
      <c r="B165" s="228" t="s">
        <v>1323</v>
      </c>
      <c r="C165" s="229" t="s">
        <v>258</v>
      </c>
      <c r="D165" s="229" t="s">
        <v>128</v>
      </c>
      <c r="E165" s="229" t="s">
        <v>129</v>
      </c>
      <c r="F165" s="229" t="s">
        <v>134</v>
      </c>
      <c r="G165" s="229" t="s">
        <v>1073</v>
      </c>
      <c r="H165" s="229" t="s">
        <v>131</v>
      </c>
      <c r="I165" s="230"/>
      <c r="J165" s="230">
        <v>779</v>
      </c>
      <c r="K165" s="229" t="s">
        <v>1324</v>
      </c>
      <c r="L165" s="169">
        <f>I165+J165*EERR!$D$2</f>
        <v>531270.21</v>
      </c>
      <c r="M165" s="109">
        <f>L165/EERR!$D$2</f>
        <v>778.99999999999989</v>
      </c>
      <c r="N165" s="109">
        <f>SUMIF(Dic!$B$3:$B$114,A165,Dic!$V$3:$V$114)</f>
        <v>0</v>
      </c>
      <c r="O165" s="183">
        <f t="shared" si="2"/>
        <v>1</v>
      </c>
    </row>
    <row r="166" spans="1:15" x14ac:dyDescent="0.3">
      <c r="A166" s="227"/>
      <c r="B166" s="228"/>
      <c r="C166" s="229"/>
      <c r="D166" s="229"/>
      <c r="E166" s="229"/>
      <c r="F166" s="229"/>
      <c r="G166" s="229"/>
      <c r="H166" s="229"/>
      <c r="I166" s="230"/>
      <c r="J166" s="230"/>
      <c r="K166" s="229"/>
      <c r="L166" s="169">
        <f>I166+J166*EERR!$D$2</f>
        <v>0</v>
      </c>
      <c r="M166" s="109">
        <f>L166/EERR!$D$2</f>
        <v>0</v>
      </c>
      <c r="N166" s="109">
        <f>SUMIF(Dic!$B$3:$B$114,A166,Dic!$V$3:$V$114)</f>
        <v>0</v>
      </c>
      <c r="O166" s="183">
        <f t="shared" si="2"/>
        <v>-786</v>
      </c>
    </row>
    <row r="167" spans="1:15" x14ac:dyDescent="0.3">
      <c r="A167" s="227"/>
      <c r="B167" s="228"/>
      <c r="C167" s="229"/>
      <c r="D167" s="229"/>
      <c r="E167" s="229"/>
      <c r="F167" s="229"/>
      <c r="G167" s="229"/>
      <c r="H167" s="229"/>
      <c r="I167" s="230"/>
      <c r="J167" s="230"/>
      <c r="K167" s="229"/>
      <c r="L167" s="169">
        <f>I167+J167*EERR!$D$2</f>
        <v>0</v>
      </c>
      <c r="M167" s="109">
        <f>L167/EERR!$D$2</f>
        <v>0</v>
      </c>
      <c r="N167" s="109">
        <f>SUMIF(Dic!$B$3:$B$114,A167,Dic!$V$3:$V$114)</f>
        <v>0</v>
      </c>
      <c r="O167" s="183">
        <f t="shared" ref="O167:O185" si="3">+A167-A166</f>
        <v>0</v>
      </c>
    </row>
    <row r="168" spans="1:15" x14ac:dyDescent="0.3">
      <c r="A168" s="227"/>
      <c r="B168" s="228"/>
      <c r="C168" s="229"/>
      <c r="D168" s="229"/>
      <c r="E168" s="229"/>
      <c r="F168" s="229"/>
      <c r="G168" s="229"/>
      <c r="H168" s="229"/>
      <c r="I168" s="230"/>
      <c r="J168" s="230"/>
      <c r="K168" s="229"/>
      <c r="L168" s="169">
        <f>I168+J168*EERR!$D$2</f>
        <v>0</v>
      </c>
      <c r="M168" s="109">
        <f>L168/EERR!$D$2</f>
        <v>0</v>
      </c>
      <c r="N168" s="109">
        <f>SUMIF(Dic!$B$3:$B$114,A168,Dic!$V$3:$V$114)</f>
        <v>0</v>
      </c>
      <c r="O168" s="183">
        <f t="shared" si="3"/>
        <v>0</v>
      </c>
    </row>
    <row r="169" spans="1:15" x14ac:dyDescent="0.3">
      <c r="A169" s="227"/>
      <c r="B169" s="228"/>
      <c r="C169" s="229"/>
      <c r="D169" s="229"/>
      <c r="E169" s="229"/>
      <c r="F169" s="229"/>
      <c r="G169" s="229"/>
      <c r="H169" s="229"/>
      <c r="I169" s="230"/>
      <c r="J169" s="230"/>
      <c r="K169" s="229"/>
      <c r="L169" s="169">
        <f>I169+J169*EERR!$D$2</f>
        <v>0</v>
      </c>
      <c r="M169" s="109">
        <f>L169/EERR!$D$2</f>
        <v>0</v>
      </c>
      <c r="N169" s="109">
        <f>SUMIF(Dic!$B$3:$B$114,A169,Dic!$V$3:$V$114)</f>
        <v>0</v>
      </c>
      <c r="O169" s="183">
        <f t="shared" si="3"/>
        <v>0</v>
      </c>
    </row>
    <row r="170" spans="1:15" x14ac:dyDescent="0.3">
      <c r="A170" s="227"/>
      <c r="B170" s="228"/>
      <c r="C170" s="229"/>
      <c r="D170" s="229"/>
      <c r="E170" s="229"/>
      <c r="F170" s="229"/>
      <c r="G170" s="229"/>
      <c r="H170" s="229"/>
      <c r="I170" s="230"/>
      <c r="J170" s="230"/>
      <c r="K170" s="229"/>
      <c r="L170" s="169">
        <f>I170+J170*EERR!$D$2</f>
        <v>0</v>
      </c>
      <c r="M170" s="109">
        <f>L170/EERR!$D$2</f>
        <v>0</v>
      </c>
      <c r="N170" s="109">
        <f>SUMIF(Dic!$B$3:$B$114,A170,Dic!$V$3:$V$114)</f>
        <v>0</v>
      </c>
      <c r="O170" s="183">
        <f t="shared" si="3"/>
        <v>0</v>
      </c>
    </row>
    <row r="171" spans="1:15" x14ac:dyDescent="0.3">
      <c r="A171" s="227"/>
      <c r="B171" s="228"/>
      <c r="C171" s="229"/>
      <c r="D171" s="229"/>
      <c r="E171" s="229"/>
      <c r="F171" s="229"/>
      <c r="G171" s="229"/>
      <c r="H171" s="229"/>
      <c r="I171" s="230"/>
      <c r="J171" s="230"/>
      <c r="K171" s="229"/>
      <c r="L171" s="169">
        <f>I171+J171*EERR!$D$2</f>
        <v>0</v>
      </c>
      <c r="M171" s="109">
        <f>L171/EERR!$D$2</f>
        <v>0</v>
      </c>
      <c r="N171" s="109">
        <f>SUMIF(Dic!$B$3:$B$114,A171,Dic!$V$3:$V$114)</f>
        <v>0</v>
      </c>
      <c r="O171" s="183">
        <f t="shared" si="3"/>
        <v>0</v>
      </c>
    </row>
    <row r="172" spans="1:15" x14ac:dyDescent="0.3">
      <c r="A172" s="227"/>
      <c r="B172" s="228"/>
      <c r="C172" s="229"/>
      <c r="D172" s="229"/>
      <c r="E172" s="229"/>
      <c r="F172" s="229"/>
      <c r="G172" s="229"/>
      <c r="H172" s="229"/>
      <c r="I172" s="230"/>
      <c r="J172" s="230"/>
      <c r="K172" s="229"/>
      <c r="L172" s="169">
        <f>I172+J172*EERR!$D$2</f>
        <v>0</v>
      </c>
      <c r="M172" s="109">
        <f>L172/EERR!$D$2</f>
        <v>0</v>
      </c>
      <c r="N172" s="109">
        <f>SUMIF(Dic!$B$3:$B$114,A172,Dic!$V$3:$V$114)</f>
        <v>0</v>
      </c>
      <c r="O172" s="183">
        <f t="shared" si="3"/>
        <v>0</v>
      </c>
    </row>
    <row r="173" spans="1:15" x14ac:dyDescent="0.3">
      <c r="A173" s="227"/>
      <c r="B173" s="228"/>
      <c r="C173" s="229"/>
      <c r="D173" s="229"/>
      <c r="E173" s="229"/>
      <c r="F173" s="229"/>
      <c r="G173" s="229"/>
      <c r="H173" s="229"/>
      <c r="I173" s="230"/>
      <c r="J173" s="230"/>
      <c r="K173" s="229"/>
      <c r="L173" s="169">
        <f>I173+J173*EERR!$D$2</f>
        <v>0</v>
      </c>
      <c r="M173" s="109">
        <f>L173/EERR!$D$2</f>
        <v>0</v>
      </c>
      <c r="N173" s="109">
        <f>SUMIF(Dic!$B$3:$B$114,A173,Dic!$V$3:$V$114)</f>
        <v>0</v>
      </c>
      <c r="O173" s="183">
        <f t="shared" si="3"/>
        <v>0</v>
      </c>
    </row>
    <row r="174" spans="1:15" x14ac:dyDescent="0.3">
      <c r="A174" s="227"/>
      <c r="B174" s="228"/>
      <c r="C174" s="229"/>
      <c r="D174" s="229"/>
      <c r="E174" s="229"/>
      <c r="F174" s="229"/>
      <c r="G174" s="229"/>
      <c r="H174" s="229"/>
      <c r="I174" s="230"/>
      <c r="J174" s="230"/>
      <c r="K174" s="229"/>
      <c r="L174" s="169">
        <f>I174+J174*EERR!$D$2</f>
        <v>0</v>
      </c>
      <c r="M174" s="109">
        <f>L174/EERR!$D$2</f>
        <v>0</v>
      </c>
      <c r="N174" s="109">
        <f>SUMIF(Dic!$B$3:$B$114,A174,Dic!$V$3:$V$114)</f>
        <v>0</v>
      </c>
      <c r="O174" s="183">
        <f t="shared" si="3"/>
        <v>0</v>
      </c>
    </row>
    <row r="175" spans="1:15" x14ac:dyDescent="0.3">
      <c r="A175" s="227"/>
      <c r="B175" s="228"/>
      <c r="C175" s="229"/>
      <c r="D175" s="229"/>
      <c r="E175" s="229"/>
      <c r="F175" s="229"/>
      <c r="G175" s="229"/>
      <c r="H175" s="229"/>
      <c r="I175" s="230"/>
      <c r="J175" s="230"/>
      <c r="K175" s="229"/>
      <c r="L175" s="169">
        <f>I175+J175*EERR!$D$2</f>
        <v>0</v>
      </c>
      <c r="M175" s="109">
        <f>L175/EERR!$D$2</f>
        <v>0</v>
      </c>
      <c r="N175" s="109">
        <f>SUMIF(Dic!$B$3:$B$114,A175,Dic!$V$3:$V$114)</f>
        <v>0</v>
      </c>
      <c r="O175" s="183">
        <f t="shared" si="3"/>
        <v>0</v>
      </c>
    </row>
    <row r="176" spans="1:15" x14ac:dyDescent="0.3">
      <c r="A176" s="213"/>
      <c r="B176" s="214"/>
      <c r="C176" s="215"/>
      <c r="D176" s="215"/>
      <c r="E176" s="215"/>
      <c r="F176" s="215"/>
      <c r="G176" s="215"/>
      <c r="H176" s="215"/>
      <c r="I176" s="216"/>
      <c r="J176" s="216"/>
      <c r="K176" s="215"/>
      <c r="L176" s="169">
        <f>I176+J176*EERR!$D$2</f>
        <v>0</v>
      </c>
      <c r="M176" s="109">
        <f>L176/EERR!$D$2</f>
        <v>0</v>
      </c>
      <c r="N176" s="109">
        <f>SUMIF(Dic!$B$3:$B$114,A176,Dic!$V$3:$V$114)</f>
        <v>0</v>
      </c>
      <c r="O176" s="183">
        <f t="shared" si="3"/>
        <v>0</v>
      </c>
    </row>
    <row r="177" spans="1:15" x14ac:dyDescent="0.3">
      <c r="A177" s="213"/>
      <c r="B177" s="214"/>
      <c r="C177" s="215"/>
      <c r="D177" s="215"/>
      <c r="E177" s="215"/>
      <c r="F177" s="215"/>
      <c r="G177" s="215"/>
      <c r="H177" s="215"/>
      <c r="I177" s="216"/>
      <c r="J177" s="216"/>
      <c r="K177" s="215"/>
      <c r="L177" s="169">
        <f>I177+J177*EERR!$D$2</f>
        <v>0</v>
      </c>
      <c r="M177" s="109">
        <f>L177/EERR!$D$2</f>
        <v>0</v>
      </c>
      <c r="N177" s="109">
        <f>SUMIF(Dic!$B$3:$B$114,A177,Dic!$V$3:$V$114)</f>
        <v>0</v>
      </c>
      <c r="O177" s="183">
        <f t="shared" si="3"/>
        <v>0</v>
      </c>
    </row>
    <row r="178" spans="1:15" x14ac:dyDescent="0.3">
      <c r="A178" s="213"/>
      <c r="B178" s="214"/>
      <c r="C178" s="215"/>
      <c r="D178" s="215"/>
      <c r="E178" s="215"/>
      <c r="F178" s="215"/>
      <c r="G178" s="215"/>
      <c r="H178" s="215"/>
      <c r="I178" s="216"/>
      <c r="J178" s="216"/>
      <c r="K178" s="215"/>
      <c r="L178" s="169">
        <f>I178+J178*EERR!$D$2</f>
        <v>0</v>
      </c>
      <c r="M178" s="109">
        <f>L178/EERR!$D$2</f>
        <v>0</v>
      </c>
      <c r="N178" s="109">
        <f>SUMIF(Dic!$B$3:$B$114,A178,Dic!$V$3:$V$114)</f>
        <v>0</v>
      </c>
      <c r="O178" s="183">
        <f t="shared" si="3"/>
        <v>0</v>
      </c>
    </row>
    <row r="179" spans="1:15" x14ac:dyDescent="0.3">
      <c r="A179" s="213"/>
      <c r="B179" s="214"/>
      <c r="C179" s="215"/>
      <c r="D179" s="215"/>
      <c r="E179" s="215"/>
      <c r="F179" s="215"/>
      <c r="G179" s="215"/>
      <c r="H179" s="215"/>
      <c r="I179" s="216"/>
      <c r="J179" s="216"/>
      <c r="K179" s="215"/>
      <c r="L179" s="169">
        <f>I179+J179*EERR!$D$2</f>
        <v>0</v>
      </c>
      <c r="M179" s="109">
        <f>L179/EERR!$D$2</f>
        <v>0</v>
      </c>
      <c r="N179" s="109">
        <f>SUMIF(Dic!$B$3:$B$114,A179,Dic!$V$3:$V$114)</f>
        <v>0</v>
      </c>
      <c r="O179" s="183">
        <f t="shared" si="3"/>
        <v>0</v>
      </c>
    </row>
    <row r="180" spans="1:15" x14ac:dyDescent="0.3">
      <c r="A180" s="213"/>
      <c r="B180" s="214"/>
      <c r="C180" s="215"/>
      <c r="D180" s="215"/>
      <c r="E180" s="215"/>
      <c r="F180" s="215"/>
      <c r="G180" s="215"/>
      <c r="H180" s="215"/>
      <c r="I180" s="216"/>
      <c r="J180" s="216"/>
      <c r="K180" s="215"/>
      <c r="L180" s="169">
        <f>I180+J180*EERR!$D$2</f>
        <v>0</v>
      </c>
      <c r="M180" s="109">
        <f>L180/EERR!$D$2</f>
        <v>0</v>
      </c>
      <c r="N180" s="109">
        <f>SUMIF(Dic!$B$3:$B$114,A180,Dic!$V$3:$V$114)</f>
        <v>0</v>
      </c>
      <c r="O180" s="183">
        <f t="shared" si="3"/>
        <v>0</v>
      </c>
    </row>
    <row r="181" spans="1:15" x14ac:dyDescent="0.3">
      <c r="A181" s="213"/>
      <c r="B181" s="214"/>
      <c r="C181" s="215"/>
      <c r="D181" s="215"/>
      <c r="E181" s="215"/>
      <c r="F181" s="215"/>
      <c r="G181" s="215"/>
      <c r="H181" s="215"/>
      <c r="I181" s="216"/>
      <c r="J181" s="216"/>
      <c r="K181" s="215"/>
      <c r="L181" s="169">
        <f>I181+J181*EERR!$D$2</f>
        <v>0</v>
      </c>
      <c r="M181" s="109">
        <f>L181/EERR!$D$2</f>
        <v>0</v>
      </c>
      <c r="N181" s="109">
        <f>SUMIF(Dic!$B$3:$B$114,A181,Dic!$V$3:$V$114)</f>
        <v>0</v>
      </c>
      <c r="O181" s="183">
        <f t="shared" si="3"/>
        <v>0</v>
      </c>
    </row>
    <row r="182" spans="1:15" x14ac:dyDescent="0.3">
      <c r="A182" s="213"/>
      <c r="B182" s="214"/>
      <c r="C182" s="215"/>
      <c r="D182" s="215"/>
      <c r="E182" s="215"/>
      <c r="F182" s="215"/>
      <c r="G182" s="215"/>
      <c r="H182" s="215"/>
      <c r="I182" s="216"/>
      <c r="J182" s="216"/>
      <c r="K182" s="215"/>
      <c r="L182" s="169">
        <f>I182+J182*EERR!$D$2</f>
        <v>0</v>
      </c>
      <c r="M182" s="109">
        <f>L182/EERR!$D$2</f>
        <v>0</v>
      </c>
      <c r="N182" s="109">
        <f>SUMIF(Dic!$B$3:$B$114,A182,Dic!$V$3:$V$114)</f>
        <v>0</v>
      </c>
      <c r="O182" s="183">
        <f t="shared" si="3"/>
        <v>0</v>
      </c>
    </row>
    <row r="183" spans="1:15" x14ac:dyDescent="0.3">
      <c r="A183" s="213"/>
      <c r="B183" s="214"/>
      <c r="C183" s="215"/>
      <c r="D183" s="215"/>
      <c r="E183" s="215"/>
      <c r="F183" s="215"/>
      <c r="G183" s="215"/>
      <c r="H183" s="215"/>
      <c r="I183" s="216"/>
      <c r="J183" s="216"/>
      <c r="K183" s="215"/>
      <c r="L183" s="169">
        <f>I183+J183*EERR!$D$2</f>
        <v>0</v>
      </c>
      <c r="M183" s="109">
        <f>L183/EERR!$D$2</f>
        <v>0</v>
      </c>
      <c r="N183" s="109">
        <f>SUMIF(Dic!$B$3:$B$114,A183,Dic!$V$3:$V$114)</f>
        <v>0</v>
      </c>
      <c r="O183" s="183">
        <f t="shared" si="3"/>
        <v>0</v>
      </c>
    </row>
    <row r="184" spans="1:15" x14ac:dyDescent="0.3">
      <c r="A184" s="213"/>
      <c r="B184" s="214"/>
      <c r="C184" s="215"/>
      <c r="D184" s="215"/>
      <c r="E184" s="215"/>
      <c r="F184" s="215"/>
      <c r="G184" s="215"/>
      <c r="H184" s="215"/>
      <c r="I184" s="216"/>
      <c r="J184" s="216"/>
      <c r="K184" s="215"/>
      <c r="L184" s="169">
        <f>I184+J184*EERR!$D$2</f>
        <v>0</v>
      </c>
      <c r="M184" s="109">
        <f>L184/EERR!$D$2</f>
        <v>0</v>
      </c>
      <c r="N184" s="109">
        <f>SUMIF(Dic!$B$3:$B$114,A184,Dic!$V$3:$V$114)</f>
        <v>0</v>
      </c>
      <c r="O184" s="183">
        <f t="shared" si="3"/>
        <v>0</v>
      </c>
    </row>
    <row r="185" spans="1:15" x14ac:dyDescent="0.3">
      <c r="A185" s="213"/>
      <c r="B185" s="214"/>
      <c r="C185" s="215"/>
      <c r="D185" s="215"/>
      <c r="E185" s="215"/>
      <c r="F185" s="215"/>
      <c r="G185" s="215"/>
      <c r="H185" s="215"/>
      <c r="I185" s="216"/>
      <c r="J185" s="216"/>
      <c r="K185" s="215"/>
      <c r="L185" s="169">
        <f>I185+J185*EERR!$D$2</f>
        <v>0</v>
      </c>
      <c r="M185" s="109">
        <f>L185/EERR!$D$2</f>
        <v>0</v>
      </c>
      <c r="N185" s="109">
        <f>SUMIF(Dic!$B$3:$B$114,A185,Dic!$V$3:$V$114)</f>
        <v>0</v>
      </c>
      <c r="O185" s="183">
        <f t="shared" si="3"/>
        <v>0</v>
      </c>
    </row>
    <row r="186" spans="1:15" x14ac:dyDescent="0.3">
      <c r="A186" s="213"/>
      <c r="B186" s="214"/>
      <c r="C186" s="215"/>
      <c r="D186" s="215"/>
      <c r="E186" s="215"/>
      <c r="F186" s="215"/>
      <c r="G186" s="215"/>
      <c r="H186" s="215"/>
      <c r="I186" s="216"/>
      <c r="J186" s="216"/>
      <c r="K186" s="215"/>
      <c r="L186" s="169">
        <f>I186+J186*EERR!$D$2</f>
        <v>0</v>
      </c>
      <c r="M186" s="109">
        <f>L186/EERR!$D$2</f>
        <v>0</v>
      </c>
      <c r="N186" s="109">
        <f>SUMIF(Dic!$B$3:$B$114,A186,Dic!$V$3:$V$114)</f>
        <v>0</v>
      </c>
      <c r="O186" s="183">
        <f t="shared" ref="O186:O249" si="4">+A186-A185</f>
        <v>0</v>
      </c>
    </row>
    <row r="187" spans="1:15" x14ac:dyDescent="0.3">
      <c r="A187" s="213"/>
      <c r="B187" s="214"/>
      <c r="C187" s="215"/>
      <c r="D187" s="215"/>
      <c r="E187" s="215"/>
      <c r="F187" s="215"/>
      <c r="G187" s="215"/>
      <c r="H187" s="215"/>
      <c r="I187" s="216"/>
      <c r="J187" s="216"/>
      <c r="K187" s="215"/>
      <c r="L187" s="169">
        <f>I187+J187*EERR!$D$2</f>
        <v>0</v>
      </c>
      <c r="M187" s="109">
        <f>L187/EERR!$D$2</f>
        <v>0</v>
      </c>
      <c r="N187" s="109">
        <f>SUMIF(Dic!$B$3:$B$114,A187,Dic!$V$3:$V$114)</f>
        <v>0</v>
      </c>
      <c r="O187" s="183">
        <f t="shared" si="4"/>
        <v>0</v>
      </c>
    </row>
    <row r="188" spans="1:15" x14ac:dyDescent="0.3">
      <c r="A188" s="121"/>
      <c r="B188" s="118"/>
      <c r="C188" s="107"/>
      <c r="D188" s="107"/>
      <c r="E188" s="107"/>
      <c r="F188" s="107"/>
      <c r="G188" s="107"/>
      <c r="H188" s="107"/>
      <c r="I188" s="108"/>
      <c r="J188" s="108"/>
      <c r="K188" s="107"/>
      <c r="L188" s="169">
        <f>I188+J188*EERR!$D$2</f>
        <v>0</v>
      </c>
      <c r="M188" s="109">
        <f>L188/EERR!$D$2</f>
        <v>0</v>
      </c>
      <c r="N188" s="109">
        <f>SUMIF(Dic!$B$3:$B$114,A188,Dic!$V$3:$V$114)</f>
        <v>0</v>
      </c>
      <c r="O188" s="183">
        <f t="shared" si="4"/>
        <v>0</v>
      </c>
    </row>
    <row r="189" spans="1:15" x14ac:dyDescent="0.3">
      <c r="A189" s="121"/>
      <c r="B189" s="118"/>
      <c r="C189" s="107"/>
      <c r="D189" s="107"/>
      <c r="E189" s="107"/>
      <c r="F189" s="107"/>
      <c r="G189" s="107"/>
      <c r="H189" s="107"/>
      <c r="I189" s="108"/>
      <c r="J189" s="108"/>
      <c r="K189" s="107"/>
      <c r="L189" s="169">
        <f>I189+J189*EERR!$D$2</f>
        <v>0</v>
      </c>
      <c r="M189" s="109">
        <f>L189/EERR!$D$2</f>
        <v>0</v>
      </c>
      <c r="N189" s="109">
        <f>SUMIF(Dic!$B$3:$B$114,A189,Dic!$V$3:$V$114)</f>
        <v>0</v>
      </c>
      <c r="O189" s="183">
        <f t="shared" si="4"/>
        <v>0</v>
      </c>
    </row>
    <row r="190" spans="1:15" x14ac:dyDescent="0.3">
      <c r="A190" s="121"/>
      <c r="B190" s="118"/>
      <c r="C190" s="107"/>
      <c r="D190" s="107"/>
      <c r="E190" s="107"/>
      <c r="F190" s="107"/>
      <c r="G190" s="107"/>
      <c r="H190" s="107"/>
      <c r="I190" s="108"/>
      <c r="J190" s="108"/>
      <c r="K190" s="107"/>
      <c r="L190" s="169">
        <f>I190+J190*EERR!$D$2</f>
        <v>0</v>
      </c>
      <c r="M190" s="109">
        <f>L190/EERR!$D$2</f>
        <v>0</v>
      </c>
      <c r="N190" s="109">
        <f>SUMIF(Dic!$B$3:$B$114,A190,Dic!$V$3:$V$114)</f>
        <v>0</v>
      </c>
      <c r="O190" s="183">
        <f t="shared" si="4"/>
        <v>0</v>
      </c>
    </row>
    <row r="191" spans="1:15" x14ac:dyDescent="0.3">
      <c r="A191" s="121"/>
      <c r="B191" s="118"/>
      <c r="C191" s="107"/>
      <c r="D191" s="107"/>
      <c r="E191" s="107"/>
      <c r="F191" s="107"/>
      <c r="G191" s="107"/>
      <c r="H191" s="107"/>
      <c r="I191" s="108"/>
      <c r="J191" s="108"/>
      <c r="K191" s="107"/>
      <c r="L191" s="169">
        <f>I191+J191*EERR!$D$2</f>
        <v>0</v>
      </c>
      <c r="M191" s="109">
        <f>L191/EERR!$D$2</f>
        <v>0</v>
      </c>
      <c r="N191" s="109">
        <f>SUMIF(Dic!$B$3:$B$114,A191,Dic!$V$3:$V$114)</f>
        <v>0</v>
      </c>
      <c r="O191" s="183">
        <f t="shared" si="4"/>
        <v>0</v>
      </c>
    </row>
    <row r="192" spans="1:15" x14ac:dyDescent="0.3">
      <c r="A192" s="121"/>
      <c r="B192" s="118"/>
      <c r="C192" s="107"/>
      <c r="D192" s="107"/>
      <c r="E192" s="107"/>
      <c r="F192" s="107"/>
      <c r="G192" s="107"/>
      <c r="H192" s="107"/>
      <c r="I192" s="108"/>
      <c r="J192" s="108"/>
      <c r="K192" s="107"/>
      <c r="L192" s="169">
        <f>I192+J192*EERR!$D$2</f>
        <v>0</v>
      </c>
      <c r="M192" s="109">
        <f>L192/EERR!$D$2</f>
        <v>0</v>
      </c>
      <c r="N192" s="109">
        <f>SUMIF(Dic!$B$3:$B$114,A192,Dic!$V$3:$V$114)</f>
        <v>0</v>
      </c>
      <c r="O192" s="183">
        <f t="shared" si="4"/>
        <v>0</v>
      </c>
    </row>
    <row r="193" spans="1:18" x14ac:dyDescent="0.3">
      <c r="A193" s="121"/>
      <c r="B193" s="118"/>
      <c r="C193" s="107"/>
      <c r="D193" s="107"/>
      <c r="E193" s="107"/>
      <c r="F193" s="107"/>
      <c r="G193" s="107"/>
      <c r="H193" s="107"/>
      <c r="I193" s="108"/>
      <c r="J193" s="108"/>
      <c r="K193" s="107"/>
      <c r="L193" s="169">
        <f>I193+J193*EERR!$D$2</f>
        <v>0</v>
      </c>
      <c r="M193" s="109">
        <f>L193/EERR!$D$2</f>
        <v>0</v>
      </c>
      <c r="N193" s="109">
        <f>SUMIF(Dic!$B$3:$B$114,A193,Dic!$V$3:$V$114)</f>
        <v>0</v>
      </c>
      <c r="O193" s="183">
        <f t="shared" si="4"/>
        <v>0</v>
      </c>
    </row>
    <row r="194" spans="1:18" x14ac:dyDescent="0.3">
      <c r="A194" s="121"/>
      <c r="B194" s="118"/>
      <c r="C194" s="107"/>
      <c r="D194" s="107"/>
      <c r="E194" s="107"/>
      <c r="F194" s="107"/>
      <c r="G194" s="107"/>
      <c r="H194" s="107"/>
      <c r="I194" s="108"/>
      <c r="J194" s="108"/>
      <c r="K194" s="107"/>
      <c r="L194" s="169">
        <f>I194+J194*EERR!$D$2</f>
        <v>0</v>
      </c>
      <c r="M194" s="109">
        <f>L194/EERR!$D$2</f>
        <v>0</v>
      </c>
      <c r="N194" s="109">
        <f>SUMIF(Dic!$B$3:$B$114,A194,Dic!$V$3:$V$114)</f>
        <v>0</v>
      </c>
      <c r="O194" s="183">
        <f t="shared" si="4"/>
        <v>0</v>
      </c>
    </row>
    <row r="195" spans="1:18" x14ac:dyDescent="0.3">
      <c r="A195" s="121"/>
      <c r="B195" s="118"/>
      <c r="C195" s="107"/>
      <c r="D195" s="107"/>
      <c r="E195" s="107"/>
      <c r="F195" s="107"/>
      <c r="G195" s="107"/>
      <c r="H195" s="107"/>
      <c r="I195" s="108"/>
      <c r="J195" s="108"/>
      <c r="K195" s="107"/>
      <c r="L195" s="169">
        <f>I195+J195*EERR!$D$2</f>
        <v>0</v>
      </c>
      <c r="M195" s="109">
        <f>L195/EERR!$D$2</f>
        <v>0</v>
      </c>
      <c r="N195" s="109">
        <f>SUMIF(Dic!$B$3:$B$114,A195,Dic!$V$3:$V$114)</f>
        <v>0</v>
      </c>
      <c r="O195" s="183">
        <f t="shared" si="4"/>
        <v>0</v>
      </c>
    </row>
    <row r="196" spans="1:18" x14ac:dyDescent="0.3">
      <c r="A196" s="121"/>
      <c r="B196" s="118"/>
      <c r="C196" s="107"/>
      <c r="D196" s="107"/>
      <c r="E196" s="107"/>
      <c r="F196" s="107"/>
      <c r="G196" s="107"/>
      <c r="H196" s="107"/>
      <c r="I196" s="108"/>
      <c r="J196" s="108"/>
      <c r="K196" s="107"/>
      <c r="L196" s="169">
        <f>I196+J196*EERR!$D$2</f>
        <v>0</v>
      </c>
      <c r="M196" s="109">
        <f>L196/EERR!$D$2</f>
        <v>0</v>
      </c>
      <c r="N196" s="109">
        <f>SUMIF(Dic!$B$3:$B$114,A196,Dic!$V$3:$V$114)</f>
        <v>0</v>
      </c>
      <c r="O196" s="183">
        <f t="shared" si="4"/>
        <v>0</v>
      </c>
    </row>
    <row r="197" spans="1:18" x14ac:dyDescent="0.3">
      <c r="A197" s="121"/>
      <c r="B197" s="118"/>
      <c r="C197" s="107"/>
      <c r="D197" s="107"/>
      <c r="E197" s="107"/>
      <c r="F197" s="107"/>
      <c r="G197" s="107"/>
      <c r="H197" s="107"/>
      <c r="I197" s="108"/>
      <c r="J197" s="108"/>
      <c r="K197" s="107"/>
      <c r="L197" s="169">
        <f>I197+J197*EERR!$D$2</f>
        <v>0</v>
      </c>
      <c r="M197" s="109">
        <f>L197/EERR!$D$2</f>
        <v>0</v>
      </c>
      <c r="N197" s="109">
        <f>SUMIF(Dic!$B$3:$B$114,A197,Dic!$V$3:$V$114)</f>
        <v>0</v>
      </c>
      <c r="O197" s="183">
        <f t="shared" si="4"/>
        <v>0</v>
      </c>
    </row>
    <row r="198" spans="1:18" x14ac:dyDescent="0.3">
      <c r="A198" s="121"/>
      <c r="B198" s="118"/>
      <c r="C198" s="107"/>
      <c r="D198" s="107"/>
      <c r="E198" s="107"/>
      <c r="F198" s="107"/>
      <c r="G198" s="107"/>
      <c r="H198" s="107"/>
      <c r="I198" s="108"/>
      <c r="J198" s="108"/>
      <c r="K198" s="107"/>
      <c r="L198" s="169">
        <f>I198+J198*EERR!$D$2</f>
        <v>0</v>
      </c>
      <c r="M198" s="109">
        <f>L198/EERR!$D$2</f>
        <v>0</v>
      </c>
      <c r="N198" s="109">
        <f>SUMIF(Dic!$B$3:$B$114,A198,Dic!$V$3:$V$114)</f>
        <v>0</v>
      </c>
      <c r="O198" s="183">
        <f t="shared" si="4"/>
        <v>0</v>
      </c>
    </row>
    <row r="199" spans="1:18" x14ac:dyDescent="0.3">
      <c r="A199" s="121"/>
      <c r="B199" s="118"/>
      <c r="C199" s="107"/>
      <c r="D199" s="107"/>
      <c r="E199" s="107"/>
      <c r="F199" s="107"/>
      <c r="G199" s="107"/>
      <c r="H199" s="107"/>
      <c r="I199" s="108"/>
      <c r="J199" s="108"/>
      <c r="K199" s="107"/>
      <c r="L199" s="169">
        <f>I199+J199*EERR!$D$2</f>
        <v>0</v>
      </c>
      <c r="M199" s="109">
        <f>L199/EERR!$D$2</f>
        <v>0</v>
      </c>
      <c r="N199" s="109">
        <f>SUMIF(Dic!$B$3:$B$114,A199,Dic!$V$3:$V$114)</f>
        <v>0</v>
      </c>
      <c r="O199" s="183">
        <f t="shared" si="4"/>
        <v>0</v>
      </c>
    </row>
    <row r="200" spans="1:18" x14ac:dyDescent="0.3">
      <c r="A200" s="121"/>
      <c r="B200" s="118"/>
      <c r="C200" s="107"/>
      <c r="D200" s="107"/>
      <c r="E200" s="107"/>
      <c r="F200" s="107"/>
      <c r="G200" s="107"/>
      <c r="H200" s="107"/>
      <c r="I200" s="108"/>
      <c r="J200" s="108"/>
      <c r="K200" s="107"/>
      <c r="L200" s="169">
        <f>I200+J200*EERR!$D$2</f>
        <v>0</v>
      </c>
      <c r="M200" s="109">
        <f>L200/EERR!$D$2</f>
        <v>0</v>
      </c>
      <c r="N200" s="109">
        <f>SUMIF(Dic!$B$3:$B$114,A200,Dic!$V$3:$V$114)</f>
        <v>0</v>
      </c>
      <c r="O200" s="183">
        <f t="shared" si="4"/>
        <v>0</v>
      </c>
    </row>
    <row r="201" spans="1:18" x14ac:dyDescent="0.3">
      <c r="A201" s="121"/>
      <c r="B201" s="118"/>
      <c r="C201" s="107"/>
      <c r="D201" s="107"/>
      <c r="E201" s="107"/>
      <c r="F201" s="107"/>
      <c r="G201" s="107"/>
      <c r="H201" s="107"/>
      <c r="I201" s="108"/>
      <c r="J201" s="108"/>
      <c r="K201" s="107"/>
      <c r="L201" s="169">
        <f>I201+J201*EERR!$D$2</f>
        <v>0</v>
      </c>
      <c r="M201" s="109">
        <f>L201/EERR!$D$2</f>
        <v>0</v>
      </c>
      <c r="N201" s="109">
        <f>SUMIF(Dic!$B$3:$B$114,A201,Dic!$V$3:$V$114)</f>
        <v>0</v>
      </c>
      <c r="O201" s="183">
        <f t="shared" si="4"/>
        <v>0</v>
      </c>
    </row>
    <row r="202" spans="1:18" x14ac:dyDescent="0.3">
      <c r="A202" s="184"/>
      <c r="B202" s="184"/>
      <c r="C202" s="184"/>
      <c r="D202" s="184"/>
      <c r="E202" s="184"/>
      <c r="F202" s="184"/>
      <c r="G202" s="184"/>
      <c r="H202" s="184"/>
      <c r="I202" s="185">
        <f>SUM(I2:I201)</f>
        <v>3089903</v>
      </c>
      <c r="J202" s="185">
        <f>SUM(J2:J201)</f>
        <v>50621.5</v>
      </c>
      <c r="K202" s="184"/>
      <c r="L202" s="270">
        <f>I202+J202*EERR!$D$2</f>
        <v>37613259.785000004</v>
      </c>
      <c r="M202" s="109">
        <f>L202/EERR!$D$2</f>
        <v>55152.215992903126</v>
      </c>
      <c r="N202" s="109">
        <f>SUMIF(Dic!$B$3:$B$114,A202,Dic!$V$3:$V$114)</f>
        <v>0</v>
      </c>
      <c r="O202" s="183">
        <f t="shared" si="4"/>
        <v>0</v>
      </c>
      <c r="P202" s="163"/>
      <c r="R202" s="58">
        <v>7096000</v>
      </c>
    </row>
    <row r="203" spans="1:18" x14ac:dyDescent="0.3">
      <c r="I203" s="183">
        <f>I202-I12</f>
        <v>3089903</v>
      </c>
      <c r="J203" s="58"/>
      <c r="L203" s="270">
        <f>I203+J203*EERR!$D$2</f>
        <v>3089903</v>
      </c>
      <c r="M203" s="109">
        <f>L203/EERR!$D$2</f>
        <v>4530.7159929031213</v>
      </c>
      <c r="N203" s="109">
        <f>SUMIF(Dic!$B$3:$B$114,A203,Dic!$V$3:$V$114)</f>
        <v>0</v>
      </c>
      <c r="O203" s="183">
        <f t="shared" si="4"/>
        <v>0</v>
      </c>
      <c r="P203" s="163"/>
      <c r="R203" s="58">
        <f>R202*0.19</f>
        <v>1348240</v>
      </c>
    </row>
    <row r="204" spans="1:18" x14ac:dyDescent="0.3">
      <c r="H204" s="58" t="s">
        <v>101</v>
      </c>
      <c r="I204" s="183">
        <f>I203*0.19</f>
        <v>587081.56999999995</v>
      </c>
      <c r="J204" s="58"/>
      <c r="L204" s="270">
        <f>I204+J204*EERR!$D$2</f>
        <v>587081.56999999995</v>
      </c>
      <c r="M204" s="109">
        <f>L204/EERR!$D$2</f>
        <v>860.83603865159307</v>
      </c>
      <c r="N204" s="109">
        <f>SUMIF(Dic!$B$3:$B$114,A204,Dic!$V$3:$V$114)</f>
        <v>0</v>
      </c>
      <c r="O204" s="183">
        <f t="shared" si="4"/>
        <v>0</v>
      </c>
      <c r="Q204" s="186"/>
    </row>
    <row r="205" spans="1:18" x14ac:dyDescent="0.3">
      <c r="I205" s="58"/>
      <c r="J205" s="58"/>
      <c r="L205" s="169">
        <f>I205+J205*EERR!$D$2</f>
        <v>0</v>
      </c>
      <c r="M205" s="109">
        <f>L205/EERR!$D$2</f>
        <v>0</v>
      </c>
      <c r="N205" s="109">
        <f>SUMIF(Dic!$B$3:$B$114,A205,Dic!$V$3:$V$114)</f>
        <v>0</v>
      </c>
      <c r="O205" s="183">
        <f t="shared" si="4"/>
        <v>0</v>
      </c>
    </row>
    <row r="206" spans="1:18" x14ac:dyDescent="0.3">
      <c r="I206" s="58"/>
      <c r="J206" s="58"/>
      <c r="L206" s="169">
        <f>I206+J206*EERR!$D$2</f>
        <v>0</v>
      </c>
      <c r="M206" s="109">
        <f>L206/EERR!$D$2</f>
        <v>0</v>
      </c>
      <c r="N206" s="109">
        <f>SUMIF(Dic!$B$3:$B$114,A206,Dic!$V$3:$V$114)</f>
        <v>0</v>
      </c>
      <c r="O206" s="183">
        <f t="shared" si="4"/>
        <v>0</v>
      </c>
    </row>
    <row r="207" spans="1:18" x14ac:dyDescent="0.3">
      <c r="L207" s="169">
        <f>I207+J207*EERR!$D$2</f>
        <v>0</v>
      </c>
      <c r="M207" s="109">
        <f>L207/EERR!$D$2</f>
        <v>0</v>
      </c>
      <c r="N207" s="109">
        <f>SUMIF(Dic!$B$3:$B$114,A207,Dic!$V$3:$V$114)</f>
        <v>0</v>
      </c>
      <c r="O207" s="183">
        <f t="shared" si="4"/>
        <v>0</v>
      </c>
    </row>
    <row r="208" spans="1:18" x14ac:dyDescent="0.3">
      <c r="A208" s="150" t="s">
        <v>104</v>
      </c>
      <c r="B208" s="181" t="s">
        <v>105</v>
      </c>
      <c r="C208" s="150" t="s">
        <v>106</v>
      </c>
      <c r="D208" s="150" t="s">
        <v>107</v>
      </c>
      <c r="E208" s="150" t="s">
        <v>108</v>
      </c>
      <c r="F208" s="150" t="s">
        <v>109</v>
      </c>
      <c r="G208" s="150" t="s">
        <v>110</v>
      </c>
      <c r="H208" s="150" t="s">
        <v>111</v>
      </c>
      <c r="I208" s="152" t="s">
        <v>112</v>
      </c>
      <c r="J208" s="152" t="s">
        <v>113</v>
      </c>
      <c r="K208" s="150" t="s">
        <v>114</v>
      </c>
      <c r="L208" s="169" t="e">
        <f>I208+J208*EERR!$D$2</f>
        <v>#VALUE!</v>
      </c>
      <c r="M208" s="109" t="e">
        <f>L208/EERR!$D$2</f>
        <v>#VALUE!</v>
      </c>
      <c r="N208" s="109">
        <f>SUMIF(Dic!$B$3:$B$114,A208,Dic!$V$3:$V$114)</f>
        <v>0</v>
      </c>
      <c r="O208" s="183" t="e">
        <f t="shared" si="4"/>
        <v>#VALUE!</v>
      </c>
      <c r="P208" s="182" t="s">
        <v>91</v>
      </c>
    </row>
    <row r="209" spans="1:15" x14ac:dyDescent="0.3">
      <c r="A209" s="273">
        <v>473</v>
      </c>
      <c r="B209" s="274" t="s">
        <v>379</v>
      </c>
      <c r="C209" s="275" t="s">
        <v>257</v>
      </c>
      <c r="D209" s="275" t="s">
        <v>128</v>
      </c>
      <c r="E209" s="275" t="s">
        <v>132</v>
      </c>
      <c r="F209" s="275" t="s">
        <v>133</v>
      </c>
      <c r="G209" s="275" t="s">
        <v>334</v>
      </c>
      <c r="H209" s="275" t="s">
        <v>132</v>
      </c>
      <c r="I209" s="276">
        <v>145274</v>
      </c>
      <c r="J209" s="276"/>
      <c r="K209" s="275" t="s">
        <v>380</v>
      </c>
      <c r="L209" s="277">
        <v>145274</v>
      </c>
      <c r="M209" s="276">
        <v>214.39175927155739</v>
      </c>
      <c r="N209" s="276">
        <v>0</v>
      </c>
      <c r="O209" s="183" t="e">
        <f t="shared" si="4"/>
        <v>#VALUE!</v>
      </c>
    </row>
    <row r="210" spans="1:15" x14ac:dyDescent="0.3">
      <c r="A210" s="273">
        <v>474</v>
      </c>
      <c r="B210" s="274" t="s">
        <v>381</v>
      </c>
      <c r="C210" s="275" t="s">
        <v>257</v>
      </c>
      <c r="D210" s="275" t="s">
        <v>128</v>
      </c>
      <c r="E210" s="275" t="s">
        <v>132</v>
      </c>
      <c r="F210" s="275" t="s">
        <v>134</v>
      </c>
      <c r="G210" s="275" t="s">
        <v>335</v>
      </c>
      <c r="H210" s="275" t="s">
        <v>132</v>
      </c>
      <c r="I210" s="276">
        <v>379348</v>
      </c>
      <c r="J210" s="276"/>
      <c r="K210" s="275" t="s">
        <v>382</v>
      </c>
      <c r="L210" s="277">
        <v>379348</v>
      </c>
      <c r="M210" s="276">
        <v>559.83235194285794</v>
      </c>
      <c r="N210" s="276">
        <v>0</v>
      </c>
      <c r="O210" s="183">
        <f t="shared" si="4"/>
        <v>1</v>
      </c>
    </row>
    <row r="211" spans="1:15" x14ac:dyDescent="0.3">
      <c r="A211" s="273">
        <v>474</v>
      </c>
      <c r="B211" s="274" t="s">
        <v>381</v>
      </c>
      <c r="C211" s="275" t="s">
        <v>257</v>
      </c>
      <c r="D211" s="275" t="s">
        <v>128</v>
      </c>
      <c r="E211" s="275" t="s">
        <v>337</v>
      </c>
      <c r="F211" s="275" t="s">
        <v>134</v>
      </c>
      <c r="G211" s="275" t="s">
        <v>335</v>
      </c>
      <c r="H211" s="275" t="s">
        <v>132</v>
      </c>
      <c r="I211" s="276">
        <v>-379348</v>
      </c>
      <c r="J211" s="276"/>
      <c r="K211" s="275" t="s">
        <v>382</v>
      </c>
      <c r="L211" s="277">
        <v>-379348</v>
      </c>
      <c r="M211" s="276">
        <v>-559.83235194285794</v>
      </c>
      <c r="N211" s="276">
        <v>0</v>
      </c>
      <c r="O211" s="183">
        <f t="shared" si="4"/>
        <v>0</v>
      </c>
    </row>
    <row r="212" spans="1:15" x14ac:dyDescent="0.3">
      <c r="A212" s="273">
        <v>475</v>
      </c>
      <c r="B212" s="274" t="s">
        <v>383</v>
      </c>
      <c r="C212" s="275" t="s">
        <v>257</v>
      </c>
      <c r="D212" s="275" t="s">
        <v>128</v>
      </c>
      <c r="E212" s="275" t="s">
        <v>132</v>
      </c>
      <c r="F212" s="275" t="s">
        <v>133</v>
      </c>
      <c r="G212" s="275" t="s">
        <v>333</v>
      </c>
      <c r="H212" s="275" t="s">
        <v>132</v>
      </c>
      <c r="I212" s="276">
        <v>321209</v>
      </c>
      <c r="J212" s="276"/>
      <c r="K212" s="275" t="s">
        <v>384</v>
      </c>
      <c r="L212" s="277">
        <v>321209</v>
      </c>
      <c r="M212" s="276">
        <v>474.03226044479862</v>
      </c>
      <c r="N212" s="276">
        <v>0</v>
      </c>
      <c r="O212" s="183">
        <f t="shared" si="4"/>
        <v>1</v>
      </c>
    </row>
    <row r="213" spans="1:15" x14ac:dyDescent="0.3">
      <c r="A213" s="273">
        <v>476</v>
      </c>
      <c r="B213" s="274" t="s">
        <v>385</v>
      </c>
      <c r="C213" s="275" t="s">
        <v>258</v>
      </c>
      <c r="D213" s="275" t="s">
        <v>128</v>
      </c>
      <c r="E213" s="275" t="s">
        <v>129</v>
      </c>
      <c r="F213" s="275" t="s">
        <v>134</v>
      </c>
      <c r="G213" s="275" t="s">
        <v>336</v>
      </c>
      <c r="H213" s="275" t="s">
        <v>131</v>
      </c>
      <c r="I213" s="276"/>
      <c r="J213" s="276">
        <v>230</v>
      </c>
      <c r="K213" s="275" t="s">
        <v>386</v>
      </c>
      <c r="L213" s="277">
        <v>155850.30000000002</v>
      </c>
      <c r="M213" s="276">
        <v>230.00000000000003</v>
      </c>
      <c r="N213" s="276">
        <v>0</v>
      </c>
      <c r="O213" s="183">
        <f t="shared" si="4"/>
        <v>1</v>
      </c>
    </row>
    <row r="214" spans="1:15" x14ac:dyDescent="0.3">
      <c r="A214" s="273">
        <v>477</v>
      </c>
      <c r="B214" s="274" t="s">
        <v>387</v>
      </c>
      <c r="C214" s="275" t="s">
        <v>258</v>
      </c>
      <c r="D214" s="275" t="s">
        <v>128</v>
      </c>
      <c r="E214" s="275" t="s">
        <v>129</v>
      </c>
      <c r="F214" s="275" t="s">
        <v>134</v>
      </c>
      <c r="G214" s="275" t="s">
        <v>338</v>
      </c>
      <c r="H214" s="275" t="s">
        <v>131</v>
      </c>
      <c r="I214" s="276"/>
      <c r="J214" s="276">
        <v>584.25</v>
      </c>
      <c r="K214" s="275" t="s">
        <v>388</v>
      </c>
      <c r="L214" s="277">
        <v>395893.64250000002</v>
      </c>
      <c r="M214" s="276">
        <v>-185.25</v>
      </c>
      <c r="N214" s="276">
        <v>104621435.0226</v>
      </c>
      <c r="O214" s="183">
        <f t="shared" si="4"/>
        <v>1</v>
      </c>
    </row>
    <row r="215" spans="1:15" x14ac:dyDescent="0.3">
      <c r="A215" s="273">
        <v>478</v>
      </c>
      <c r="B215" s="274" t="s">
        <v>389</v>
      </c>
      <c r="C215" s="275" t="s">
        <v>257</v>
      </c>
      <c r="D215" s="275" t="s">
        <v>128</v>
      </c>
      <c r="E215" s="275" t="s">
        <v>132</v>
      </c>
      <c r="F215" s="275" t="s">
        <v>133</v>
      </c>
      <c r="G215" s="275" t="s">
        <v>332</v>
      </c>
      <c r="H215" s="275" t="s">
        <v>132</v>
      </c>
      <c r="I215" s="276">
        <v>6000</v>
      </c>
      <c r="J215" s="276"/>
      <c r="K215" s="275" t="s">
        <v>390</v>
      </c>
      <c r="L215" s="277">
        <v>6000</v>
      </c>
      <c r="M215" s="276">
        <v>8.8546509053880555</v>
      </c>
      <c r="N215" s="276">
        <v>0</v>
      </c>
      <c r="O215" s="183">
        <f t="shared" si="4"/>
        <v>1</v>
      </c>
    </row>
    <row r="216" spans="1:15" x14ac:dyDescent="0.3">
      <c r="A216" s="273">
        <v>479</v>
      </c>
      <c r="B216" s="274" t="s">
        <v>391</v>
      </c>
      <c r="C216" s="275" t="s">
        <v>258</v>
      </c>
      <c r="D216" s="275" t="s">
        <v>128</v>
      </c>
      <c r="E216" s="275" t="s">
        <v>129</v>
      </c>
      <c r="F216" s="275" t="s">
        <v>133</v>
      </c>
      <c r="G216" s="275" t="s">
        <v>392</v>
      </c>
      <c r="H216" s="275" t="s">
        <v>131</v>
      </c>
      <c r="I216" s="276"/>
      <c r="J216" s="276">
        <v>400</v>
      </c>
      <c r="K216" s="275" t="s">
        <v>393</v>
      </c>
      <c r="L216" s="277">
        <v>271044</v>
      </c>
      <c r="M216" s="276">
        <v>400</v>
      </c>
      <c r="N216" s="276">
        <v>0</v>
      </c>
      <c r="O216" s="183">
        <f t="shared" si="4"/>
        <v>1</v>
      </c>
    </row>
    <row r="217" spans="1:15" x14ac:dyDescent="0.3">
      <c r="A217" s="273">
        <v>480</v>
      </c>
      <c r="B217" s="274" t="s">
        <v>394</v>
      </c>
      <c r="C217" s="275" t="s">
        <v>257</v>
      </c>
      <c r="D217" s="275" t="s">
        <v>128</v>
      </c>
      <c r="E217" s="275" t="s">
        <v>132</v>
      </c>
      <c r="F217" s="275" t="s">
        <v>134</v>
      </c>
      <c r="G217" s="275" t="s">
        <v>335</v>
      </c>
      <c r="H217" s="275" t="s">
        <v>132</v>
      </c>
      <c r="I217" s="276">
        <v>323376</v>
      </c>
      <c r="J217" s="276"/>
      <c r="K217" s="275" t="s">
        <v>395</v>
      </c>
      <c r="L217" s="277">
        <v>323376</v>
      </c>
      <c r="M217" s="276">
        <v>477.23026519679462</v>
      </c>
      <c r="N217" s="276">
        <v>0</v>
      </c>
      <c r="O217" s="183">
        <f t="shared" si="4"/>
        <v>1</v>
      </c>
    </row>
    <row r="218" spans="1:15" x14ac:dyDescent="0.3">
      <c r="A218" s="273">
        <v>481</v>
      </c>
      <c r="B218" s="274" t="s">
        <v>396</v>
      </c>
      <c r="C218" s="275" t="s">
        <v>257</v>
      </c>
      <c r="D218" s="275" t="s">
        <v>128</v>
      </c>
      <c r="E218" s="275" t="s">
        <v>132</v>
      </c>
      <c r="F218" s="275" t="s">
        <v>133</v>
      </c>
      <c r="G218" s="275" t="s">
        <v>397</v>
      </c>
      <c r="H218" s="275" t="s">
        <v>132</v>
      </c>
      <c r="I218" s="276">
        <v>160604</v>
      </c>
      <c r="J218" s="276"/>
      <c r="K218" s="275" t="s">
        <v>398</v>
      </c>
      <c r="L218" s="277">
        <v>160604</v>
      </c>
      <c r="M218" s="276">
        <v>237.01539233482387</v>
      </c>
      <c r="N218" s="276">
        <v>0</v>
      </c>
      <c r="O218" s="183">
        <f t="shared" si="4"/>
        <v>1</v>
      </c>
    </row>
    <row r="219" spans="1:15" x14ac:dyDescent="0.3">
      <c r="A219" s="273">
        <v>482</v>
      </c>
      <c r="B219" s="274" t="s">
        <v>399</v>
      </c>
      <c r="C219" s="275" t="s">
        <v>257</v>
      </c>
      <c r="D219" s="275" t="s">
        <v>128</v>
      </c>
      <c r="E219" s="275" t="s">
        <v>132</v>
      </c>
      <c r="F219" s="275" t="s">
        <v>133</v>
      </c>
      <c r="G219" s="275" t="s">
        <v>400</v>
      </c>
      <c r="H219" s="275" t="s">
        <v>132</v>
      </c>
      <c r="I219" s="276">
        <v>160811</v>
      </c>
      <c r="J219" s="276"/>
      <c r="K219" s="275" t="s">
        <v>401</v>
      </c>
      <c r="L219" s="277">
        <v>160811</v>
      </c>
      <c r="M219" s="276">
        <v>237.32087779105976</v>
      </c>
      <c r="N219" s="276">
        <v>0</v>
      </c>
      <c r="O219" s="183">
        <f t="shared" si="4"/>
        <v>1</v>
      </c>
    </row>
    <row r="220" spans="1:15" x14ac:dyDescent="0.3">
      <c r="A220" s="273">
        <v>482</v>
      </c>
      <c r="B220" s="274" t="s">
        <v>399</v>
      </c>
      <c r="C220" s="275" t="s">
        <v>257</v>
      </c>
      <c r="D220" s="275" t="s">
        <v>128</v>
      </c>
      <c r="E220" s="275" t="s">
        <v>337</v>
      </c>
      <c r="F220" s="275" t="s">
        <v>133</v>
      </c>
      <c r="G220" s="275" t="s">
        <v>400</v>
      </c>
      <c r="H220" s="275" t="s">
        <v>132</v>
      </c>
      <c r="I220" s="276">
        <v>-160811</v>
      </c>
      <c r="J220" s="276"/>
      <c r="K220" s="275" t="s">
        <v>401</v>
      </c>
      <c r="L220" s="277">
        <v>-160811</v>
      </c>
      <c r="M220" s="276">
        <v>-237.32087779105976</v>
      </c>
      <c r="N220" s="276">
        <v>0</v>
      </c>
      <c r="O220" s="183">
        <f t="shared" si="4"/>
        <v>0</v>
      </c>
    </row>
    <row r="221" spans="1:15" x14ac:dyDescent="0.3">
      <c r="A221" s="273">
        <v>483</v>
      </c>
      <c r="B221" s="274" t="s">
        <v>402</v>
      </c>
      <c r="C221" s="275" t="s">
        <v>258</v>
      </c>
      <c r="D221" s="275" t="s">
        <v>128</v>
      </c>
      <c r="E221" s="275" t="s">
        <v>129</v>
      </c>
      <c r="F221" s="275" t="s">
        <v>134</v>
      </c>
      <c r="G221" s="275" t="s">
        <v>403</v>
      </c>
      <c r="H221" s="275" t="s">
        <v>131</v>
      </c>
      <c r="I221" s="276"/>
      <c r="J221" s="276">
        <v>195</v>
      </c>
      <c r="K221" s="275" t="s">
        <v>404</v>
      </c>
      <c r="L221" s="277">
        <v>132133.95000000001</v>
      </c>
      <c r="M221" s="276">
        <v>195</v>
      </c>
      <c r="N221" s="276">
        <v>396401.85000000003</v>
      </c>
      <c r="O221" s="183">
        <f t="shared" si="4"/>
        <v>1</v>
      </c>
    </row>
    <row r="222" spans="1:15" x14ac:dyDescent="0.3">
      <c r="A222" s="273">
        <v>484</v>
      </c>
      <c r="B222" s="274" t="s">
        <v>405</v>
      </c>
      <c r="C222" s="275" t="s">
        <v>258</v>
      </c>
      <c r="D222" s="275" t="s">
        <v>128</v>
      </c>
      <c r="E222" s="275" t="s">
        <v>129</v>
      </c>
      <c r="F222" s="275" t="s">
        <v>134</v>
      </c>
      <c r="G222" s="275" t="s">
        <v>406</v>
      </c>
      <c r="H222" s="275" t="s">
        <v>131</v>
      </c>
      <c r="I222" s="276"/>
      <c r="J222" s="276">
        <v>195</v>
      </c>
      <c r="K222" s="275" t="s">
        <v>407</v>
      </c>
      <c r="L222" s="277">
        <v>132133.95000000001</v>
      </c>
      <c r="M222" s="276">
        <v>195</v>
      </c>
      <c r="N222" s="276">
        <v>396401.85000000003</v>
      </c>
      <c r="O222" s="183">
        <f t="shared" si="4"/>
        <v>1</v>
      </c>
    </row>
    <row r="223" spans="1:15" x14ac:dyDescent="0.3">
      <c r="A223" s="273">
        <v>485</v>
      </c>
      <c r="B223" s="274" t="s">
        <v>408</v>
      </c>
      <c r="C223" s="275" t="s">
        <v>258</v>
      </c>
      <c r="D223" s="275" t="s">
        <v>128</v>
      </c>
      <c r="E223" s="275" t="s">
        <v>129</v>
      </c>
      <c r="F223" s="275" t="s">
        <v>133</v>
      </c>
      <c r="G223" s="275" t="s">
        <v>409</v>
      </c>
      <c r="H223" s="275" t="s">
        <v>131</v>
      </c>
      <c r="I223" s="276"/>
      <c r="J223" s="276">
        <v>205</v>
      </c>
      <c r="K223" s="275" t="s">
        <v>410</v>
      </c>
      <c r="L223" s="277">
        <v>138910.04999999999</v>
      </c>
      <c r="M223" s="276">
        <v>204.99999999999997</v>
      </c>
      <c r="N223" s="276">
        <v>972370.35</v>
      </c>
      <c r="O223" s="183">
        <f t="shared" si="4"/>
        <v>1</v>
      </c>
    </row>
    <row r="224" spans="1:15" x14ac:dyDescent="0.3">
      <c r="A224" s="273">
        <v>486</v>
      </c>
      <c r="B224" s="274" t="s">
        <v>411</v>
      </c>
      <c r="C224" s="275" t="s">
        <v>258</v>
      </c>
      <c r="D224" s="275" t="s">
        <v>128</v>
      </c>
      <c r="E224" s="275" t="s">
        <v>129</v>
      </c>
      <c r="F224" s="275" t="s">
        <v>133</v>
      </c>
      <c r="G224" s="275" t="s">
        <v>412</v>
      </c>
      <c r="H224" s="275" t="s">
        <v>131</v>
      </c>
      <c r="I224" s="276"/>
      <c r="J224" s="276">
        <v>205</v>
      </c>
      <c r="K224" s="275" t="s">
        <v>413</v>
      </c>
      <c r="L224" s="277">
        <v>138910.04999999999</v>
      </c>
      <c r="M224" s="276">
        <v>204.99999999999997</v>
      </c>
      <c r="N224" s="276">
        <v>694550.25</v>
      </c>
      <c r="O224" s="183">
        <f t="shared" si="4"/>
        <v>1</v>
      </c>
    </row>
    <row r="225" spans="1:17" x14ac:dyDescent="0.3">
      <c r="A225" s="273">
        <v>487</v>
      </c>
      <c r="B225" s="274" t="s">
        <v>414</v>
      </c>
      <c r="C225" s="275" t="s">
        <v>258</v>
      </c>
      <c r="D225" s="275" t="s">
        <v>128</v>
      </c>
      <c r="E225" s="275" t="s">
        <v>129</v>
      </c>
      <c r="F225" s="275" t="s">
        <v>133</v>
      </c>
      <c r="G225" s="275" t="s">
        <v>415</v>
      </c>
      <c r="H225" s="275" t="s">
        <v>131</v>
      </c>
      <c r="I225" s="276"/>
      <c r="J225" s="276">
        <v>194.75</v>
      </c>
      <c r="K225" s="275" t="s">
        <v>416</v>
      </c>
      <c r="L225" s="277">
        <v>131964.54750000002</v>
      </c>
      <c r="M225" s="276">
        <v>194.75000000000003</v>
      </c>
      <c r="N225" s="276">
        <v>905727.40650000004</v>
      </c>
      <c r="O225" s="183">
        <f t="shared" si="4"/>
        <v>1</v>
      </c>
      <c r="Q225" s="58" t="s">
        <v>186</v>
      </c>
    </row>
    <row r="226" spans="1:17" x14ac:dyDescent="0.3">
      <c r="A226" s="273">
        <v>489</v>
      </c>
      <c r="B226" s="274" t="s">
        <v>417</v>
      </c>
      <c r="C226" s="275" t="s">
        <v>258</v>
      </c>
      <c r="D226" s="275" t="s">
        <v>128</v>
      </c>
      <c r="E226" s="275" t="s">
        <v>129</v>
      </c>
      <c r="F226" s="275" t="s">
        <v>133</v>
      </c>
      <c r="G226" s="275" t="s">
        <v>418</v>
      </c>
      <c r="H226" s="275" t="s">
        <v>131</v>
      </c>
      <c r="I226" s="276"/>
      <c r="J226" s="276">
        <v>195</v>
      </c>
      <c r="K226" s="275" t="s">
        <v>419</v>
      </c>
      <c r="L226" s="277">
        <v>132133.95000000001</v>
      </c>
      <c r="M226" s="276">
        <v>195</v>
      </c>
      <c r="N226" s="276">
        <v>0</v>
      </c>
      <c r="O226" s="183">
        <f t="shared" si="4"/>
        <v>2</v>
      </c>
    </row>
    <row r="227" spans="1:17" x14ac:dyDescent="0.3">
      <c r="A227" s="273">
        <v>488</v>
      </c>
      <c r="B227" s="274" t="s">
        <v>417</v>
      </c>
      <c r="C227" s="275" t="s">
        <v>258</v>
      </c>
      <c r="D227" s="275" t="s">
        <v>128</v>
      </c>
      <c r="E227" s="275" t="s">
        <v>129</v>
      </c>
      <c r="F227" s="275" t="s">
        <v>134</v>
      </c>
      <c r="G227" s="275" t="s">
        <v>420</v>
      </c>
      <c r="H227" s="275" t="s">
        <v>131</v>
      </c>
      <c r="I227" s="276"/>
      <c r="J227" s="276">
        <v>195</v>
      </c>
      <c r="K227" s="275" t="s">
        <v>421</v>
      </c>
      <c r="L227" s="277">
        <v>132133.95000000001</v>
      </c>
      <c r="M227" s="276">
        <v>195</v>
      </c>
      <c r="N227" s="276">
        <v>0</v>
      </c>
      <c r="O227" s="183">
        <f t="shared" si="4"/>
        <v>-1</v>
      </c>
    </row>
    <row r="228" spans="1:17" x14ac:dyDescent="0.3">
      <c r="A228" s="273">
        <v>490</v>
      </c>
      <c r="B228" s="274" t="s">
        <v>422</v>
      </c>
      <c r="C228" s="275" t="s">
        <v>258</v>
      </c>
      <c r="D228" s="275" t="s">
        <v>128</v>
      </c>
      <c r="E228" s="275" t="s">
        <v>129</v>
      </c>
      <c r="F228" s="275" t="s">
        <v>134</v>
      </c>
      <c r="G228" s="275" t="s">
        <v>423</v>
      </c>
      <c r="H228" s="275" t="s">
        <v>131</v>
      </c>
      <c r="I228" s="276"/>
      <c r="J228" s="276">
        <v>194.75</v>
      </c>
      <c r="K228" s="275" t="s">
        <v>424</v>
      </c>
      <c r="L228" s="277">
        <v>131964.54750000002</v>
      </c>
      <c r="M228" s="276">
        <v>194.75000000000003</v>
      </c>
      <c r="N228" s="276">
        <v>395893.64250000002</v>
      </c>
      <c r="O228" s="183">
        <f t="shared" si="4"/>
        <v>2</v>
      </c>
    </row>
    <row r="229" spans="1:17" x14ac:dyDescent="0.3">
      <c r="A229" s="273">
        <v>491</v>
      </c>
      <c r="B229" s="274" t="s">
        <v>425</v>
      </c>
      <c r="C229" s="275" t="s">
        <v>257</v>
      </c>
      <c r="D229" s="275" t="s">
        <v>128</v>
      </c>
      <c r="E229" s="275" t="s">
        <v>132</v>
      </c>
      <c r="F229" s="275" t="s">
        <v>133</v>
      </c>
      <c r="G229" s="275" t="s">
        <v>326</v>
      </c>
      <c r="H229" s="275" t="s">
        <v>132</v>
      </c>
      <c r="I229" s="276">
        <v>6000</v>
      </c>
      <c r="J229" s="276"/>
      <c r="K229" s="275" t="s">
        <v>426</v>
      </c>
      <c r="L229" s="277">
        <v>6000</v>
      </c>
      <c r="M229" s="276">
        <v>8.8546509053880555</v>
      </c>
      <c r="N229" s="276">
        <v>0</v>
      </c>
      <c r="O229" s="183">
        <f t="shared" si="4"/>
        <v>1</v>
      </c>
    </row>
    <row r="230" spans="1:17" x14ac:dyDescent="0.3">
      <c r="A230" s="273">
        <v>492</v>
      </c>
      <c r="B230" s="274" t="s">
        <v>427</v>
      </c>
      <c r="C230" s="275" t="s">
        <v>257</v>
      </c>
      <c r="D230" s="275" t="s">
        <v>128</v>
      </c>
      <c r="E230" s="275" t="s">
        <v>132</v>
      </c>
      <c r="F230" s="275" t="s">
        <v>428</v>
      </c>
      <c r="G230" s="275" t="s">
        <v>429</v>
      </c>
      <c r="H230" s="275" t="s">
        <v>430</v>
      </c>
      <c r="I230" s="276">
        <v>13000</v>
      </c>
      <c r="J230" s="276"/>
      <c r="K230" s="275" t="s">
        <v>431</v>
      </c>
      <c r="L230" s="277">
        <v>13000</v>
      </c>
      <c r="M230" s="276">
        <v>19.18507696167412</v>
      </c>
      <c r="N230" s="276">
        <v>0</v>
      </c>
      <c r="O230" s="183">
        <f t="shared" si="4"/>
        <v>1</v>
      </c>
    </row>
    <row r="231" spans="1:17" x14ac:dyDescent="0.3">
      <c r="A231" s="273">
        <v>493</v>
      </c>
      <c r="B231" s="274" t="s">
        <v>432</v>
      </c>
      <c r="C231" s="275" t="s">
        <v>258</v>
      </c>
      <c r="D231" s="275" t="s">
        <v>128</v>
      </c>
      <c r="E231" s="275" t="s">
        <v>129</v>
      </c>
      <c r="F231" s="275" t="s">
        <v>134</v>
      </c>
      <c r="G231" s="275" t="s">
        <v>341</v>
      </c>
      <c r="H231" s="275" t="s">
        <v>131</v>
      </c>
      <c r="I231" s="276"/>
      <c r="J231" s="276">
        <v>390</v>
      </c>
      <c r="K231" s="275" t="s">
        <v>433</v>
      </c>
      <c r="L231" s="277">
        <v>264267.90000000002</v>
      </c>
      <c r="M231" s="276">
        <v>390</v>
      </c>
      <c r="N231" s="276">
        <v>0</v>
      </c>
      <c r="O231" s="183">
        <f t="shared" si="4"/>
        <v>1</v>
      </c>
    </row>
    <row r="232" spans="1:17" x14ac:dyDescent="0.3">
      <c r="A232" s="273">
        <v>494</v>
      </c>
      <c r="B232" s="274" t="s">
        <v>434</v>
      </c>
      <c r="C232" s="275" t="s">
        <v>258</v>
      </c>
      <c r="D232" s="275" t="s">
        <v>128</v>
      </c>
      <c r="E232" s="275" t="s">
        <v>129</v>
      </c>
      <c r="F232" s="275" t="s">
        <v>133</v>
      </c>
      <c r="G232" s="275" t="s">
        <v>435</v>
      </c>
      <c r="H232" s="275" t="s">
        <v>131</v>
      </c>
      <c r="I232" s="276"/>
      <c r="J232" s="276">
        <v>205</v>
      </c>
      <c r="K232" s="275" t="s">
        <v>436</v>
      </c>
      <c r="L232" s="277">
        <v>138910.04999999999</v>
      </c>
      <c r="M232" s="276">
        <v>204.99999999999997</v>
      </c>
      <c r="N232" s="276">
        <v>0</v>
      </c>
      <c r="O232" s="183">
        <f t="shared" si="4"/>
        <v>1</v>
      </c>
    </row>
    <row r="233" spans="1:17" x14ac:dyDescent="0.3">
      <c r="A233" s="273">
        <v>495</v>
      </c>
      <c r="B233" s="274" t="s">
        <v>437</v>
      </c>
      <c r="C233" s="275" t="s">
        <v>258</v>
      </c>
      <c r="D233" s="275" t="s">
        <v>128</v>
      </c>
      <c r="E233" s="275" t="s">
        <v>129</v>
      </c>
      <c r="F233" s="275" t="s">
        <v>134</v>
      </c>
      <c r="G233" s="275" t="s">
        <v>438</v>
      </c>
      <c r="H233" s="275" t="s">
        <v>131</v>
      </c>
      <c r="I233" s="276"/>
      <c r="J233" s="276">
        <v>205</v>
      </c>
      <c r="K233" s="275" t="s">
        <v>439</v>
      </c>
      <c r="L233" s="277">
        <v>138910.04999999999</v>
      </c>
      <c r="M233" s="276">
        <v>204.99999999999997</v>
      </c>
      <c r="N233" s="276">
        <v>138910.04999999999</v>
      </c>
      <c r="O233" s="183">
        <f t="shared" si="4"/>
        <v>1</v>
      </c>
    </row>
    <row r="234" spans="1:17" x14ac:dyDescent="0.3">
      <c r="A234" s="273">
        <v>496</v>
      </c>
      <c r="B234" s="274" t="s">
        <v>440</v>
      </c>
      <c r="C234" s="275" t="s">
        <v>258</v>
      </c>
      <c r="D234" s="275" t="s">
        <v>128</v>
      </c>
      <c r="E234" s="275" t="s">
        <v>129</v>
      </c>
      <c r="F234" s="275" t="s">
        <v>134</v>
      </c>
      <c r="G234" s="275" t="s">
        <v>441</v>
      </c>
      <c r="H234" s="275" t="s">
        <v>131</v>
      </c>
      <c r="I234" s="276"/>
      <c r="J234" s="276">
        <v>205</v>
      </c>
      <c r="K234" s="275" t="s">
        <v>442</v>
      </c>
      <c r="L234" s="277">
        <v>138910.04999999999</v>
      </c>
      <c r="M234" s="276">
        <v>204.99999999999997</v>
      </c>
      <c r="N234" s="276">
        <v>277820.09999999998</v>
      </c>
      <c r="O234" s="183">
        <f t="shared" si="4"/>
        <v>1</v>
      </c>
      <c r="Q234" s="58" t="s">
        <v>187</v>
      </c>
    </row>
    <row r="235" spans="1:17" x14ac:dyDescent="0.3">
      <c r="A235" s="273">
        <v>497</v>
      </c>
      <c r="B235" s="274" t="s">
        <v>443</v>
      </c>
      <c r="C235" s="275" t="s">
        <v>258</v>
      </c>
      <c r="D235" s="275" t="s">
        <v>128</v>
      </c>
      <c r="E235" s="275" t="s">
        <v>129</v>
      </c>
      <c r="F235" s="275" t="s">
        <v>134</v>
      </c>
      <c r="G235" s="275" t="s">
        <v>444</v>
      </c>
      <c r="H235" s="275" t="s">
        <v>131</v>
      </c>
      <c r="I235" s="276"/>
      <c r="J235" s="276">
        <v>398</v>
      </c>
      <c r="K235" s="275" t="s">
        <v>445</v>
      </c>
      <c r="L235" s="277">
        <v>269688.78000000003</v>
      </c>
      <c r="M235" s="276">
        <v>398.00000000000006</v>
      </c>
      <c r="N235" s="276">
        <v>805000.68</v>
      </c>
      <c r="O235" s="183">
        <f t="shared" si="4"/>
        <v>1</v>
      </c>
    </row>
    <row r="236" spans="1:17" x14ac:dyDescent="0.3">
      <c r="A236" s="273">
        <v>498</v>
      </c>
      <c r="B236" s="274" t="s">
        <v>446</v>
      </c>
      <c r="C236" s="275" t="s">
        <v>258</v>
      </c>
      <c r="D236" s="275" t="s">
        <v>128</v>
      </c>
      <c r="E236" s="275" t="s">
        <v>129</v>
      </c>
      <c r="F236" s="275" t="s">
        <v>134</v>
      </c>
      <c r="G236" s="275" t="s">
        <v>447</v>
      </c>
      <c r="H236" s="275" t="s">
        <v>131</v>
      </c>
      <c r="I236" s="276"/>
      <c r="J236" s="276">
        <v>195</v>
      </c>
      <c r="K236" s="275" t="s">
        <v>448</v>
      </c>
      <c r="L236" s="277">
        <v>132133.95000000001</v>
      </c>
      <c r="M236" s="276">
        <v>195</v>
      </c>
      <c r="N236" s="276">
        <v>396401.85000000003</v>
      </c>
      <c r="O236" s="183">
        <f t="shared" si="4"/>
        <v>1</v>
      </c>
    </row>
    <row r="237" spans="1:17" x14ac:dyDescent="0.3">
      <c r="A237" s="227">
        <v>499</v>
      </c>
      <c r="B237" s="228" t="s">
        <v>449</v>
      </c>
      <c r="C237" s="229" t="s">
        <v>258</v>
      </c>
      <c r="D237" s="229" t="s">
        <v>128</v>
      </c>
      <c r="E237" s="229" t="s">
        <v>129</v>
      </c>
      <c r="F237" s="229" t="s">
        <v>133</v>
      </c>
      <c r="G237" s="229" t="s">
        <v>450</v>
      </c>
      <c r="H237" s="229" t="s">
        <v>131</v>
      </c>
      <c r="I237" s="230"/>
      <c r="J237" s="230">
        <v>188.1</v>
      </c>
      <c r="K237" s="229" t="s">
        <v>451</v>
      </c>
      <c r="L237" s="321">
        <v>127458.44099999999</v>
      </c>
      <c r="M237" s="276">
        <v>188.1</v>
      </c>
      <c r="N237" s="276">
        <v>892209.08699999994</v>
      </c>
      <c r="O237" s="183">
        <f t="shared" si="4"/>
        <v>1</v>
      </c>
    </row>
    <row r="238" spans="1:17" x14ac:dyDescent="0.3">
      <c r="A238" s="273">
        <v>500</v>
      </c>
      <c r="B238" s="274" t="s">
        <v>452</v>
      </c>
      <c r="C238" s="275" t="s">
        <v>258</v>
      </c>
      <c r="D238" s="275" t="s">
        <v>128</v>
      </c>
      <c r="E238" s="275" t="s">
        <v>129</v>
      </c>
      <c r="F238" s="275" t="s">
        <v>133</v>
      </c>
      <c r="G238" s="275" t="s">
        <v>342</v>
      </c>
      <c r="H238" s="275" t="s">
        <v>131</v>
      </c>
      <c r="I238" s="276"/>
      <c r="J238" s="276">
        <v>975</v>
      </c>
      <c r="K238" s="275" t="s">
        <v>453</v>
      </c>
      <c r="L238" s="277">
        <v>660669.75</v>
      </c>
      <c r="M238" s="276">
        <v>975</v>
      </c>
      <c r="N238" s="276">
        <v>0</v>
      </c>
      <c r="O238" s="183">
        <f t="shared" si="4"/>
        <v>1</v>
      </c>
    </row>
    <row r="239" spans="1:17" x14ac:dyDescent="0.3">
      <c r="A239" s="273">
        <v>501</v>
      </c>
      <c r="B239" s="274" t="s">
        <v>454</v>
      </c>
      <c r="C239" s="275" t="s">
        <v>258</v>
      </c>
      <c r="D239" s="275" t="s">
        <v>128</v>
      </c>
      <c r="E239" s="275" t="s">
        <v>129</v>
      </c>
      <c r="F239" s="275" t="s">
        <v>134</v>
      </c>
      <c r="G239" s="275" t="s">
        <v>343</v>
      </c>
      <c r="H239" s="275" t="s">
        <v>131</v>
      </c>
      <c r="I239" s="276"/>
      <c r="J239" s="276">
        <v>780</v>
      </c>
      <c r="K239" s="275" t="s">
        <v>455</v>
      </c>
      <c r="L239" s="277">
        <v>528535.80000000005</v>
      </c>
      <c r="M239" s="276">
        <v>780</v>
      </c>
      <c r="N239" s="276">
        <v>0</v>
      </c>
      <c r="O239" s="183">
        <f t="shared" si="4"/>
        <v>1</v>
      </c>
    </row>
    <row r="240" spans="1:17" x14ac:dyDescent="0.3">
      <c r="A240" s="273">
        <v>502</v>
      </c>
      <c r="B240" s="274" t="s">
        <v>456</v>
      </c>
      <c r="C240" s="275" t="s">
        <v>258</v>
      </c>
      <c r="D240" s="275" t="s">
        <v>128</v>
      </c>
      <c r="E240" s="275" t="s">
        <v>129</v>
      </c>
      <c r="F240" s="275" t="s">
        <v>133</v>
      </c>
      <c r="G240" s="275" t="s">
        <v>457</v>
      </c>
      <c r="H240" s="275" t="s">
        <v>131</v>
      </c>
      <c r="I240" s="276"/>
      <c r="J240" s="276">
        <v>1025</v>
      </c>
      <c r="K240" s="275" t="s">
        <v>458</v>
      </c>
      <c r="L240" s="277">
        <v>694550.25</v>
      </c>
      <c r="M240" s="276">
        <v>1025</v>
      </c>
      <c r="N240" s="276">
        <v>0</v>
      </c>
      <c r="O240" s="183">
        <f t="shared" si="4"/>
        <v>1</v>
      </c>
    </row>
    <row r="241" spans="1:15" x14ac:dyDescent="0.3">
      <c r="A241" s="273">
        <v>503</v>
      </c>
      <c r="B241" s="274" t="s">
        <v>459</v>
      </c>
      <c r="C241" s="275" t="s">
        <v>258</v>
      </c>
      <c r="D241" s="275" t="s">
        <v>128</v>
      </c>
      <c r="E241" s="275" t="s">
        <v>129</v>
      </c>
      <c r="F241" s="275" t="s">
        <v>133</v>
      </c>
      <c r="G241" s="275" t="s">
        <v>460</v>
      </c>
      <c r="H241" s="275" t="s">
        <v>131</v>
      </c>
      <c r="I241" s="276"/>
      <c r="J241" s="276">
        <v>205</v>
      </c>
      <c r="K241" s="275" t="s">
        <v>461</v>
      </c>
      <c r="L241" s="277">
        <v>138910.04999999999</v>
      </c>
      <c r="M241" s="276">
        <v>204.99999999999997</v>
      </c>
      <c r="N241" s="276">
        <v>411986.88</v>
      </c>
      <c r="O241" s="183">
        <f t="shared" si="4"/>
        <v>1</v>
      </c>
    </row>
    <row r="242" spans="1:15" x14ac:dyDescent="0.3">
      <c r="A242" s="273">
        <v>504</v>
      </c>
      <c r="B242" s="274" t="s">
        <v>462</v>
      </c>
      <c r="C242" s="275" t="s">
        <v>257</v>
      </c>
      <c r="D242" s="275" t="s">
        <v>128</v>
      </c>
      <c r="E242" s="275" t="s">
        <v>132</v>
      </c>
      <c r="F242" s="275" t="s">
        <v>134</v>
      </c>
      <c r="G242" s="275" t="s">
        <v>351</v>
      </c>
      <c r="H242" s="275" t="s">
        <v>132</v>
      </c>
      <c r="I242" s="276">
        <v>12000</v>
      </c>
      <c r="J242" s="276"/>
      <c r="K242" s="275" t="s">
        <v>463</v>
      </c>
      <c r="L242" s="277">
        <v>12000</v>
      </c>
      <c r="M242" s="276">
        <v>17.709301810776111</v>
      </c>
      <c r="N242" s="276">
        <v>0</v>
      </c>
      <c r="O242" s="183">
        <f t="shared" si="4"/>
        <v>1</v>
      </c>
    </row>
    <row r="243" spans="1:15" x14ac:dyDescent="0.3">
      <c r="A243" s="273">
        <v>505</v>
      </c>
      <c r="B243" s="274" t="s">
        <v>464</v>
      </c>
      <c r="C243" s="275" t="s">
        <v>258</v>
      </c>
      <c r="D243" s="275" t="s">
        <v>128</v>
      </c>
      <c r="E243" s="275" t="s">
        <v>129</v>
      </c>
      <c r="F243" s="275" t="s">
        <v>133</v>
      </c>
      <c r="G243" s="275" t="s">
        <v>465</v>
      </c>
      <c r="H243" s="275" t="s">
        <v>131</v>
      </c>
      <c r="I243" s="276"/>
      <c r="J243" s="276">
        <v>195</v>
      </c>
      <c r="K243" s="275" t="s">
        <v>466</v>
      </c>
      <c r="L243" s="277">
        <v>132133.95000000001</v>
      </c>
      <c r="M243" s="276">
        <v>195</v>
      </c>
      <c r="N243" s="276">
        <v>0</v>
      </c>
      <c r="O243" s="183">
        <f t="shared" si="4"/>
        <v>1</v>
      </c>
    </row>
    <row r="244" spans="1:15" x14ac:dyDescent="0.3">
      <c r="A244" s="273">
        <v>506</v>
      </c>
      <c r="B244" s="274" t="s">
        <v>467</v>
      </c>
      <c r="C244" s="275" t="s">
        <v>258</v>
      </c>
      <c r="D244" s="275" t="s">
        <v>128</v>
      </c>
      <c r="E244" s="275" t="s">
        <v>129</v>
      </c>
      <c r="F244" s="275" t="s">
        <v>133</v>
      </c>
      <c r="G244" s="275" t="s">
        <v>468</v>
      </c>
      <c r="H244" s="275" t="s">
        <v>131</v>
      </c>
      <c r="I244" s="276"/>
      <c r="J244" s="276">
        <v>198</v>
      </c>
      <c r="K244" s="275" t="s">
        <v>469</v>
      </c>
      <c r="L244" s="277">
        <v>134166.78</v>
      </c>
      <c r="M244" s="276">
        <v>198</v>
      </c>
      <c r="N244" s="276">
        <v>805000.68</v>
      </c>
      <c r="O244" s="183">
        <f t="shared" si="4"/>
        <v>1</v>
      </c>
    </row>
    <row r="245" spans="1:15" x14ac:dyDescent="0.3">
      <c r="A245" s="273">
        <v>507</v>
      </c>
      <c r="B245" s="274" t="s">
        <v>470</v>
      </c>
      <c r="C245" s="275" t="s">
        <v>258</v>
      </c>
      <c r="D245" s="275" t="s">
        <v>128</v>
      </c>
      <c r="E245" s="275" t="s">
        <v>129</v>
      </c>
      <c r="F245" s="275" t="s">
        <v>134</v>
      </c>
      <c r="G245" s="275" t="s">
        <v>471</v>
      </c>
      <c r="H245" s="275" t="s">
        <v>131</v>
      </c>
      <c r="I245" s="276"/>
      <c r="J245" s="276">
        <v>198</v>
      </c>
      <c r="K245" s="275" t="s">
        <v>472</v>
      </c>
      <c r="L245" s="277">
        <v>134166.78</v>
      </c>
      <c r="M245" s="276">
        <v>198</v>
      </c>
      <c r="N245" s="276">
        <v>268333.56</v>
      </c>
      <c r="O245" s="183">
        <f t="shared" si="4"/>
        <v>1</v>
      </c>
    </row>
    <row r="246" spans="1:15" x14ac:dyDescent="0.3">
      <c r="A246" s="273">
        <v>508</v>
      </c>
      <c r="B246" s="274" t="s">
        <v>473</v>
      </c>
      <c r="C246" s="275" t="s">
        <v>258</v>
      </c>
      <c r="D246" s="275" t="s">
        <v>128</v>
      </c>
      <c r="E246" s="275" t="s">
        <v>129</v>
      </c>
      <c r="F246" s="275" t="s">
        <v>133</v>
      </c>
      <c r="G246" s="275" t="s">
        <v>474</v>
      </c>
      <c r="H246" s="275" t="s">
        <v>131</v>
      </c>
      <c r="I246" s="276"/>
      <c r="J246" s="276">
        <v>205</v>
      </c>
      <c r="K246" s="275" t="s">
        <v>475</v>
      </c>
      <c r="L246" s="277">
        <v>138910.04999999999</v>
      </c>
      <c r="M246" s="276">
        <v>204.99999999999997</v>
      </c>
      <c r="N246" s="276">
        <v>277820.09999999998</v>
      </c>
      <c r="O246" s="183">
        <f t="shared" si="4"/>
        <v>1</v>
      </c>
    </row>
    <row r="247" spans="1:15" x14ac:dyDescent="0.3">
      <c r="A247" s="273">
        <v>509</v>
      </c>
      <c r="B247" s="274" t="s">
        <v>476</v>
      </c>
      <c r="C247" s="275" t="s">
        <v>258</v>
      </c>
      <c r="D247" s="275" t="s">
        <v>128</v>
      </c>
      <c r="E247" s="275" t="s">
        <v>129</v>
      </c>
      <c r="F247" s="275" t="s">
        <v>133</v>
      </c>
      <c r="G247" s="275" t="s">
        <v>477</v>
      </c>
      <c r="H247" s="275" t="s">
        <v>131</v>
      </c>
      <c r="I247" s="276"/>
      <c r="J247" s="276">
        <v>410</v>
      </c>
      <c r="K247" s="275" t="s">
        <v>478</v>
      </c>
      <c r="L247" s="277">
        <v>277820.09999999998</v>
      </c>
      <c r="M247" s="276">
        <v>409.99999999999994</v>
      </c>
      <c r="N247" s="276">
        <v>0</v>
      </c>
      <c r="O247" s="183">
        <f t="shared" si="4"/>
        <v>1</v>
      </c>
    </row>
    <row r="248" spans="1:15" x14ac:dyDescent="0.3">
      <c r="A248" s="273">
        <v>510</v>
      </c>
      <c r="B248" s="274" t="s">
        <v>479</v>
      </c>
      <c r="C248" s="275" t="s">
        <v>258</v>
      </c>
      <c r="D248" s="275" t="s">
        <v>128</v>
      </c>
      <c r="E248" s="275" t="s">
        <v>129</v>
      </c>
      <c r="F248" s="275" t="s">
        <v>133</v>
      </c>
      <c r="G248" s="275" t="s">
        <v>350</v>
      </c>
      <c r="H248" s="275" t="s">
        <v>131</v>
      </c>
      <c r="I248" s="276"/>
      <c r="J248" s="276">
        <v>205</v>
      </c>
      <c r="K248" s="275" t="s">
        <v>480</v>
      </c>
      <c r="L248" s="277">
        <v>138910.04999999999</v>
      </c>
      <c r="M248" s="276">
        <v>204.99999999999997</v>
      </c>
      <c r="N248" s="276">
        <v>0</v>
      </c>
      <c r="O248" s="183">
        <f t="shared" si="4"/>
        <v>1</v>
      </c>
    </row>
    <row r="249" spans="1:15" x14ac:dyDescent="0.3">
      <c r="A249" s="273">
        <v>511</v>
      </c>
      <c r="B249" s="274" t="s">
        <v>481</v>
      </c>
      <c r="C249" s="275" t="s">
        <v>258</v>
      </c>
      <c r="D249" s="275" t="s">
        <v>128</v>
      </c>
      <c r="E249" s="275" t="s">
        <v>129</v>
      </c>
      <c r="F249" s="275" t="s">
        <v>134</v>
      </c>
      <c r="G249" s="275" t="s">
        <v>482</v>
      </c>
      <c r="H249" s="275" t="s">
        <v>131</v>
      </c>
      <c r="I249" s="276"/>
      <c r="J249" s="276">
        <v>198</v>
      </c>
      <c r="K249" s="275" t="s">
        <v>483</v>
      </c>
      <c r="L249" s="277">
        <v>134166.78</v>
      </c>
      <c r="M249" s="276">
        <v>198</v>
      </c>
      <c r="N249" s="276">
        <v>402500.34</v>
      </c>
      <c r="O249" s="183">
        <f t="shared" si="4"/>
        <v>1</v>
      </c>
    </row>
    <row r="250" spans="1:15" x14ac:dyDescent="0.3">
      <c r="A250" s="273">
        <v>512</v>
      </c>
      <c r="B250" s="274" t="s">
        <v>484</v>
      </c>
      <c r="C250" s="275" t="s">
        <v>258</v>
      </c>
      <c r="D250" s="275" t="s">
        <v>128</v>
      </c>
      <c r="E250" s="275" t="s">
        <v>129</v>
      </c>
      <c r="F250" s="275" t="s">
        <v>130</v>
      </c>
      <c r="G250" s="275" t="s">
        <v>339</v>
      </c>
      <c r="H250" s="275" t="s">
        <v>131</v>
      </c>
      <c r="I250" s="276"/>
      <c r="J250" s="276">
        <v>877.5</v>
      </c>
      <c r="K250" s="275" t="s">
        <v>340</v>
      </c>
      <c r="L250" s="277">
        <v>594602.77500000002</v>
      </c>
      <c r="M250" s="276">
        <v>877.5</v>
      </c>
      <c r="N250" s="276">
        <v>0</v>
      </c>
      <c r="O250" s="183">
        <f t="shared" ref="O250:O313" si="5">+A250-A249</f>
        <v>1</v>
      </c>
    </row>
    <row r="251" spans="1:15" x14ac:dyDescent="0.3">
      <c r="A251" s="273">
        <v>513</v>
      </c>
      <c r="B251" s="274" t="s">
        <v>485</v>
      </c>
      <c r="C251" s="275" t="s">
        <v>258</v>
      </c>
      <c r="D251" s="275" t="s">
        <v>128</v>
      </c>
      <c r="E251" s="275" t="s">
        <v>129</v>
      </c>
      <c r="F251" s="275" t="s">
        <v>134</v>
      </c>
      <c r="G251" s="275" t="s">
        <v>344</v>
      </c>
      <c r="H251" s="275" t="s">
        <v>131</v>
      </c>
      <c r="I251" s="276"/>
      <c r="J251" s="276">
        <v>389.5</v>
      </c>
      <c r="K251" s="275" t="s">
        <v>486</v>
      </c>
      <c r="L251" s="277">
        <v>263929.09500000003</v>
      </c>
      <c r="M251" s="276">
        <v>389.50000000000006</v>
      </c>
      <c r="N251" s="276">
        <v>0</v>
      </c>
      <c r="O251" s="183">
        <f t="shared" si="5"/>
        <v>1</v>
      </c>
    </row>
    <row r="252" spans="1:15" x14ac:dyDescent="0.3">
      <c r="A252" s="273">
        <v>514</v>
      </c>
      <c r="B252" s="274" t="s">
        <v>487</v>
      </c>
      <c r="C252" s="275" t="s">
        <v>258</v>
      </c>
      <c r="D252" s="275" t="s">
        <v>128</v>
      </c>
      <c r="E252" s="275" t="s">
        <v>129</v>
      </c>
      <c r="F252" s="275" t="s">
        <v>133</v>
      </c>
      <c r="G252" s="275" t="s">
        <v>488</v>
      </c>
      <c r="H252" s="275" t="s">
        <v>131</v>
      </c>
      <c r="I252" s="276"/>
      <c r="J252" s="276">
        <v>1053</v>
      </c>
      <c r="K252" s="275" t="s">
        <v>489</v>
      </c>
      <c r="L252" s="277">
        <v>713523.33</v>
      </c>
      <c r="M252" s="276">
        <v>1053</v>
      </c>
      <c r="N252" s="276">
        <v>0</v>
      </c>
      <c r="O252" s="183">
        <f t="shared" si="5"/>
        <v>1</v>
      </c>
    </row>
    <row r="253" spans="1:15" x14ac:dyDescent="0.3">
      <c r="A253" s="273">
        <v>515</v>
      </c>
      <c r="B253" s="274" t="s">
        <v>490</v>
      </c>
      <c r="C253" s="275" t="s">
        <v>258</v>
      </c>
      <c r="D253" s="275" t="s">
        <v>128</v>
      </c>
      <c r="E253" s="275" t="s">
        <v>129</v>
      </c>
      <c r="F253" s="275" t="s">
        <v>130</v>
      </c>
      <c r="G253" s="275" t="s">
        <v>352</v>
      </c>
      <c r="H253" s="275" t="s">
        <v>131</v>
      </c>
      <c r="I253" s="276"/>
      <c r="J253" s="276">
        <v>205</v>
      </c>
      <c r="K253" s="275" t="s">
        <v>325</v>
      </c>
      <c r="L253" s="277">
        <v>138910.04999999999</v>
      </c>
      <c r="M253" s="276">
        <v>204.99999999999997</v>
      </c>
      <c r="N253" s="276">
        <v>0</v>
      </c>
      <c r="O253" s="183">
        <f t="shared" si="5"/>
        <v>1</v>
      </c>
    </row>
    <row r="254" spans="1:15" x14ac:dyDescent="0.3">
      <c r="A254" s="273">
        <v>516</v>
      </c>
      <c r="B254" s="274" t="s">
        <v>491</v>
      </c>
      <c r="C254" s="275" t="s">
        <v>257</v>
      </c>
      <c r="D254" s="275" t="s">
        <v>128</v>
      </c>
      <c r="E254" s="275" t="s">
        <v>132</v>
      </c>
      <c r="F254" s="275" t="s">
        <v>133</v>
      </c>
      <c r="G254" s="275" t="s">
        <v>492</v>
      </c>
      <c r="H254" s="275" t="s">
        <v>132</v>
      </c>
      <c r="I254" s="276">
        <v>151315</v>
      </c>
      <c r="J254" s="276"/>
      <c r="K254" s="275" t="s">
        <v>493</v>
      </c>
      <c r="L254" s="277">
        <v>151315</v>
      </c>
      <c r="M254" s="276">
        <v>223.30691695813226</v>
      </c>
      <c r="N254" s="276">
        <v>454840</v>
      </c>
      <c r="O254" s="183">
        <f t="shared" si="5"/>
        <v>1</v>
      </c>
    </row>
    <row r="255" spans="1:15" x14ac:dyDescent="0.3">
      <c r="A255" s="273">
        <v>517</v>
      </c>
      <c r="B255" s="274" t="s">
        <v>494</v>
      </c>
      <c r="C255" s="275" t="s">
        <v>257</v>
      </c>
      <c r="D255" s="275" t="s">
        <v>128</v>
      </c>
      <c r="E255" s="275" t="s">
        <v>132</v>
      </c>
      <c r="F255" s="275" t="s">
        <v>133</v>
      </c>
      <c r="G255" s="275" t="s">
        <v>492</v>
      </c>
      <c r="H255" s="275" t="s">
        <v>132</v>
      </c>
      <c r="I255" s="276">
        <v>151315</v>
      </c>
      <c r="J255" s="276"/>
      <c r="K255" s="275" t="s">
        <v>495</v>
      </c>
      <c r="L255" s="277">
        <v>151315</v>
      </c>
      <c r="M255" s="276">
        <v>223.30691695813226</v>
      </c>
      <c r="N255" s="276">
        <v>454839</v>
      </c>
      <c r="O255" s="183">
        <f t="shared" si="5"/>
        <v>1</v>
      </c>
    </row>
    <row r="256" spans="1:15" x14ac:dyDescent="0.3">
      <c r="A256" s="273">
        <v>518</v>
      </c>
      <c r="B256" s="274" t="s">
        <v>496</v>
      </c>
      <c r="C256" s="275" t="s">
        <v>258</v>
      </c>
      <c r="D256" s="275" t="s">
        <v>128</v>
      </c>
      <c r="E256" s="275" t="s">
        <v>129</v>
      </c>
      <c r="F256" s="275" t="s">
        <v>133</v>
      </c>
      <c r="G256" s="275" t="s">
        <v>345</v>
      </c>
      <c r="H256" s="275" t="s">
        <v>131</v>
      </c>
      <c r="I256" s="276"/>
      <c r="J256" s="276">
        <v>475</v>
      </c>
      <c r="K256" s="275" t="s">
        <v>497</v>
      </c>
      <c r="L256" s="277">
        <v>321864.75</v>
      </c>
      <c r="M256" s="276">
        <v>475</v>
      </c>
      <c r="N256" s="276">
        <v>0</v>
      </c>
      <c r="O256" s="183">
        <f t="shared" si="5"/>
        <v>1</v>
      </c>
    </row>
    <row r="257" spans="1:17" x14ac:dyDescent="0.3">
      <c r="A257" s="273">
        <v>519</v>
      </c>
      <c r="B257" s="274" t="s">
        <v>498</v>
      </c>
      <c r="C257" s="275" t="s">
        <v>258</v>
      </c>
      <c r="D257" s="275" t="s">
        <v>128</v>
      </c>
      <c r="E257" s="275" t="s">
        <v>129</v>
      </c>
      <c r="F257" s="275" t="s">
        <v>133</v>
      </c>
      <c r="G257" s="275" t="s">
        <v>499</v>
      </c>
      <c r="H257" s="275" t="s">
        <v>131</v>
      </c>
      <c r="I257" s="276"/>
      <c r="J257" s="276">
        <v>820</v>
      </c>
      <c r="K257" s="275" t="s">
        <v>500</v>
      </c>
      <c r="L257" s="277">
        <v>555640.19999999995</v>
      </c>
      <c r="M257" s="276">
        <v>819.99999999999989</v>
      </c>
      <c r="N257" s="276">
        <v>0</v>
      </c>
      <c r="O257" s="183">
        <f t="shared" si="5"/>
        <v>1</v>
      </c>
      <c r="Q257" s="226">
        <v>1</v>
      </c>
    </row>
    <row r="258" spans="1:17" x14ac:dyDescent="0.3">
      <c r="A258" s="273">
        <v>520</v>
      </c>
      <c r="B258" s="274" t="s">
        <v>501</v>
      </c>
      <c r="C258" s="275" t="s">
        <v>258</v>
      </c>
      <c r="D258" s="275" t="s">
        <v>128</v>
      </c>
      <c r="E258" s="275" t="s">
        <v>129</v>
      </c>
      <c r="F258" s="275" t="s">
        <v>133</v>
      </c>
      <c r="G258" s="275" t="s">
        <v>502</v>
      </c>
      <c r="H258" s="275" t="s">
        <v>131</v>
      </c>
      <c r="I258" s="276"/>
      <c r="J258" s="276">
        <v>205</v>
      </c>
      <c r="K258" s="275" t="s">
        <v>503</v>
      </c>
      <c r="L258" s="277">
        <v>138910.04999999999</v>
      </c>
      <c r="M258" s="276">
        <v>204.99999999999997</v>
      </c>
      <c r="N258" s="276">
        <v>0</v>
      </c>
      <c r="O258" s="183">
        <f t="shared" si="5"/>
        <v>1</v>
      </c>
    </row>
    <row r="259" spans="1:17" x14ac:dyDescent="0.3">
      <c r="A259" s="273">
        <v>521</v>
      </c>
      <c r="B259" s="274" t="s">
        <v>504</v>
      </c>
      <c r="C259" s="275" t="s">
        <v>258</v>
      </c>
      <c r="D259" s="275" t="s">
        <v>128</v>
      </c>
      <c r="E259" s="275" t="s">
        <v>129</v>
      </c>
      <c r="F259" s="275" t="s">
        <v>133</v>
      </c>
      <c r="G259" s="275" t="s">
        <v>347</v>
      </c>
      <c r="H259" s="275" t="s">
        <v>131</v>
      </c>
      <c r="I259" s="276"/>
      <c r="J259" s="276">
        <v>205</v>
      </c>
      <c r="K259" s="275" t="s">
        <v>505</v>
      </c>
      <c r="L259" s="277">
        <v>138910.04999999999</v>
      </c>
      <c r="M259" s="276">
        <v>204.99999999999997</v>
      </c>
      <c r="N259" s="276">
        <v>0</v>
      </c>
      <c r="O259" s="183">
        <f t="shared" si="5"/>
        <v>1</v>
      </c>
    </row>
    <row r="260" spans="1:17" x14ac:dyDescent="0.3">
      <c r="A260" s="273">
        <v>522</v>
      </c>
      <c r="B260" s="274" t="s">
        <v>506</v>
      </c>
      <c r="C260" s="275" t="s">
        <v>258</v>
      </c>
      <c r="D260" s="275" t="s">
        <v>128</v>
      </c>
      <c r="E260" s="275" t="s">
        <v>129</v>
      </c>
      <c r="F260" s="275" t="s">
        <v>133</v>
      </c>
      <c r="G260" s="275" t="s">
        <v>507</v>
      </c>
      <c r="H260" s="275" t="s">
        <v>131</v>
      </c>
      <c r="I260" s="276"/>
      <c r="J260" s="276">
        <v>185.25</v>
      </c>
      <c r="K260" s="275" t="s">
        <v>508</v>
      </c>
      <c r="L260" s="277">
        <v>125527.2525</v>
      </c>
      <c r="M260" s="276">
        <v>185.25</v>
      </c>
      <c r="N260" s="276">
        <v>0</v>
      </c>
      <c r="O260" s="183">
        <f t="shared" si="5"/>
        <v>1</v>
      </c>
    </row>
    <row r="261" spans="1:17" x14ac:dyDescent="0.3">
      <c r="A261" s="273">
        <v>523</v>
      </c>
      <c r="B261" s="274" t="s">
        <v>509</v>
      </c>
      <c r="C261" s="275" t="s">
        <v>257</v>
      </c>
      <c r="D261" s="275" t="s">
        <v>128</v>
      </c>
      <c r="E261" s="275" t="s">
        <v>132</v>
      </c>
      <c r="F261" s="275" t="s">
        <v>133</v>
      </c>
      <c r="G261" s="275" t="s">
        <v>334</v>
      </c>
      <c r="H261" s="275" t="s">
        <v>132</v>
      </c>
      <c r="I261" s="276">
        <v>145274</v>
      </c>
      <c r="J261" s="276"/>
      <c r="K261" s="275" t="s">
        <v>510</v>
      </c>
      <c r="L261" s="277">
        <v>145274</v>
      </c>
      <c r="M261" s="276">
        <v>214.39175927155739</v>
      </c>
      <c r="N261" s="276">
        <v>0</v>
      </c>
      <c r="O261" s="183">
        <f t="shared" si="5"/>
        <v>1</v>
      </c>
    </row>
    <row r="262" spans="1:17" x14ac:dyDescent="0.3">
      <c r="A262" s="273">
        <v>524</v>
      </c>
      <c r="B262" s="274" t="s">
        <v>511</v>
      </c>
      <c r="C262" s="275" t="s">
        <v>258</v>
      </c>
      <c r="D262" s="275" t="s">
        <v>128</v>
      </c>
      <c r="E262" s="275" t="s">
        <v>129</v>
      </c>
      <c r="F262" s="275" t="s">
        <v>134</v>
      </c>
      <c r="G262" s="275" t="s">
        <v>361</v>
      </c>
      <c r="H262" s="275" t="s">
        <v>131</v>
      </c>
      <c r="I262" s="276"/>
      <c r="J262" s="276">
        <v>615</v>
      </c>
      <c r="K262" s="275" t="s">
        <v>512</v>
      </c>
      <c r="L262" s="277">
        <v>416730.15</v>
      </c>
      <c r="M262" s="276">
        <v>615</v>
      </c>
      <c r="N262" s="276">
        <v>0</v>
      </c>
      <c r="O262" s="183">
        <f t="shared" si="5"/>
        <v>1</v>
      </c>
    </row>
    <row r="263" spans="1:17" x14ac:dyDescent="0.3">
      <c r="A263" s="273">
        <v>525</v>
      </c>
      <c r="B263" s="274" t="s">
        <v>513</v>
      </c>
      <c r="C263" s="275" t="s">
        <v>258</v>
      </c>
      <c r="D263" s="275" t="s">
        <v>128</v>
      </c>
      <c r="E263" s="275" t="s">
        <v>129</v>
      </c>
      <c r="F263" s="275" t="s">
        <v>134</v>
      </c>
      <c r="G263" s="275" t="s">
        <v>514</v>
      </c>
      <c r="H263" s="275" t="s">
        <v>131</v>
      </c>
      <c r="I263" s="276"/>
      <c r="J263" s="276">
        <v>615</v>
      </c>
      <c r="K263" s="275" t="s">
        <v>515</v>
      </c>
      <c r="L263" s="277">
        <v>416730.15</v>
      </c>
      <c r="M263" s="276">
        <v>615</v>
      </c>
      <c r="N263" s="276">
        <v>0</v>
      </c>
      <c r="O263" s="183">
        <f t="shared" si="5"/>
        <v>1</v>
      </c>
    </row>
    <row r="264" spans="1:17" x14ac:dyDescent="0.3">
      <c r="A264" s="273">
        <v>526</v>
      </c>
      <c r="B264" s="274" t="s">
        <v>516</v>
      </c>
      <c r="C264" s="275" t="s">
        <v>258</v>
      </c>
      <c r="D264" s="275" t="s">
        <v>128</v>
      </c>
      <c r="E264" s="275" t="s">
        <v>129</v>
      </c>
      <c r="F264" s="275" t="s">
        <v>134</v>
      </c>
      <c r="G264" s="275" t="s">
        <v>517</v>
      </c>
      <c r="H264" s="275" t="s">
        <v>131</v>
      </c>
      <c r="I264" s="276"/>
      <c r="J264" s="276">
        <v>615</v>
      </c>
      <c r="K264" s="275" t="s">
        <v>518</v>
      </c>
      <c r="L264" s="277">
        <v>416730.15</v>
      </c>
      <c r="M264" s="276">
        <v>615</v>
      </c>
      <c r="N264" s="276">
        <v>0</v>
      </c>
      <c r="O264" s="183">
        <f t="shared" si="5"/>
        <v>1</v>
      </c>
    </row>
    <row r="265" spans="1:17" x14ac:dyDescent="0.3">
      <c r="A265" s="273">
        <v>527</v>
      </c>
      <c r="B265" s="274" t="s">
        <v>519</v>
      </c>
      <c r="C265" s="275" t="s">
        <v>258</v>
      </c>
      <c r="D265" s="275" t="s">
        <v>128</v>
      </c>
      <c r="E265" s="275" t="s">
        <v>129</v>
      </c>
      <c r="F265" s="275" t="s">
        <v>133</v>
      </c>
      <c r="G265" s="275" t="s">
        <v>520</v>
      </c>
      <c r="H265" s="275" t="s">
        <v>131</v>
      </c>
      <c r="I265" s="276"/>
      <c r="J265" s="276">
        <v>615</v>
      </c>
      <c r="K265" s="275" t="s">
        <v>521</v>
      </c>
      <c r="L265" s="277">
        <v>416730.15</v>
      </c>
      <c r="M265" s="276">
        <v>615</v>
      </c>
      <c r="N265" s="276">
        <v>0</v>
      </c>
      <c r="O265" s="183">
        <f t="shared" si="5"/>
        <v>1</v>
      </c>
    </row>
    <row r="266" spans="1:17" x14ac:dyDescent="0.3">
      <c r="A266" s="273">
        <v>528</v>
      </c>
      <c r="B266" s="274" t="s">
        <v>522</v>
      </c>
      <c r="C266" s="275" t="s">
        <v>258</v>
      </c>
      <c r="D266" s="275" t="s">
        <v>128</v>
      </c>
      <c r="E266" s="275" t="s">
        <v>129</v>
      </c>
      <c r="F266" s="275" t="s">
        <v>134</v>
      </c>
      <c r="G266" s="275" t="s">
        <v>523</v>
      </c>
      <c r="H266" s="275" t="s">
        <v>131</v>
      </c>
      <c r="I266" s="276"/>
      <c r="J266" s="276">
        <v>615</v>
      </c>
      <c r="K266" s="275" t="s">
        <v>524</v>
      </c>
      <c r="L266" s="277">
        <v>416730.15</v>
      </c>
      <c r="M266" s="276">
        <v>615</v>
      </c>
      <c r="N266" s="276">
        <v>0</v>
      </c>
      <c r="O266" s="183">
        <f t="shared" si="5"/>
        <v>1</v>
      </c>
    </row>
    <row r="267" spans="1:17" x14ac:dyDescent="0.3">
      <c r="A267" s="273">
        <v>529</v>
      </c>
      <c r="B267" s="274" t="s">
        <v>525</v>
      </c>
      <c r="C267" s="275" t="s">
        <v>258</v>
      </c>
      <c r="D267" s="275" t="s">
        <v>128</v>
      </c>
      <c r="E267" s="275" t="s">
        <v>129</v>
      </c>
      <c r="F267" s="275" t="s">
        <v>134</v>
      </c>
      <c r="G267" s="275" t="s">
        <v>526</v>
      </c>
      <c r="H267" s="275" t="s">
        <v>131</v>
      </c>
      <c r="I267" s="276"/>
      <c r="J267" s="276">
        <v>198</v>
      </c>
      <c r="K267" s="275" t="s">
        <v>527</v>
      </c>
      <c r="L267" s="277">
        <v>134166.78</v>
      </c>
      <c r="M267" s="276">
        <v>198</v>
      </c>
      <c r="N267" s="276">
        <v>814487.22</v>
      </c>
      <c r="O267" s="183">
        <f t="shared" si="5"/>
        <v>1</v>
      </c>
    </row>
    <row r="268" spans="1:17" x14ac:dyDescent="0.3">
      <c r="A268" s="273">
        <v>530</v>
      </c>
      <c r="B268" s="274" t="s">
        <v>528</v>
      </c>
      <c r="C268" s="275" t="s">
        <v>258</v>
      </c>
      <c r="D268" s="275" t="s">
        <v>128</v>
      </c>
      <c r="E268" s="275" t="s">
        <v>129</v>
      </c>
      <c r="F268" s="275" t="s">
        <v>133</v>
      </c>
      <c r="G268" s="275" t="s">
        <v>529</v>
      </c>
      <c r="H268" s="275" t="s">
        <v>131</v>
      </c>
      <c r="I268" s="276"/>
      <c r="J268" s="276">
        <v>175.5</v>
      </c>
      <c r="K268" s="275" t="s">
        <v>530</v>
      </c>
      <c r="L268" s="277">
        <v>118920.55500000001</v>
      </c>
      <c r="M268" s="276">
        <v>175.5</v>
      </c>
      <c r="N268" s="276">
        <v>0</v>
      </c>
      <c r="O268" s="183">
        <f t="shared" si="5"/>
        <v>1</v>
      </c>
    </row>
    <row r="269" spans="1:17" x14ac:dyDescent="0.3">
      <c r="A269" s="273">
        <v>531</v>
      </c>
      <c r="B269" s="274" t="s">
        <v>531</v>
      </c>
      <c r="C269" s="275" t="s">
        <v>258</v>
      </c>
      <c r="D269" s="275" t="s">
        <v>128</v>
      </c>
      <c r="E269" s="275" t="s">
        <v>129</v>
      </c>
      <c r="F269" s="275" t="s">
        <v>133</v>
      </c>
      <c r="G269" s="275" t="s">
        <v>532</v>
      </c>
      <c r="H269" s="275" t="s">
        <v>131</v>
      </c>
      <c r="I269" s="276"/>
      <c r="J269" s="276">
        <v>194.75</v>
      </c>
      <c r="K269" s="275" t="s">
        <v>533</v>
      </c>
      <c r="L269" s="277">
        <v>131964.54750000002</v>
      </c>
      <c r="M269" s="276">
        <v>194.75000000000003</v>
      </c>
      <c r="N269" s="276">
        <v>0</v>
      </c>
      <c r="O269" s="183">
        <f t="shared" si="5"/>
        <v>1</v>
      </c>
    </row>
    <row r="270" spans="1:17" x14ac:dyDescent="0.3">
      <c r="A270" s="273">
        <v>532</v>
      </c>
      <c r="B270" s="274" t="s">
        <v>534</v>
      </c>
      <c r="C270" s="275" t="s">
        <v>258</v>
      </c>
      <c r="D270" s="275" t="s">
        <v>128</v>
      </c>
      <c r="E270" s="275" t="s">
        <v>129</v>
      </c>
      <c r="F270" s="275" t="s">
        <v>134</v>
      </c>
      <c r="G270" s="275" t="s">
        <v>535</v>
      </c>
      <c r="H270" s="275" t="s">
        <v>131</v>
      </c>
      <c r="I270" s="276"/>
      <c r="J270" s="276">
        <v>820</v>
      </c>
      <c r="K270" s="275" t="s">
        <v>536</v>
      </c>
      <c r="L270" s="277">
        <v>555640.19999999995</v>
      </c>
      <c r="M270" s="276">
        <v>819.99999999999989</v>
      </c>
      <c r="N270" s="276">
        <v>0</v>
      </c>
      <c r="O270" s="183">
        <f t="shared" si="5"/>
        <v>1</v>
      </c>
    </row>
    <row r="271" spans="1:17" x14ac:dyDescent="0.3">
      <c r="A271" s="273">
        <v>533</v>
      </c>
      <c r="B271" s="274" t="s">
        <v>537</v>
      </c>
      <c r="C271" s="275" t="s">
        <v>258</v>
      </c>
      <c r="D271" s="275" t="s">
        <v>128</v>
      </c>
      <c r="E271" s="275" t="s">
        <v>129</v>
      </c>
      <c r="F271" s="275" t="s">
        <v>134</v>
      </c>
      <c r="G271" s="275" t="s">
        <v>523</v>
      </c>
      <c r="H271" s="275" t="s">
        <v>131</v>
      </c>
      <c r="I271" s="276"/>
      <c r="J271" s="276">
        <v>2</v>
      </c>
      <c r="K271" s="275" t="s">
        <v>538</v>
      </c>
      <c r="L271" s="277">
        <v>1355.22</v>
      </c>
      <c r="M271" s="276">
        <v>2</v>
      </c>
      <c r="N271" s="276">
        <v>0</v>
      </c>
      <c r="O271" s="183">
        <f t="shared" si="5"/>
        <v>1</v>
      </c>
    </row>
    <row r="272" spans="1:17" x14ac:dyDescent="0.3">
      <c r="A272" s="273">
        <v>534</v>
      </c>
      <c r="B272" s="274" t="s">
        <v>539</v>
      </c>
      <c r="C272" s="275" t="s">
        <v>258</v>
      </c>
      <c r="D272" s="275" t="s">
        <v>128</v>
      </c>
      <c r="E272" s="275" t="s">
        <v>129</v>
      </c>
      <c r="F272" s="275" t="s">
        <v>130</v>
      </c>
      <c r="G272" s="275" t="s">
        <v>348</v>
      </c>
      <c r="H272" s="275" t="s">
        <v>131</v>
      </c>
      <c r="I272" s="276"/>
      <c r="J272" s="276">
        <v>780</v>
      </c>
      <c r="K272" s="275" t="s">
        <v>307</v>
      </c>
      <c r="L272" s="277">
        <v>528535.80000000005</v>
      </c>
      <c r="M272" s="276">
        <v>780</v>
      </c>
      <c r="N272" s="276">
        <v>0</v>
      </c>
      <c r="O272" s="183">
        <f t="shared" si="5"/>
        <v>1</v>
      </c>
    </row>
    <row r="273" spans="1:16" x14ac:dyDescent="0.3">
      <c r="A273" s="273">
        <v>535</v>
      </c>
      <c r="B273" s="274" t="s">
        <v>540</v>
      </c>
      <c r="C273" s="275" t="s">
        <v>258</v>
      </c>
      <c r="D273" s="275" t="s">
        <v>128</v>
      </c>
      <c r="E273" s="275" t="s">
        <v>129</v>
      </c>
      <c r="F273" s="275" t="s">
        <v>133</v>
      </c>
      <c r="G273" s="275" t="s">
        <v>349</v>
      </c>
      <c r="H273" s="275" t="s">
        <v>131</v>
      </c>
      <c r="I273" s="276"/>
      <c r="J273" s="276">
        <v>820</v>
      </c>
      <c r="K273" s="275" t="s">
        <v>541</v>
      </c>
      <c r="L273" s="277">
        <v>555640.19999999995</v>
      </c>
      <c r="M273" s="276">
        <v>819.99999999999989</v>
      </c>
      <c r="N273" s="276">
        <v>0</v>
      </c>
      <c r="O273" s="183">
        <f t="shared" si="5"/>
        <v>1</v>
      </c>
    </row>
    <row r="274" spans="1:16" x14ac:dyDescent="0.3">
      <c r="A274" s="273">
        <v>536</v>
      </c>
      <c r="B274" s="274" t="s">
        <v>542</v>
      </c>
      <c r="C274" s="275" t="s">
        <v>258</v>
      </c>
      <c r="D274" s="275" t="s">
        <v>128</v>
      </c>
      <c r="E274" s="275" t="s">
        <v>129</v>
      </c>
      <c r="F274" s="275" t="s">
        <v>130</v>
      </c>
      <c r="G274" s="275" t="s">
        <v>543</v>
      </c>
      <c r="H274" s="275" t="s">
        <v>131</v>
      </c>
      <c r="I274" s="276"/>
      <c r="J274" s="276">
        <v>526.5</v>
      </c>
      <c r="K274" s="275" t="s">
        <v>544</v>
      </c>
      <c r="L274" s="277">
        <v>356761.66499999998</v>
      </c>
      <c r="M274" s="276">
        <v>526.5</v>
      </c>
      <c r="N274" s="276">
        <v>0</v>
      </c>
      <c r="O274" s="183">
        <f t="shared" si="5"/>
        <v>1</v>
      </c>
    </row>
    <row r="275" spans="1:16" x14ac:dyDescent="0.3">
      <c r="A275" s="273">
        <v>537</v>
      </c>
      <c r="B275" s="274" t="s">
        <v>545</v>
      </c>
      <c r="C275" s="275" t="s">
        <v>258</v>
      </c>
      <c r="D275" s="275" t="s">
        <v>128</v>
      </c>
      <c r="E275" s="275" t="s">
        <v>129</v>
      </c>
      <c r="F275" s="275" t="s">
        <v>133</v>
      </c>
      <c r="G275" s="275" t="s">
        <v>546</v>
      </c>
      <c r="H275" s="275" t="s">
        <v>131</v>
      </c>
      <c r="I275" s="276"/>
      <c r="J275" s="276">
        <v>190</v>
      </c>
      <c r="K275" s="275" t="s">
        <v>547</v>
      </c>
      <c r="L275" s="277">
        <v>128745.90000000001</v>
      </c>
      <c r="M275" s="276">
        <v>190</v>
      </c>
      <c r="N275" s="276">
        <v>0</v>
      </c>
      <c r="O275" s="183">
        <f t="shared" si="5"/>
        <v>1</v>
      </c>
    </row>
    <row r="276" spans="1:16" x14ac:dyDescent="0.3">
      <c r="A276" s="273">
        <v>538</v>
      </c>
      <c r="B276" s="274" t="s">
        <v>548</v>
      </c>
      <c r="C276" s="275" t="s">
        <v>258</v>
      </c>
      <c r="D276" s="275" t="s">
        <v>128</v>
      </c>
      <c r="E276" s="275" t="s">
        <v>129</v>
      </c>
      <c r="F276" s="275" t="s">
        <v>134</v>
      </c>
      <c r="G276" s="275" t="s">
        <v>549</v>
      </c>
      <c r="H276" s="275" t="s">
        <v>131</v>
      </c>
      <c r="I276" s="276"/>
      <c r="J276" s="276">
        <v>615</v>
      </c>
      <c r="K276" s="275" t="s">
        <v>550</v>
      </c>
      <c r="L276" s="277">
        <v>416730.15</v>
      </c>
      <c r="M276" s="276">
        <v>615</v>
      </c>
      <c r="N276" s="276">
        <v>0</v>
      </c>
      <c r="O276" s="183">
        <f t="shared" si="5"/>
        <v>1</v>
      </c>
    </row>
    <row r="277" spans="1:16" x14ac:dyDescent="0.3">
      <c r="A277" s="273">
        <v>539</v>
      </c>
      <c r="B277" s="274" t="s">
        <v>551</v>
      </c>
      <c r="C277" s="275" t="s">
        <v>258</v>
      </c>
      <c r="D277" s="275" t="s">
        <v>128</v>
      </c>
      <c r="E277" s="275" t="s">
        <v>129</v>
      </c>
      <c r="F277" s="275" t="s">
        <v>134</v>
      </c>
      <c r="G277" s="275" t="s">
        <v>552</v>
      </c>
      <c r="H277" s="275" t="s">
        <v>131</v>
      </c>
      <c r="I277" s="276"/>
      <c r="J277" s="276">
        <v>205</v>
      </c>
      <c r="K277" s="275" t="s">
        <v>553</v>
      </c>
      <c r="L277" s="277">
        <v>138910.04999999999</v>
      </c>
      <c r="M277" s="276">
        <v>204.99999999999997</v>
      </c>
      <c r="N277" s="276">
        <v>0</v>
      </c>
      <c r="O277" s="183">
        <f t="shared" si="5"/>
        <v>1</v>
      </c>
      <c r="P277" s="58" t="s">
        <v>268</v>
      </c>
    </row>
    <row r="278" spans="1:16" x14ac:dyDescent="0.3">
      <c r="A278" s="273">
        <v>540</v>
      </c>
      <c r="B278" s="274" t="s">
        <v>554</v>
      </c>
      <c r="C278" s="275" t="s">
        <v>258</v>
      </c>
      <c r="D278" s="275" t="s">
        <v>128</v>
      </c>
      <c r="E278" s="275" t="s">
        <v>129</v>
      </c>
      <c r="F278" s="275" t="s">
        <v>133</v>
      </c>
      <c r="G278" s="275" t="s">
        <v>555</v>
      </c>
      <c r="H278" s="275" t="s">
        <v>131</v>
      </c>
      <c r="I278" s="276"/>
      <c r="J278" s="276">
        <v>205</v>
      </c>
      <c r="K278" s="275" t="s">
        <v>556</v>
      </c>
      <c r="L278" s="277">
        <v>138910.04999999999</v>
      </c>
      <c r="M278" s="276">
        <v>204.99999999999997</v>
      </c>
      <c r="N278" s="276">
        <v>416730.15</v>
      </c>
      <c r="O278" s="183">
        <f t="shared" si="5"/>
        <v>1</v>
      </c>
    </row>
    <row r="279" spans="1:16" x14ac:dyDescent="0.3">
      <c r="A279" s="273">
        <v>541</v>
      </c>
      <c r="B279" s="274" t="s">
        <v>557</v>
      </c>
      <c r="C279" s="275" t="s">
        <v>258</v>
      </c>
      <c r="D279" s="275" t="s">
        <v>128</v>
      </c>
      <c r="E279" s="275" t="s">
        <v>129</v>
      </c>
      <c r="F279" s="275" t="s">
        <v>133</v>
      </c>
      <c r="G279" s="275" t="s">
        <v>558</v>
      </c>
      <c r="H279" s="275" t="s">
        <v>131</v>
      </c>
      <c r="I279" s="276"/>
      <c r="J279" s="276">
        <v>205</v>
      </c>
      <c r="K279" s="275" t="s">
        <v>559</v>
      </c>
      <c r="L279" s="277">
        <v>138910.04999999999</v>
      </c>
      <c r="M279" s="276">
        <v>204.99999999999997</v>
      </c>
      <c r="N279" s="276">
        <v>555640.19999999995</v>
      </c>
      <c r="O279" s="183">
        <f t="shared" si="5"/>
        <v>1</v>
      </c>
    </row>
    <row r="280" spans="1:16" x14ac:dyDescent="0.3">
      <c r="A280" s="273">
        <v>542</v>
      </c>
      <c r="B280" s="274" t="s">
        <v>560</v>
      </c>
      <c r="C280" s="275" t="s">
        <v>258</v>
      </c>
      <c r="D280" s="275" t="s">
        <v>128</v>
      </c>
      <c r="E280" s="275" t="s">
        <v>129</v>
      </c>
      <c r="F280" s="275" t="s">
        <v>133</v>
      </c>
      <c r="G280" s="275" t="s">
        <v>561</v>
      </c>
      <c r="H280" s="275" t="s">
        <v>131</v>
      </c>
      <c r="I280" s="276"/>
      <c r="J280" s="276">
        <v>410</v>
      </c>
      <c r="K280" s="275" t="s">
        <v>562</v>
      </c>
      <c r="L280" s="277">
        <v>277820.09999999998</v>
      </c>
      <c r="M280" s="276">
        <v>409.99999999999994</v>
      </c>
      <c r="N280" s="276">
        <v>0</v>
      </c>
      <c r="O280" s="183">
        <f t="shared" si="5"/>
        <v>1</v>
      </c>
    </row>
    <row r="281" spans="1:16" x14ac:dyDescent="0.3">
      <c r="A281" s="273">
        <v>543</v>
      </c>
      <c r="B281" s="274" t="s">
        <v>563</v>
      </c>
      <c r="C281" s="275" t="s">
        <v>258</v>
      </c>
      <c r="D281" s="275" t="s">
        <v>128</v>
      </c>
      <c r="E281" s="275" t="s">
        <v>129</v>
      </c>
      <c r="F281" s="275" t="s">
        <v>134</v>
      </c>
      <c r="G281" s="275" t="s">
        <v>353</v>
      </c>
      <c r="H281" s="275" t="s">
        <v>131</v>
      </c>
      <c r="I281" s="276"/>
      <c r="J281" s="276">
        <v>205</v>
      </c>
      <c r="K281" s="275" t="s">
        <v>564</v>
      </c>
      <c r="L281" s="277">
        <v>138910.04999999999</v>
      </c>
      <c r="M281" s="276">
        <v>204.99999999999997</v>
      </c>
      <c r="N281" s="276">
        <v>0</v>
      </c>
      <c r="O281" s="183">
        <f t="shared" si="5"/>
        <v>1</v>
      </c>
    </row>
    <row r="282" spans="1:16" x14ac:dyDescent="0.3">
      <c r="A282" s="273">
        <v>544</v>
      </c>
      <c r="B282" s="274" t="s">
        <v>565</v>
      </c>
      <c r="C282" s="275" t="s">
        <v>257</v>
      </c>
      <c r="D282" s="275" t="s">
        <v>128</v>
      </c>
      <c r="E282" s="275" t="s">
        <v>132</v>
      </c>
      <c r="F282" s="275" t="s">
        <v>134</v>
      </c>
      <c r="G282" s="275" t="s">
        <v>566</v>
      </c>
      <c r="H282" s="275" t="s">
        <v>132</v>
      </c>
      <c r="I282" s="276">
        <v>165398</v>
      </c>
      <c r="J282" s="276"/>
      <c r="K282" s="275" t="s">
        <v>567</v>
      </c>
      <c r="L282" s="277">
        <v>165398</v>
      </c>
      <c r="M282" s="276">
        <v>244.09025840822892</v>
      </c>
      <c r="N282" s="276">
        <v>0</v>
      </c>
      <c r="O282" s="183">
        <f t="shared" si="5"/>
        <v>1</v>
      </c>
    </row>
    <row r="283" spans="1:16" x14ac:dyDescent="0.3">
      <c r="A283" s="273">
        <v>545</v>
      </c>
      <c r="B283" s="274" t="s">
        <v>568</v>
      </c>
      <c r="C283" s="275" t="s">
        <v>258</v>
      </c>
      <c r="D283" s="275" t="s">
        <v>128</v>
      </c>
      <c r="E283" s="275" t="s">
        <v>129</v>
      </c>
      <c r="F283" s="275" t="s">
        <v>133</v>
      </c>
      <c r="G283" s="275" t="s">
        <v>569</v>
      </c>
      <c r="H283" s="275" t="s">
        <v>131</v>
      </c>
      <c r="I283" s="276"/>
      <c r="J283" s="276">
        <v>194.75</v>
      </c>
      <c r="K283" s="275" t="s">
        <v>570</v>
      </c>
      <c r="L283" s="277">
        <v>131964.54750000002</v>
      </c>
      <c r="M283" s="276">
        <v>194.75000000000003</v>
      </c>
      <c r="N283" s="276">
        <v>0</v>
      </c>
      <c r="O283" s="183">
        <f t="shared" si="5"/>
        <v>1</v>
      </c>
    </row>
    <row r="284" spans="1:16" x14ac:dyDescent="0.3">
      <c r="A284" s="273">
        <v>546</v>
      </c>
      <c r="B284" s="274" t="s">
        <v>571</v>
      </c>
      <c r="C284" s="275" t="s">
        <v>258</v>
      </c>
      <c r="D284" s="275" t="s">
        <v>128</v>
      </c>
      <c r="E284" s="275" t="s">
        <v>129</v>
      </c>
      <c r="F284" s="275" t="s">
        <v>133</v>
      </c>
      <c r="G284" s="275" t="s">
        <v>572</v>
      </c>
      <c r="H284" s="275" t="s">
        <v>131</v>
      </c>
      <c r="I284" s="276"/>
      <c r="J284" s="276">
        <v>410</v>
      </c>
      <c r="K284" s="275" t="s">
        <v>573</v>
      </c>
      <c r="L284" s="277">
        <v>277820.09999999998</v>
      </c>
      <c r="M284" s="276">
        <v>409.99999999999994</v>
      </c>
      <c r="N284" s="276">
        <v>1666920.6</v>
      </c>
      <c r="O284" s="183">
        <f t="shared" si="5"/>
        <v>1</v>
      </c>
    </row>
    <row r="285" spans="1:16" x14ac:dyDescent="0.3">
      <c r="A285" s="273">
        <v>547</v>
      </c>
      <c r="B285" s="274" t="s">
        <v>574</v>
      </c>
      <c r="C285" s="275" t="s">
        <v>258</v>
      </c>
      <c r="D285" s="275" t="s">
        <v>128</v>
      </c>
      <c r="E285" s="275" t="s">
        <v>129</v>
      </c>
      <c r="F285" s="275" t="s">
        <v>134</v>
      </c>
      <c r="G285" s="275" t="s">
        <v>575</v>
      </c>
      <c r="H285" s="275" t="s">
        <v>131</v>
      </c>
      <c r="I285" s="276"/>
      <c r="J285" s="276">
        <v>205</v>
      </c>
      <c r="K285" s="275" t="s">
        <v>576</v>
      </c>
      <c r="L285" s="277">
        <v>138910.04999999999</v>
      </c>
      <c r="M285" s="276">
        <v>204.99999999999997</v>
      </c>
      <c r="N285" s="276">
        <v>0</v>
      </c>
      <c r="O285" s="183">
        <f t="shared" si="5"/>
        <v>1</v>
      </c>
    </row>
    <row r="286" spans="1:16" x14ac:dyDescent="0.3">
      <c r="A286" s="273">
        <v>548</v>
      </c>
      <c r="B286" s="274" t="s">
        <v>577</v>
      </c>
      <c r="C286" s="275" t="s">
        <v>258</v>
      </c>
      <c r="D286" s="275" t="s">
        <v>128</v>
      </c>
      <c r="E286" s="275" t="s">
        <v>129</v>
      </c>
      <c r="F286" s="275" t="s">
        <v>133</v>
      </c>
      <c r="G286" s="275" t="s">
        <v>578</v>
      </c>
      <c r="H286" s="275" t="s">
        <v>131</v>
      </c>
      <c r="I286" s="276"/>
      <c r="J286" s="276">
        <v>198</v>
      </c>
      <c r="K286" s="275" t="s">
        <v>579</v>
      </c>
      <c r="L286" s="277">
        <v>134166.78</v>
      </c>
      <c r="M286" s="276">
        <v>198</v>
      </c>
      <c r="N286" s="276">
        <v>828717.03</v>
      </c>
      <c r="O286" s="183">
        <f t="shared" si="5"/>
        <v>1</v>
      </c>
    </row>
    <row r="287" spans="1:16" x14ac:dyDescent="0.3">
      <c r="A287" s="273">
        <v>549</v>
      </c>
      <c r="B287" s="274" t="s">
        <v>580</v>
      </c>
      <c r="C287" s="275" t="s">
        <v>257</v>
      </c>
      <c r="D287" s="275" t="s">
        <v>128</v>
      </c>
      <c r="E287" s="275" t="s">
        <v>132</v>
      </c>
      <c r="F287" s="275" t="s">
        <v>130</v>
      </c>
      <c r="G287" s="275" t="s">
        <v>543</v>
      </c>
      <c r="H287" s="275" t="s">
        <v>132</v>
      </c>
      <c r="I287" s="276">
        <v>9000</v>
      </c>
      <c r="J287" s="276"/>
      <c r="K287" s="275" t="s">
        <v>323</v>
      </c>
      <c r="L287" s="277">
        <v>9000</v>
      </c>
      <c r="M287" s="276">
        <v>13.281976358082082</v>
      </c>
      <c r="N287" s="276">
        <v>0</v>
      </c>
      <c r="O287" s="183">
        <f t="shared" si="5"/>
        <v>1</v>
      </c>
    </row>
    <row r="288" spans="1:16" x14ac:dyDescent="0.3">
      <c r="A288" s="279">
        <v>550</v>
      </c>
      <c r="B288" s="280" t="s">
        <v>581</v>
      </c>
      <c r="C288" s="281" t="s">
        <v>257</v>
      </c>
      <c r="D288" s="281" t="s">
        <v>128</v>
      </c>
      <c r="E288" s="281" t="s">
        <v>132</v>
      </c>
      <c r="F288" s="281" t="s">
        <v>428</v>
      </c>
      <c r="G288" s="281" t="s">
        <v>582</v>
      </c>
      <c r="H288" s="281" t="s">
        <v>430</v>
      </c>
      <c r="I288" s="282">
        <v>164666</v>
      </c>
      <c r="J288" s="282"/>
      <c r="K288" s="281" t="s">
        <v>583</v>
      </c>
      <c r="L288" s="312">
        <v>164666</v>
      </c>
      <c r="M288" s="276">
        <v>243.00999099777158</v>
      </c>
      <c r="N288" s="276">
        <v>0</v>
      </c>
      <c r="O288" s="183">
        <f t="shared" si="5"/>
        <v>1</v>
      </c>
    </row>
    <row r="289" spans="1:19" x14ac:dyDescent="0.3">
      <c r="A289" s="273">
        <v>551</v>
      </c>
      <c r="B289" s="274" t="s">
        <v>584</v>
      </c>
      <c r="C289" s="275" t="s">
        <v>257</v>
      </c>
      <c r="D289" s="275" t="s">
        <v>128</v>
      </c>
      <c r="E289" s="275" t="s">
        <v>132</v>
      </c>
      <c r="F289" s="275" t="s">
        <v>134</v>
      </c>
      <c r="G289" s="275" t="s">
        <v>353</v>
      </c>
      <c r="H289" s="275" t="s">
        <v>132</v>
      </c>
      <c r="I289" s="276">
        <v>6000</v>
      </c>
      <c r="J289" s="276"/>
      <c r="K289" s="275" t="s">
        <v>585</v>
      </c>
      <c r="L289" s="277">
        <v>6000</v>
      </c>
      <c r="M289" s="276">
        <v>8.8546509053880555</v>
      </c>
      <c r="N289" s="276">
        <v>0</v>
      </c>
      <c r="O289" s="183">
        <f t="shared" si="5"/>
        <v>1</v>
      </c>
    </row>
    <row r="290" spans="1:19" x14ac:dyDescent="0.3">
      <c r="A290" s="273">
        <v>552</v>
      </c>
      <c r="B290" s="274" t="s">
        <v>586</v>
      </c>
      <c r="C290" s="275" t="s">
        <v>258</v>
      </c>
      <c r="D290" s="275" t="s">
        <v>128</v>
      </c>
      <c r="E290" s="275" t="s">
        <v>129</v>
      </c>
      <c r="F290" s="275" t="s">
        <v>133</v>
      </c>
      <c r="G290" s="275" t="s">
        <v>587</v>
      </c>
      <c r="H290" s="275" t="s">
        <v>131</v>
      </c>
      <c r="I290" s="276"/>
      <c r="J290" s="276">
        <v>198</v>
      </c>
      <c r="K290" s="275" t="s">
        <v>588</v>
      </c>
      <c r="L290" s="277">
        <v>134166.78</v>
      </c>
      <c r="M290" s="276">
        <v>198</v>
      </c>
      <c r="N290" s="276">
        <v>402500.34</v>
      </c>
      <c r="O290" s="183">
        <f t="shared" si="5"/>
        <v>1</v>
      </c>
    </row>
    <row r="291" spans="1:19" x14ac:dyDescent="0.3">
      <c r="A291" s="273">
        <v>553</v>
      </c>
      <c r="B291" s="274" t="s">
        <v>589</v>
      </c>
      <c r="C291" s="275" t="s">
        <v>258</v>
      </c>
      <c r="D291" s="275" t="s">
        <v>128</v>
      </c>
      <c r="E291" s="275" t="s">
        <v>129</v>
      </c>
      <c r="F291" s="275" t="s">
        <v>134</v>
      </c>
      <c r="G291" s="275" t="s">
        <v>355</v>
      </c>
      <c r="H291" s="275" t="s">
        <v>131</v>
      </c>
      <c r="I291" s="276"/>
      <c r="J291" s="276">
        <v>702</v>
      </c>
      <c r="K291" s="275" t="s">
        <v>590</v>
      </c>
      <c r="L291" s="277">
        <v>475682.22000000003</v>
      </c>
      <c r="M291" s="276">
        <v>702</v>
      </c>
      <c r="N291" s="276">
        <v>0</v>
      </c>
      <c r="O291" s="183">
        <f t="shared" si="5"/>
        <v>1</v>
      </c>
    </row>
    <row r="292" spans="1:19" x14ac:dyDescent="0.3">
      <c r="A292" s="273">
        <v>554</v>
      </c>
      <c r="B292" s="274" t="s">
        <v>589</v>
      </c>
      <c r="C292" s="275" t="s">
        <v>258</v>
      </c>
      <c r="D292" s="275" t="s">
        <v>128</v>
      </c>
      <c r="E292" s="275" t="s">
        <v>129</v>
      </c>
      <c r="F292" s="275" t="s">
        <v>134</v>
      </c>
      <c r="G292" s="275" t="s">
        <v>591</v>
      </c>
      <c r="H292" s="275" t="s">
        <v>131</v>
      </c>
      <c r="I292" s="276"/>
      <c r="J292" s="276">
        <v>702</v>
      </c>
      <c r="K292" s="275" t="s">
        <v>592</v>
      </c>
      <c r="L292" s="277">
        <v>475682.22000000003</v>
      </c>
      <c r="M292" s="276">
        <v>702</v>
      </c>
      <c r="N292" s="276">
        <v>0</v>
      </c>
      <c r="O292" s="183">
        <f t="shared" si="5"/>
        <v>1</v>
      </c>
    </row>
    <row r="293" spans="1:19" x14ac:dyDescent="0.3">
      <c r="A293" s="273">
        <v>555</v>
      </c>
      <c r="B293" s="274" t="s">
        <v>593</v>
      </c>
      <c r="C293" s="275" t="s">
        <v>258</v>
      </c>
      <c r="D293" s="275" t="s">
        <v>128</v>
      </c>
      <c r="E293" s="275" t="s">
        <v>129</v>
      </c>
      <c r="F293" s="275" t="s">
        <v>134</v>
      </c>
      <c r="G293" s="275" t="s">
        <v>354</v>
      </c>
      <c r="H293" s="275" t="s">
        <v>131</v>
      </c>
      <c r="I293" s="276"/>
      <c r="J293" s="276">
        <v>205</v>
      </c>
      <c r="K293" s="275" t="s">
        <v>594</v>
      </c>
      <c r="L293" s="277">
        <v>138910.04999999999</v>
      </c>
      <c r="M293" s="276">
        <v>204.99999999999997</v>
      </c>
      <c r="N293" s="276">
        <v>0</v>
      </c>
      <c r="O293" s="183">
        <f t="shared" si="5"/>
        <v>1</v>
      </c>
    </row>
    <row r="294" spans="1:19" x14ac:dyDescent="0.3">
      <c r="A294" s="273">
        <v>556</v>
      </c>
      <c r="B294" s="274" t="s">
        <v>595</v>
      </c>
      <c r="C294" s="275" t="s">
        <v>258</v>
      </c>
      <c r="D294" s="275" t="s">
        <v>128</v>
      </c>
      <c r="E294" s="275" t="s">
        <v>129</v>
      </c>
      <c r="F294" s="275" t="s">
        <v>134</v>
      </c>
      <c r="G294" s="275" t="s">
        <v>356</v>
      </c>
      <c r="H294" s="275" t="s">
        <v>131</v>
      </c>
      <c r="I294" s="276"/>
      <c r="J294" s="276">
        <v>390</v>
      </c>
      <c r="K294" s="275" t="s">
        <v>596</v>
      </c>
      <c r="L294" s="277">
        <v>264267.90000000002</v>
      </c>
      <c r="M294" s="276">
        <v>390</v>
      </c>
      <c r="N294" s="276">
        <v>0</v>
      </c>
      <c r="O294" s="183">
        <f t="shared" si="5"/>
        <v>1</v>
      </c>
    </row>
    <row r="295" spans="1:19" x14ac:dyDescent="0.3">
      <c r="A295" s="273">
        <v>557</v>
      </c>
      <c r="B295" s="274" t="s">
        <v>597</v>
      </c>
      <c r="C295" s="275" t="s">
        <v>258</v>
      </c>
      <c r="D295" s="275" t="s">
        <v>128</v>
      </c>
      <c r="E295" s="275" t="s">
        <v>129</v>
      </c>
      <c r="F295" s="275" t="s">
        <v>133</v>
      </c>
      <c r="G295" s="275" t="s">
        <v>598</v>
      </c>
      <c r="H295" s="275" t="s">
        <v>131</v>
      </c>
      <c r="I295" s="276"/>
      <c r="J295" s="276">
        <v>205</v>
      </c>
      <c r="K295" s="275" t="s">
        <v>599</v>
      </c>
      <c r="L295" s="277">
        <v>138910.04999999999</v>
      </c>
      <c r="M295" s="276">
        <v>204.99999999999997</v>
      </c>
      <c r="N295" s="276">
        <v>0</v>
      </c>
      <c r="O295" s="183">
        <f t="shared" si="5"/>
        <v>1</v>
      </c>
    </row>
    <row r="296" spans="1:19" x14ac:dyDescent="0.3">
      <c r="A296" s="273">
        <v>558</v>
      </c>
      <c r="B296" s="274" t="s">
        <v>600</v>
      </c>
      <c r="C296" s="275" t="s">
        <v>258</v>
      </c>
      <c r="D296" s="275" t="s">
        <v>128</v>
      </c>
      <c r="E296" s="275" t="s">
        <v>129</v>
      </c>
      <c r="F296" s="275" t="s">
        <v>134</v>
      </c>
      <c r="G296" s="275" t="s">
        <v>601</v>
      </c>
      <c r="H296" s="275" t="s">
        <v>131</v>
      </c>
      <c r="I296" s="276"/>
      <c r="J296" s="276">
        <v>198</v>
      </c>
      <c r="K296" s="275" t="s">
        <v>602</v>
      </c>
      <c r="L296" s="277">
        <v>134166.78</v>
      </c>
      <c r="M296" s="276">
        <v>198</v>
      </c>
      <c r="N296" s="276">
        <v>134166.78</v>
      </c>
      <c r="O296" s="183">
        <f t="shared" si="5"/>
        <v>1</v>
      </c>
    </row>
    <row r="297" spans="1:19" x14ac:dyDescent="0.3">
      <c r="A297" s="273">
        <v>559</v>
      </c>
      <c r="B297" s="274" t="s">
        <v>603</v>
      </c>
      <c r="C297" s="275" t="s">
        <v>258</v>
      </c>
      <c r="D297" s="275" t="s">
        <v>128</v>
      </c>
      <c r="E297" s="275" t="s">
        <v>129</v>
      </c>
      <c r="F297" s="275" t="s">
        <v>134</v>
      </c>
      <c r="G297" s="275" t="s">
        <v>601</v>
      </c>
      <c r="H297" s="275" t="s">
        <v>131</v>
      </c>
      <c r="I297" s="276"/>
      <c r="J297" s="276">
        <v>205</v>
      </c>
      <c r="K297" s="275" t="s">
        <v>604</v>
      </c>
      <c r="L297" s="277">
        <v>138910.04999999999</v>
      </c>
      <c r="M297" s="276">
        <v>204.99999999999997</v>
      </c>
      <c r="N297" s="276">
        <v>277820.09999999998</v>
      </c>
      <c r="O297" s="183">
        <f t="shared" si="5"/>
        <v>1</v>
      </c>
      <c r="R297" s="58" t="s">
        <v>187</v>
      </c>
      <c r="S297" s="58" t="s">
        <v>188</v>
      </c>
    </row>
    <row r="298" spans="1:19" x14ac:dyDescent="0.3">
      <c r="A298" s="273">
        <v>560</v>
      </c>
      <c r="B298" s="274" t="s">
        <v>605</v>
      </c>
      <c r="C298" s="275" t="s">
        <v>258</v>
      </c>
      <c r="D298" s="275" t="s">
        <v>128</v>
      </c>
      <c r="E298" s="275" t="s">
        <v>129</v>
      </c>
      <c r="F298" s="275" t="s">
        <v>133</v>
      </c>
      <c r="G298" s="275" t="s">
        <v>357</v>
      </c>
      <c r="H298" s="275" t="s">
        <v>131</v>
      </c>
      <c r="I298" s="276"/>
      <c r="J298" s="276">
        <v>410</v>
      </c>
      <c r="K298" s="275" t="s">
        <v>606</v>
      </c>
      <c r="L298" s="277">
        <v>277820.09999999998</v>
      </c>
      <c r="M298" s="276">
        <v>409.99999999999994</v>
      </c>
      <c r="N298" s="276">
        <v>0</v>
      </c>
      <c r="O298" s="183">
        <f t="shared" si="5"/>
        <v>1</v>
      </c>
    </row>
    <row r="299" spans="1:19" x14ac:dyDescent="0.3">
      <c r="A299" s="273">
        <v>561</v>
      </c>
      <c r="B299" s="274" t="s">
        <v>607</v>
      </c>
      <c r="C299" s="275" t="s">
        <v>258</v>
      </c>
      <c r="D299" s="275" t="s">
        <v>128</v>
      </c>
      <c r="E299" s="275" t="s">
        <v>129</v>
      </c>
      <c r="F299" s="275" t="s">
        <v>134</v>
      </c>
      <c r="G299" s="275" t="s">
        <v>608</v>
      </c>
      <c r="H299" s="275" t="s">
        <v>131</v>
      </c>
      <c r="I299" s="276"/>
      <c r="J299" s="276">
        <v>205</v>
      </c>
      <c r="K299" s="275" t="s">
        <v>609</v>
      </c>
      <c r="L299" s="277">
        <v>138910.04999999999</v>
      </c>
      <c r="M299" s="276">
        <v>204.99999999999997</v>
      </c>
      <c r="N299" s="276">
        <v>780945.52500000002</v>
      </c>
      <c r="O299" s="183">
        <f t="shared" si="5"/>
        <v>1</v>
      </c>
    </row>
    <row r="300" spans="1:19" x14ac:dyDescent="0.3">
      <c r="A300" s="279">
        <v>562</v>
      </c>
      <c r="B300" s="280" t="s">
        <v>610</v>
      </c>
      <c r="C300" s="281" t="s">
        <v>258</v>
      </c>
      <c r="D300" s="281" t="s">
        <v>128</v>
      </c>
      <c r="E300" s="281" t="s">
        <v>129</v>
      </c>
      <c r="F300" s="281" t="s">
        <v>133</v>
      </c>
      <c r="G300" s="281" t="s">
        <v>611</v>
      </c>
      <c r="H300" s="281" t="s">
        <v>131</v>
      </c>
      <c r="I300" s="282"/>
      <c r="J300" s="282">
        <v>410</v>
      </c>
      <c r="K300" s="281" t="s">
        <v>612</v>
      </c>
      <c r="L300" s="277">
        <v>277820.09999999998</v>
      </c>
      <c r="M300" s="276">
        <v>409.99999999999994</v>
      </c>
      <c r="N300" s="276">
        <v>0</v>
      </c>
      <c r="O300" s="183">
        <f t="shared" si="5"/>
        <v>1</v>
      </c>
    </row>
    <row r="301" spans="1:19" x14ac:dyDescent="0.3">
      <c r="A301" s="273">
        <v>563</v>
      </c>
      <c r="B301" s="274" t="s">
        <v>613</v>
      </c>
      <c r="C301" s="275" t="s">
        <v>258</v>
      </c>
      <c r="D301" s="275" t="s">
        <v>128</v>
      </c>
      <c r="E301" s="275" t="s">
        <v>129</v>
      </c>
      <c r="F301" s="275" t="s">
        <v>134</v>
      </c>
      <c r="G301" s="275" t="s">
        <v>614</v>
      </c>
      <c r="H301" s="275" t="s">
        <v>131</v>
      </c>
      <c r="I301" s="276"/>
      <c r="J301" s="276">
        <v>205</v>
      </c>
      <c r="K301" s="275" t="s">
        <v>615</v>
      </c>
      <c r="L301" s="277">
        <v>138910.04999999999</v>
      </c>
      <c r="M301" s="276">
        <v>204.99999999999997</v>
      </c>
      <c r="N301" s="276">
        <v>277820.09999999998</v>
      </c>
      <c r="O301" s="183">
        <f t="shared" si="5"/>
        <v>1</v>
      </c>
    </row>
    <row r="302" spans="1:19" x14ac:dyDescent="0.3">
      <c r="A302" s="273">
        <v>564</v>
      </c>
      <c r="B302" s="274" t="s">
        <v>616</v>
      </c>
      <c r="C302" s="275" t="s">
        <v>258</v>
      </c>
      <c r="D302" s="275" t="s">
        <v>128</v>
      </c>
      <c r="E302" s="275" t="s">
        <v>129</v>
      </c>
      <c r="F302" s="275" t="s">
        <v>134</v>
      </c>
      <c r="G302" s="275" t="s">
        <v>362</v>
      </c>
      <c r="H302" s="275" t="s">
        <v>131</v>
      </c>
      <c r="I302" s="276"/>
      <c r="J302" s="276">
        <v>185.25</v>
      </c>
      <c r="K302" s="275" t="s">
        <v>617</v>
      </c>
      <c r="L302" s="277">
        <v>125527.2525</v>
      </c>
      <c r="M302" s="276">
        <v>185.25</v>
      </c>
      <c r="N302" s="276">
        <v>0</v>
      </c>
      <c r="O302" s="183">
        <f t="shared" si="5"/>
        <v>1</v>
      </c>
    </row>
    <row r="303" spans="1:19" x14ac:dyDescent="0.3">
      <c r="A303" s="273">
        <v>565</v>
      </c>
      <c r="B303" s="274" t="s">
        <v>618</v>
      </c>
      <c r="C303" s="275" t="s">
        <v>258</v>
      </c>
      <c r="D303" s="275" t="s">
        <v>128</v>
      </c>
      <c r="E303" s="275" t="s">
        <v>129</v>
      </c>
      <c r="F303" s="275" t="s">
        <v>134</v>
      </c>
      <c r="G303" s="275" t="s">
        <v>358</v>
      </c>
      <c r="H303" s="275" t="s">
        <v>131</v>
      </c>
      <c r="I303" s="276"/>
      <c r="J303" s="276">
        <v>195</v>
      </c>
      <c r="K303" s="275" t="s">
        <v>619</v>
      </c>
      <c r="L303" s="277">
        <v>132133.95000000001</v>
      </c>
      <c r="M303" s="276">
        <v>195</v>
      </c>
      <c r="N303" s="276">
        <v>0</v>
      </c>
      <c r="O303" s="183">
        <f t="shared" si="5"/>
        <v>1</v>
      </c>
    </row>
    <row r="304" spans="1:19" x14ac:dyDescent="0.3">
      <c r="A304" s="273">
        <v>566</v>
      </c>
      <c r="B304" s="274" t="s">
        <v>620</v>
      </c>
      <c r="C304" s="275" t="s">
        <v>258</v>
      </c>
      <c r="D304" s="275" t="s">
        <v>128</v>
      </c>
      <c r="E304" s="275" t="s">
        <v>129</v>
      </c>
      <c r="F304" s="275" t="s">
        <v>130</v>
      </c>
      <c r="G304" s="275" t="s">
        <v>621</v>
      </c>
      <c r="H304" s="275" t="s">
        <v>131</v>
      </c>
      <c r="I304" s="276"/>
      <c r="J304" s="276">
        <v>585</v>
      </c>
      <c r="K304" s="275" t="s">
        <v>325</v>
      </c>
      <c r="L304" s="277">
        <v>396401.85000000003</v>
      </c>
      <c r="M304" s="276">
        <v>585</v>
      </c>
      <c r="N304" s="276">
        <v>0</v>
      </c>
      <c r="O304" s="183">
        <f t="shared" si="5"/>
        <v>1</v>
      </c>
    </row>
    <row r="305" spans="1:17" x14ac:dyDescent="0.3">
      <c r="A305" s="273">
        <v>567</v>
      </c>
      <c r="B305" s="274" t="s">
        <v>622</v>
      </c>
      <c r="C305" s="275" t="s">
        <v>257</v>
      </c>
      <c r="D305" s="275" t="s">
        <v>128</v>
      </c>
      <c r="E305" s="275" t="s">
        <v>132</v>
      </c>
      <c r="F305" s="275" t="s">
        <v>133</v>
      </c>
      <c r="G305" s="275" t="s">
        <v>623</v>
      </c>
      <c r="H305" s="275" t="s">
        <v>132</v>
      </c>
      <c r="I305" s="276">
        <v>155705</v>
      </c>
      <c r="J305" s="276"/>
      <c r="K305" s="275" t="s">
        <v>624</v>
      </c>
      <c r="L305" s="277">
        <v>155705</v>
      </c>
      <c r="M305" s="276">
        <v>229.78556987057451</v>
      </c>
      <c r="N305" s="276">
        <v>0</v>
      </c>
      <c r="O305" s="183">
        <f t="shared" si="5"/>
        <v>1</v>
      </c>
    </row>
    <row r="306" spans="1:17" x14ac:dyDescent="0.3">
      <c r="A306" s="273">
        <v>567</v>
      </c>
      <c r="B306" s="274" t="s">
        <v>622</v>
      </c>
      <c r="C306" s="275" t="s">
        <v>257</v>
      </c>
      <c r="D306" s="275" t="s">
        <v>128</v>
      </c>
      <c r="E306" s="275" t="s">
        <v>337</v>
      </c>
      <c r="F306" s="275" t="s">
        <v>133</v>
      </c>
      <c r="G306" s="275" t="s">
        <v>623</v>
      </c>
      <c r="H306" s="275" t="s">
        <v>132</v>
      </c>
      <c r="I306" s="276">
        <v>-155705</v>
      </c>
      <c r="J306" s="276"/>
      <c r="K306" s="275" t="s">
        <v>624</v>
      </c>
      <c r="L306" s="277">
        <v>-155705</v>
      </c>
      <c r="M306" s="276">
        <v>-229.78556987057451</v>
      </c>
      <c r="N306" s="276">
        <v>0</v>
      </c>
      <c r="O306" s="183">
        <f t="shared" si="5"/>
        <v>0</v>
      </c>
    </row>
    <row r="307" spans="1:17" x14ac:dyDescent="0.3">
      <c r="A307" s="273">
        <v>568</v>
      </c>
      <c r="B307" s="274" t="s">
        <v>625</v>
      </c>
      <c r="C307" s="275" t="s">
        <v>258</v>
      </c>
      <c r="D307" s="275" t="s">
        <v>128</v>
      </c>
      <c r="E307" s="275" t="s">
        <v>129</v>
      </c>
      <c r="F307" s="275" t="s">
        <v>134</v>
      </c>
      <c r="G307" s="275" t="s">
        <v>626</v>
      </c>
      <c r="H307" s="275" t="s">
        <v>131</v>
      </c>
      <c r="I307" s="276"/>
      <c r="J307" s="276">
        <v>205</v>
      </c>
      <c r="K307" s="275" t="s">
        <v>627</v>
      </c>
      <c r="L307" s="277">
        <v>138910.04999999999</v>
      </c>
      <c r="M307" s="276">
        <v>204.99999999999997</v>
      </c>
      <c r="N307" s="276">
        <v>138910.04999999999</v>
      </c>
      <c r="O307" s="183">
        <f t="shared" si="5"/>
        <v>1</v>
      </c>
    </row>
    <row r="308" spans="1:17" x14ac:dyDescent="0.3">
      <c r="A308" s="273">
        <v>569</v>
      </c>
      <c r="B308" s="274" t="s">
        <v>628</v>
      </c>
      <c r="C308" s="275" t="s">
        <v>258</v>
      </c>
      <c r="D308" s="275" t="s">
        <v>128</v>
      </c>
      <c r="E308" s="275" t="s">
        <v>129</v>
      </c>
      <c r="F308" s="275" t="s">
        <v>133</v>
      </c>
      <c r="G308" s="275" t="s">
        <v>629</v>
      </c>
      <c r="H308" s="275" t="s">
        <v>131</v>
      </c>
      <c r="I308" s="276"/>
      <c r="J308" s="276">
        <v>194.75</v>
      </c>
      <c r="K308" s="275" t="s">
        <v>630</v>
      </c>
      <c r="L308" s="277">
        <v>131964.54750000002</v>
      </c>
      <c r="M308" s="276">
        <v>194.75000000000003</v>
      </c>
      <c r="N308" s="276">
        <v>280022.33250000002</v>
      </c>
      <c r="O308" s="183">
        <f t="shared" si="5"/>
        <v>1</v>
      </c>
    </row>
    <row r="309" spans="1:17" x14ac:dyDescent="0.3">
      <c r="A309" s="273">
        <v>570</v>
      </c>
      <c r="B309" s="274" t="s">
        <v>631</v>
      </c>
      <c r="C309" s="275" t="s">
        <v>258</v>
      </c>
      <c r="D309" s="275" t="s">
        <v>128</v>
      </c>
      <c r="E309" s="275" t="s">
        <v>129</v>
      </c>
      <c r="F309" s="275" t="s">
        <v>133</v>
      </c>
      <c r="G309" s="275" t="s">
        <v>359</v>
      </c>
      <c r="H309" s="275" t="s">
        <v>131</v>
      </c>
      <c r="I309" s="276"/>
      <c r="J309" s="276">
        <v>985</v>
      </c>
      <c r="K309" s="275" t="s">
        <v>632</v>
      </c>
      <c r="L309" s="277">
        <v>667445.85</v>
      </c>
      <c r="M309" s="276">
        <v>985</v>
      </c>
      <c r="N309" s="276">
        <v>0</v>
      </c>
      <c r="O309" s="183">
        <f t="shared" si="5"/>
        <v>1</v>
      </c>
    </row>
    <row r="310" spans="1:17" x14ac:dyDescent="0.3">
      <c r="A310" s="273">
        <v>571</v>
      </c>
      <c r="B310" s="274" t="s">
        <v>633</v>
      </c>
      <c r="C310" s="275" t="s">
        <v>257</v>
      </c>
      <c r="D310" s="275" t="s">
        <v>128</v>
      </c>
      <c r="E310" s="275" t="s">
        <v>132</v>
      </c>
      <c r="F310" s="275" t="s">
        <v>133</v>
      </c>
      <c r="G310" s="275" t="s">
        <v>598</v>
      </c>
      <c r="H310" s="275" t="s">
        <v>132</v>
      </c>
      <c r="I310" s="276">
        <v>60000</v>
      </c>
      <c r="J310" s="276"/>
      <c r="K310" s="275" t="s">
        <v>634</v>
      </c>
      <c r="L310" s="277">
        <v>60000</v>
      </c>
      <c r="M310" s="276">
        <v>88.546509053880555</v>
      </c>
      <c r="N310" s="276">
        <v>0</v>
      </c>
      <c r="O310" s="183">
        <f t="shared" si="5"/>
        <v>1</v>
      </c>
      <c r="Q310" s="58" t="s">
        <v>218</v>
      </c>
    </row>
    <row r="311" spans="1:17" x14ac:dyDescent="0.3">
      <c r="A311" s="273">
        <v>572</v>
      </c>
      <c r="B311" s="274" t="s">
        <v>635</v>
      </c>
      <c r="C311" s="275" t="s">
        <v>258</v>
      </c>
      <c r="D311" s="275" t="s">
        <v>128</v>
      </c>
      <c r="E311" s="275" t="s">
        <v>129</v>
      </c>
      <c r="F311" s="275" t="s">
        <v>130</v>
      </c>
      <c r="G311" s="275" t="s">
        <v>636</v>
      </c>
      <c r="H311" s="275" t="s">
        <v>131</v>
      </c>
      <c r="I311" s="276"/>
      <c r="J311" s="276">
        <v>585</v>
      </c>
      <c r="K311" s="275" t="s">
        <v>637</v>
      </c>
      <c r="L311" s="277">
        <v>396401.85000000003</v>
      </c>
      <c r="M311" s="276">
        <v>585</v>
      </c>
      <c r="N311" s="276">
        <v>0</v>
      </c>
      <c r="O311" s="183">
        <f t="shared" si="5"/>
        <v>1</v>
      </c>
    </row>
    <row r="312" spans="1:17" x14ac:dyDescent="0.3">
      <c r="A312" s="273">
        <v>573</v>
      </c>
      <c r="B312" s="274" t="s">
        <v>638</v>
      </c>
      <c r="C312" s="275" t="s">
        <v>258</v>
      </c>
      <c r="D312" s="275" t="s">
        <v>128</v>
      </c>
      <c r="E312" s="275" t="s">
        <v>129</v>
      </c>
      <c r="F312" s="275" t="s">
        <v>134</v>
      </c>
      <c r="G312" s="275" t="s">
        <v>639</v>
      </c>
      <c r="H312" s="275" t="s">
        <v>131</v>
      </c>
      <c r="I312" s="276"/>
      <c r="J312" s="276">
        <v>390</v>
      </c>
      <c r="K312" s="275" t="s">
        <v>640</v>
      </c>
      <c r="L312" s="277">
        <v>264267.90000000002</v>
      </c>
      <c r="M312" s="276">
        <v>390</v>
      </c>
      <c r="N312" s="276">
        <v>0</v>
      </c>
      <c r="O312" s="183">
        <f t="shared" si="5"/>
        <v>1</v>
      </c>
    </row>
    <row r="313" spans="1:17" x14ac:dyDescent="0.3">
      <c r="A313" s="314">
        <v>574</v>
      </c>
      <c r="B313" s="315" t="s">
        <v>641</v>
      </c>
      <c r="C313" s="316" t="s">
        <v>258</v>
      </c>
      <c r="D313" s="316" t="s">
        <v>128</v>
      </c>
      <c r="E313" s="316" t="s">
        <v>129</v>
      </c>
      <c r="F313" s="316" t="s">
        <v>130</v>
      </c>
      <c r="G313" s="316" t="s">
        <v>642</v>
      </c>
      <c r="H313" s="316" t="s">
        <v>131</v>
      </c>
      <c r="I313" s="295"/>
      <c r="J313" s="295">
        <v>195</v>
      </c>
      <c r="K313" s="316" t="s">
        <v>643</v>
      </c>
      <c r="L313" s="320">
        <v>132133.95000000001</v>
      </c>
      <c r="M313" s="276">
        <v>195</v>
      </c>
      <c r="N313" s="276">
        <v>0</v>
      </c>
      <c r="O313" s="183">
        <f t="shared" si="5"/>
        <v>1</v>
      </c>
    </row>
    <row r="314" spans="1:17" x14ac:dyDescent="0.3">
      <c r="A314" s="273">
        <v>575</v>
      </c>
      <c r="B314" s="274" t="s">
        <v>644</v>
      </c>
      <c r="C314" s="275" t="s">
        <v>258</v>
      </c>
      <c r="D314" s="275" t="s">
        <v>128</v>
      </c>
      <c r="E314" s="275" t="s">
        <v>129</v>
      </c>
      <c r="F314" s="275" t="s">
        <v>134</v>
      </c>
      <c r="G314" s="275" t="s">
        <v>645</v>
      </c>
      <c r="H314" s="275" t="s">
        <v>131</v>
      </c>
      <c r="I314" s="276"/>
      <c r="J314" s="276">
        <v>218.5</v>
      </c>
      <c r="K314" s="275" t="s">
        <v>646</v>
      </c>
      <c r="L314" s="277">
        <v>148057.785</v>
      </c>
      <c r="M314" s="276">
        <v>218.5</v>
      </c>
      <c r="N314" s="276">
        <v>444173.35499999998</v>
      </c>
      <c r="O314" s="183">
        <f t="shared" ref="O314:O360" si="6">+A314-A313</f>
        <v>1</v>
      </c>
    </row>
    <row r="315" spans="1:17" x14ac:dyDescent="0.3">
      <c r="A315" s="273">
        <v>576</v>
      </c>
      <c r="B315" s="274" t="s">
        <v>647</v>
      </c>
      <c r="C315" s="275" t="s">
        <v>258</v>
      </c>
      <c r="D315" s="275" t="s">
        <v>128</v>
      </c>
      <c r="E315" s="275" t="s">
        <v>129</v>
      </c>
      <c r="F315" s="275" t="s">
        <v>134</v>
      </c>
      <c r="G315" s="275" t="s">
        <v>648</v>
      </c>
      <c r="H315" s="275" t="s">
        <v>131</v>
      </c>
      <c r="I315" s="276"/>
      <c r="J315" s="276">
        <v>230</v>
      </c>
      <c r="K315" s="275" t="s">
        <v>649</v>
      </c>
      <c r="L315" s="277">
        <v>155850.30000000002</v>
      </c>
      <c r="M315" s="276">
        <v>230.00000000000003</v>
      </c>
      <c r="N315" s="276">
        <v>467550.9</v>
      </c>
      <c r="O315" s="183">
        <f t="shared" si="6"/>
        <v>1</v>
      </c>
    </row>
    <row r="316" spans="1:17" x14ac:dyDescent="0.3">
      <c r="A316" s="273">
        <v>577</v>
      </c>
      <c r="B316" s="274" t="s">
        <v>650</v>
      </c>
      <c r="C316" s="275" t="s">
        <v>258</v>
      </c>
      <c r="D316" s="275" t="s">
        <v>128</v>
      </c>
      <c r="E316" s="275" t="s">
        <v>129</v>
      </c>
      <c r="F316" s="275" t="s">
        <v>133</v>
      </c>
      <c r="G316" s="275" t="s">
        <v>651</v>
      </c>
      <c r="H316" s="275" t="s">
        <v>131</v>
      </c>
      <c r="I316" s="276"/>
      <c r="J316" s="276">
        <v>230</v>
      </c>
      <c r="K316" s="275" t="s">
        <v>652</v>
      </c>
      <c r="L316" s="277">
        <v>155850.30000000002</v>
      </c>
      <c r="M316" s="276">
        <v>230.00000000000003</v>
      </c>
      <c r="N316" s="276">
        <v>935101.8</v>
      </c>
      <c r="O316" s="183">
        <f t="shared" si="6"/>
        <v>1</v>
      </c>
    </row>
    <row r="317" spans="1:17" x14ac:dyDescent="0.3">
      <c r="A317" s="273">
        <v>578</v>
      </c>
      <c r="B317" s="274" t="s">
        <v>650</v>
      </c>
      <c r="C317" s="275" t="s">
        <v>258</v>
      </c>
      <c r="D317" s="275" t="s">
        <v>128</v>
      </c>
      <c r="E317" s="275" t="s">
        <v>129</v>
      </c>
      <c r="F317" s="275" t="s">
        <v>133</v>
      </c>
      <c r="G317" s="275" t="s">
        <v>653</v>
      </c>
      <c r="H317" s="275" t="s">
        <v>131</v>
      </c>
      <c r="I317" s="276"/>
      <c r="J317" s="276">
        <v>230</v>
      </c>
      <c r="K317" s="275" t="s">
        <v>654</v>
      </c>
      <c r="L317" s="277">
        <v>155850.30000000002</v>
      </c>
      <c r="M317" s="276">
        <v>230.00000000000003</v>
      </c>
      <c r="N317" s="276">
        <v>1212921.9000000001</v>
      </c>
      <c r="O317" s="183">
        <f t="shared" si="6"/>
        <v>1</v>
      </c>
    </row>
    <row r="318" spans="1:17" x14ac:dyDescent="0.3">
      <c r="A318" s="273">
        <v>579</v>
      </c>
      <c r="B318" s="274" t="s">
        <v>655</v>
      </c>
      <c r="C318" s="275" t="s">
        <v>257</v>
      </c>
      <c r="D318" s="275" t="s">
        <v>128</v>
      </c>
      <c r="E318" s="275" t="s">
        <v>132</v>
      </c>
      <c r="F318" s="275" t="s">
        <v>133</v>
      </c>
      <c r="G318" s="275" t="s">
        <v>363</v>
      </c>
      <c r="H318" s="275" t="s">
        <v>132</v>
      </c>
      <c r="I318" s="276">
        <v>310483</v>
      </c>
      <c r="J318" s="276"/>
      <c r="K318" s="275" t="s">
        <v>656</v>
      </c>
      <c r="L318" s="277">
        <v>310483</v>
      </c>
      <c r="M318" s="276">
        <v>458.20309617626657</v>
      </c>
      <c r="N318" s="276">
        <v>0</v>
      </c>
      <c r="O318" s="183">
        <f t="shared" si="6"/>
        <v>1</v>
      </c>
    </row>
    <row r="319" spans="1:17" x14ac:dyDescent="0.3">
      <c r="A319" s="273">
        <v>580</v>
      </c>
      <c r="B319" s="274" t="s">
        <v>657</v>
      </c>
      <c r="C319" s="275" t="s">
        <v>258</v>
      </c>
      <c r="D319" s="275" t="s">
        <v>128</v>
      </c>
      <c r="E319" s="275" t="s">
        <v>129</v>
      </c>
      <c r="F319" s="275" t="s">
        <v>130</v>
      </c>
      <c r="G319" s="275" t="s">
        <v>658</v>
      </c>
      <c r="H319" s="275" t="s">
        <v>131</v>
      </c>
      <c r="I319" s="276"/>
      <c r="J319" s="276">
        <v>390</v>
      </c>
      <c r="K319" s="275" t="s">
        <v>324</v>
      </c>
      <c r="L319" s="277">
        <v>264267.90000000002</v>
      </c>
      <c r="M319" s="276">
        <v>390</v>
      </c>
      <c r="N319" s="276">
        <v>0</v>
      </c>
      <c r="O319" s="183">
        <f t="shared" si="6"/>
        <v>1</v>
      </c>
    </row>
    <row r="320" spans="1:17" x14ac:dyDescent="0.3">
      <c r="A320" s="273">
        <v>581</v>
      </c>
      <c r="B320" s="274" t="s">
        <v>659</v>
      </c>
      <c r="C320" s="275" t="s">
        <v>258</v>
      </c>
      <c r="D320" s="275" t="s">
        <v>128</v>
      </c>
      <c r="E320" s="275" t="s">
        <v>129</v>
      </c>
      <c r="F320" s="275" t="s">
        <v>133</v>
      </c>
      <c r="G320" s="275" t="s">
        <v>660</v>
      </c>
      <c r="H320" s="275" t="s">
        <v>131</v>
      </c>
      <c r="I320" s="276"/>
      <c r="J320" s="276">
        <v>198</v>
      </c>
      <c r="K320" s="275" t="s">
        <v>661</v>
      </c>
      <c r="L320" s="277">
        <v>134166.78</v>
      </c>
      <c r="M320" s="276">
        <v>198</v>
      </c>
      <c r="N320" s="276">
        <v>536667.12</v>
      </c>
      <c r="O320" s="183">
        <f t="shared" si="6"/>
        <v>1</v>
      </c>
    </row>
    <row r="321" spans="1:15" x14ac:dyDescent="0.3">
      <c r="A321" s="273">
        <v>582</v>
      </c>
      <c r="B321" s="274" t="s">
        <v>662</v>
      </c>
      <c r="C321" s="275" t="s">
        <v>258</v>
      </c>
      <c r="D321" s="275" t="s">
        <v>128</v>
      </c>
      <c r="E321" s="275" t="s">
        <v>129</v>
      </c>
      <c r="F321" s="275" t="s">
        <v>134</v>
      </c>
      <c r="G321" s="275" t="s">
        <v>663</v>
      </c>
      <c r="H321" s="275" t="s">
        <v>131</v>
      </c>
      <c r="I321" s="276"/>
      <c r="J321" s="276">
        <v>230</v>
      </c>
      <c r="K321" s="275" t="s">
        <v>664</v>
      </c>
      <c r="L321" s="277">
        <v>155850.30000000002</v>
      </c>
      <c r="M321" s="276">
        <v>230.00000000000003</v>
      </c>
      <c r="N321" s="276">
        <v>0</v>
      </c>
      <c r="O321" s="183">
        <f t="shared" si="6"/>
        <v>1</v>
      </c>
    </row>
    <row r="322" spans="1:15" x14ac:dyDescent="0.3">
      <c r="A322" s="273">
        <v>583</v>
      </c>
      <c r="B322" s="274" t="s">
        <v>665</v>
      </c>
      <c r="C322" s="275" t="s">
        <v>258</v>
      </c>
      <c r="D322" s="275" t="s">
        <v>128</v>
      </c>
      <c r="E322" s="275" t="s">
        <v>129</v>
      </c>
      <c r="F322" s="275" t="s">
        <v>133</v>
      </c>
      <c r="G322" s="275" t="s">
        <v>666</v>
      </c>
      <c r="H322" s="275" t="s">
        <v>131</v>
      </c>
      <c r="I322" s="276"/>
      <c r="J322" s="276">
        <v>460</v>
      </c>
      <c r="K322" s="275" t="s">
        <v>667</v>
      </c>
      <c r="L322" s="277">
        <v>311700.60000000003</v>
      </c>
      <c r="M322" s="276">
        <v>460.00000000000006</v>
      </c>
      <c r="N322" s="276">
        <v>1212921.9000000001</v>
      </c>
      <c r="O322" s="183">
        <f t="shared" si="6"/>
        <v>1</v>
      </c>
    </row>
    <row r="323" spans="1:15" x14ac:dyDescent="0.3">
      <c r="A323" s="273">
        <v>584</v>
      </c>
      <c r="B323" s="274" t="s">
        <v>668</v>
      </c>
      <c r="C323" s="275" t="s">
        <v>258</v>
      </c>
      <c r="D323" s="275" t="s">
        <v>128</v>
      </c>
      <c r="E323" s="275" t="s">
        <v>129</v>
      </c>
      <c r="F323" s="275" t="s">
        <v>134</v>
      </c>
      <c r="G323" s="275" t="s">
        <v>626</v>
      </c>
      <c r="H323" s="275" t="s">
        <v>131</v>
      </c>
      <c r="I323" s="276"/>
      <c r="J323" s="276">
        <v>230</v>
      </c>
      <c r="K323" s="275" t="s">
        <v>669</v>
      </c>
      <c r="L323" s="277">
        <v>155850.30000000002</v>
      </c>
      <c r="M323" s="276">
        <v>230.00000000000003</v>
      </c>
      <c r="N323" s="276">
        <v>311700.60000000003</v>
      </c>
      <c r="O323" s="183">
        <f t="shared" si="6"/>
        <v>1</v>
      </c>
    </row>
    <row r="324" spans="1:15" x14ac:dyDescent="0.3">
      <c r="A324" s="273">
        <v>585</v>
      </c>
      <c r="B324" s="274" t="s">
        <v>670</v>
      </c>
      <c r="C324" s="275" t="s">
        <v>258</v>
      </c>
      <c r="D324" s="275" t="s">
        <v>128</v>
      </c>
      <c r="E324" s="275" t="s">
        <v>129</v>
      </c>
      <c r="F324" s="275" t="s">
        <v>134</v>
      </c>
      <c r="G324" s="275" t="s">
        <v>671</v>
      </c>
      <c r="H324" s="275" t="s">
        <v>131</v>
      </c>
      <c r="I324" s="276"/>
      <c r="J324" s="276">
        <v>230</v>
      </c>
      <c r="K324" s="275" t="s">
        <v>672</v>
      </c>
      <c r="L324" s="277">
        <v>155850.30000000002</v>
      </c>
      <c r="M324" s="276">
        <v>230.00000000000003</v>
      </c>
      <c r="N324" s="276">
        <v>779251.5</v>
      </c>
      <c r="O324" s="183">
        <f t="shared" si="6"/>
        <v>1</v>
      </c>
    </row>
    <row r="325" spans="1:15" x14ac:dyDescent="0.3">
      <c r="A325" s="273">
        <v>586</v>
      </c>
      <c r="B325" s="274" t="s">
        <v>673</v>
      </c>
      <c r="C325" s="275" t="s">
        <v>258</v>
      </c>
      <c r="D325" s="275" t="s">
        <v>128</v>
      </c>
      <c r="E325" s="275" t="s">
        <v>129</v>
      </c>
      <c r="F325" s="275" t="s">
        <v>134</v>
      </c>
      <c r="G325" s="275" t="s">
        <v>674</v>
      </c>
      <c r="H325" s="275" t="s">
        <v>131</v>
      </c>
      <c r="I325" s="276"/>
      <c r="J325" s="276">
        <v>230</v>
      </c>
      <c r="K325" s="275" t="s">
        <v>675</v>
      </c>
      <c r="L325" s="277">
        <v>155850.30000000002</v>
      </c>
      <c r="M325" s="276">
        <v>230.00000000000003</v>
      </c>
      <c r="N325" s="276">
        <v>935101.8</v>
      </c>
      <c r="O325" s="183">
        <f t="shared" si="6"/>
        <v>1</v>
      </c>
    </row>
    <row r="326" spans="1:15" x14ac:dyDescent="0.3">
      <c r="A326" s="273">
        <v>587</v>
      </c>
      <c r="B326" s="274" t="s">
        <v>676</v>
      </c>
      <c r="C326" s="275" t="s">
        <v>258</v>
      </c>
      <c r="D326" s="275" t="s">
        <v>128</v>
      </c>
      <c r="E326" s="275" t="s">
        <v>129</v>
      </c>
      <c r="F326" s="275" t="s">
        <v>130</v>
      </c>
      <c r="G326" s="275" t="s">
        <v>642</v>
      </c>
      <c r="H326" s="275" t="s">
        <v>131</v>
      </c>
      <c r="I326" s="276"/>
      <c r="J326" s="276">
        <v>195</v>
      </c>
      <c r="K326" s="275" t="s">
        <v>677</v>
      </c>
      <c r="L326" s="277">
        <v>132133.95000000001</v>
      </c>
      <c r="M326" s="276">
        <v>195</v>
      </c>
      <c r="N326" s="276">
        <v>0</v>
      </c>
      <c r="O326" s="183">
        <f t="shared" si="6"/>
        <v>1</v>
      </c>
    </row>
    <row r="327" spans="1:15" x14ac:dyDescent="0.3">
      <c r="A327" s="273">
        <v>588</v>
      </c>
      <c r="B327" s="274" t="s">
        <v>678</v>
      </c>
      <c r="C327" s="275" t="s">
        <v>258</v>
      </c>
      <c r="D327" s="275" t="s">
        <v>128</v>
      </c>
      <c r="E327" s="275" t="s">
        <v>129</v>
      </c>
      <c r="F327" s="275" t="s">
        <v>133</v>
      </c>
      <c r="G327" s="275" t="s">
        <v>507</v>
      </c>
      <c r="H327" s="275" t="s">
        <v>131</v>
      </c>
      <c r="I327" s="276"/>
      <c r="J327" s="276">
        <v>185.25</v>
      </c>
      <c r="K327" s="275" t="s">
        <v>679</v>
      </c>
      <c r="L327" s="277">
        <v>125527.2525</v>
      </c>
      <c r="M327" s="276">
        <v>185.25</v>
      </c>
      <c r="N327" s="276">
        <v>0</v>
      </c>
      <c r="O327" s="183">
        <f t="shared" si="6"/>
        <v>1</v>
      </c>
    </row>
    <row r="328" spans="1:15" x14ac:dyDescent="0.3">
      <c r="A328" s="273">
        <v>589</v>
      </c>
      <c r="B328" s="274" t="s">
        <v>680</v>
      </c>
      <c r="C328" s="275" t="s">
        <v>257</v>
      </c>
      <c r="D328" s="275" t="s">
        <v>128</v>
      </c>
      <c r="E328" s="275" t="s">
        <v>132</v>
      </c>
      <c r="F328" s="275" t="s">
        <v>133</v>
      </c>
      <c r="G328" s="275" t="s">
        <v>360</v>
      </c>
      <c r="H328" s="275" t="s">
        <v>132</v>
      </c>
      <c r="I328" s="276">
        <v>6000</v>
      </c>
      <c r="J328" s="276"/>
      <c r="K328" s="275" t="s">
        <v>681</v>
      </c>
      <c r="L328" s="277">
        <v>6000</v>
      </c>
      <c r="M328" s="276">
        <v>8.8546509053880555</v>
      </c>
      <c r="N328" s="276">
        <v>0</v>
      </c>
      <c r="O328" s="183">
        <f t="shared" si="6"/>
        <v>1</v>
      </c>
    </row>
    <row r="329" spans="1:15" x14ac:dyDescent="0.3">
      <c r="A329" s="273">
        <v>590</v>
      </c>
      <c r="B329" s="274" t="s">
        <v>682</v>
      </c>
      <c r="C329" s="275" t="s">
        <v>257</v>
      </c>
      <c r="D329" s="275" t="s">
        <v>128</v>
      </c>
      <c r="E329" s="275" t="s">
        <v>132</v>
      </c>
      <c r="F329" s="275" t="s">
        <v>130</v>
      </c>
      <c r="G329" s="275" t="s">
        <v>642</v>
      </c>
      <c r="H329" s="275" t="s">
        <v>132</v>
      </c>
      <c r="I329" s="276">
        <v>5000</v>
      </c>
      <c r="J329" s="276"/>
      <c r="K329" s="275" t="s">
        <v>683</v>
      </c>
      <c r="L329" s="277">
        <v>5000</v>
      </c>
      <c r="M329" s="276">
        <v>7.3788757544900454</v>
      </c>
      <c r="N329" s="276">
        <v>0</v>
      </c>
      <c r="O329" s="183">
        <f t="shared" si="6"/>
        <v>1</v>
      </c>
    </row>
    <row r="330" spans="1:15" x14ac:dyDescent="0.3">
      <c r="A330" s="273">
        <v>591</v>
      </c>
      <c r="B330" s="274" t="s">
        <v>684</v>
      </c>
      <c r="C330" s="275" t="s">
        <v>257</v>
      </c>
      <c r="D330" s="275" t="s">
        <v>128</v>
      </c>
      <c r="E330" s="275" t="s">
        <v>132</v>
      </c>
      <c r="F330" s="275" t="s">
        <v>133</v>
      </c>
      <c r="G330" s="275" t="s">
        <v>685</v>
      </c>
      <c r="H330" s="275" t="s">
        <v>132</v>
      </c>
      <c r="I330" s="276">
        <v>156170</v>
      </c>
      <c r="J330" s="276"/>
      <c r="K330" s="275" t="s">
        <v>686</v>
      </c>
      <c r="L330" s="277">
        <v>156170</v>
      </c>
      <c r="M330" s="276">
        <v>230.4718053157421</v>
      </c>
      <c r="N330" s="276">
        <v>0</v>
      </c>
      <c r="O330" s="183">
        <f t="shared" si="6"/>
        <v>1</v>
      </c>
    </row>
    <row r="331" spans="1:15" x14ac:dyDescent="0.3">
      <c r="A331" s="273">
        <v>592</v>
      </c>
      <c r="B331" s="274" t="s">
        <v>684</v>
      </c>
      <c r="C331" s="275" t="s">
        <v>258</v>
      </c>
      <c r="D331" s="275" t="s">
        <v>128</v>
      </c>
      <c r="E331" s="275" t="s">
        <v>129</v>
      </c>
      <c r="F331" s="275" t="s">
        <v>134</v>
      </c>
      <c r="G331" s="275" t="s">
        <v>687</v>
      </c>
      <c r="H331" s="275" t="s">
        <v>131</v>
      </c>
      <c r="I331" s="276"/>
      <c r="J331" s="276">
        <v>195</v>
      </c>
      <c r="K331" s="275" t="s">
        <v>688</v>
      </c>
      <c r="L331" s="277">
        <v>132133.95000000001</v>
      </c>
      <c r="M331" s="276">
        <v>195</v>
      </c>
      <c r="N331" s="276">
        <v>0</v>
      </c>
      <c r="O331" s="183">
        <f t="shared" si="6"/>
        <v>1</v>
      </c>
    </row>
    <row r="332" spans="1:15" x14ac:dyDescent="0.3">
      <c r="A332" s="273">
        <v>591</v>
      </c>
      <c r="B332" s="274" t="s">
        <v>684</v>
      </c>
      <c r="C332" s="275" t="s">
        <v>257</v>
      </c>
      <c r="D332" s="275" t="s">
        <v>128</v>
      </c>
      <c r="E332" s="275" t="s">
        <v>337</v>
      </c>
      <c r="F332" s="275" t="s">
        <v>133</v>
      </c>
      <c r="G332" s="275"/>
      <c r="H332" s="275" t="s">
        <v>132</v>
      </c>
      <c r="I332" s="276">
        <v>0</v>
      </c>
      <c r="J332" s="276"/>
      <c r="K332" s="275" t="s">
        <v>686</v>
      </c>
      <c r="L332" s="277">
        <v>0</v>
      </c>
      <c r="M332" s="276">
        <v>0</v>
      </c>
      <c r="N332" s="276">
        <v>0</v>
      </c>
      <c r="O332" s="183">
        <f t="shared" si="6"/>
        <v>-1</v>
      </c>
    </row>
    <row r="333" spans="1:15" x14ac:dyDescent="0.3">
      <c r="A333" s="273">
        <v>591</v>
      </c>
      <c r="B333" s="274" t="s">
        <v>684</v>
      </c>
      <c r="C333" s="275" t="s">
        <v>257</v>
      </c>
      <c r="D333" s="275" t="s">
        <v>128</v>
      </c>
      <c r="E333" s="275" t="s">
        <v>337</v>
      </c>
      <c r="F333" s="275" t="s">
        <v>133</v>
      </c>
      <c r="G333" s="275" t="s">
        <v>685</v>
      </c>
      <c r="H333" s="275" t="s">
        <v>132</v>
      </c>
      <c r="I333" s="276">
        <v>-156170</v>
      </c>
      <c r="J333" s="276"/>
      <c r="K333" s="275" t="s">
        <v>686</v>
      </c>
      <c r="L333" s="277">
        <v>-156170</v>
      </c>
      <c r="M333" s="276">
        <v>-230.4718053157421</v>
      </c>
      <c r="N333" s="276">
        <v>0</v>
      </c>
      <c r="O333" s="183">
        <f t="shared" si="6"/>
        <v>0</v>
      </c>
    </row>
    <row r="334" spans="1:15" x14ac:dyDescent="0.3">
      <c r="A334" s="273">
        <v>593</v>
      </c>
      <c r="B334" s="274" t="s">
        <v>689</v>
      </c>
      <c r="C334" s="275" t="s">
        <v>257</v>
      </c>
      <c r="D334" s="275" t="s">
        <v>128</v>
      </c>
      <c r="E334" s="275" t="s">
        <v>132</v>
      </c>
      <c r="F334" s="275" t="s">
        <v>130</v>
      </c>
      <c r="G334" s="275" t="s">
        <v>690</v>
      </c>
      <c r="H334" s="275" t="s">
        <v>132</v>
      </c>
      <c r="I334" s="276">
        <v>156170</v>
      </c>
      <c r="J334" s="276"/>
      <c r="K334" s="275" t="s">
        <v>691</v>
      </c>
      <c r="L334" s="277">
        <v>156170</v>
      </c>
      <c r="M334" s="276">
        <v>230.4718053157421</v>
      </c>
      <c r="N334" s="276">
        <v>0</v>
      </c>
      <c r="O334" s="183">
        <f t="shared" si="6"/>
        <v>2</v>
      </c>
    </row>
    <row r="335" spans="1:15" x14ac:dyDescent="0.3">
      <c r="A335" s="273">
        <v>594</v>
      </c>
      <c r="B335" s="274" t="s">
        <v>692</v>
      </c>
      <c r="C335" s="275" t="s">
        <v>257</v>
      </c>
      <c r="D335" s="275" t="s">
        <v>128</v>
      </c>
      <c r="E335" s="275" t="s">
        <v>132</v>
      </c>
      <c r="F335" s="275" t="s">
        <v>133</v>
      </c>
      <c r="G335" s="275" t="s">
        <v>693</v>
      </c>
      <c r="H335" s="275" t="s">
        <v>132</v>
      </c>
      <c r="I335" s="276">
        <v>156169</v>
      </c>
      <c r="J335" s="276"/>
      <c r="K335" s="275" t="s">
        <v>694</v>
      </c>
      <c r="L335" s="277">
        <v>156169</v>
      </c>
      <c r="M335" s="276">
        <v>230.47032954059119</v>
      </c>
      <c r="N335" s="276">
        <v>0</v>
      </c>
      <c r="O335" s="183">
        <f t="shared" si="6"/>
        <v>1</v>
      </c>
    </row>
    <row r="336" spans="1:15" x14ac:dyDescent="0.3">
      <c r="A336" s="273">
        <v>595</v>
      </c>
      <c r="B336" s="274" t="s">
        <v>695</v>
      </c>
      <c r="C336" s="275" t="s">
        <v>257</v>
      </c>
      <c r="D336" s="275" t="s">
        <v>128</v>
      </c>
      <c r="E336" s="275" t="s">
        <v>132</v>
      </c>
      <c r="F336" s="275" t="s">
        <v>133</v>
      </c>
      <c r="G336" s="275" t="s">
        <v>359</v>
      </c>
      <c r="H336" s="275" t="s">
        <v>132</v>
      </c>
      <c r="I336" s="276">
        <v>3000</v>
      </c>
      <c r="J336" s="276"/>
      <c r="K336" s="275" t="s">
        <v>696</v>
      </c>
      <c r="L336" s="277">
        <v>3000</v>
      </c>
      <c r="M336" s="276">
        <v>4.4273254526940278</v>
      </c>
      <c r="N336" s="276">
        <v>0</v>
      </c>
      <c r="O336" s="183">
        <f t="shared" si="6"/>
        <v>1</v>
      </c>
    </row>
    <row r="337" spans="1:17" x14ac:dyDescent="0.3">
      <c r="A337" s="273">
        <v>596</v>
      </c>
      <c r="B337" s="274" t="s">
        <v>697</v>
      </c>
      <c r="C337" s="275" t="s">
        <v>258</v>
      </c>
      <c r="D337" s="275" t="s">
        <v>128</v>
      </c>
      <c r="E337" s="275" t="s">
        <v>129</v>
      </c>
      <c r="F337" s="275" t="s">
        <v>134</v>
      </c>
      <c r="G337" s="275" t="s">
        <v>698</v>
      </c>
      <c r="H337" s="275" t="s">
        <v>131</v>
      </c>
      <c r="I337" s="276"/>
      <c r="J337" s="276">
        <v>230</v>
      </c>
      <c r="K337" s="275" t="s">
        <v>699</v>
      </c>
      <c r="L337" s="277">
        <v>155850.30000000002</v>
      </c>
      <c r="M337" s="276">
        <v>230.00000000000003</v>
      </c>
      <c r="N337" s="276">
        <v>589520.70000000007</v>
      </c>
      <c r="O337" s="183">
        <f t="shared" si="6"/>
        <v>1</v>
      </c>
    </row>
    <row r="338" spans="1:17" x14ac:dyDescent="0.3">
      <c r="A338" s="273">
        <v>597</v>
      </c>
      <c r="B338" s="274" t="s">
        <v>700</v>
      </c>
      <c r="C338" s="275" t="s">
        <v>258</v>
      </c>
      <c r="D338" s="275" t="s">
        <v>128</v>
      </c>
      <c r="E338" s="275" t="s">
        <v>129</v>
      </c>
      <c r="F338" s="275" t="s">
        <v>134</v>
      </c>
      <c r="G338" s="275" t="s">
        <v>698</v>
      </c>
      <c r="H338" s="275" t="s">
        <v>131</v>
      </c>
      <c r="I338" s="276"/>
      <c r="J338" s="276">
        <v>230</v>
      </c>
      <c r="K338" s="275" t="s">
        <v>701</v>
      </c>
      <c r="L338" s="277">
        <v>155850.30000000002</v>
      </c>
      <c r="M338" s="276">
        <v>230.00000000000003</v>
      </c>
      <c r="N338" s="276">
        <v>589520.70000000007</v>
      </c>
      <c r="O338" s="183">
        <f t="shared" si="6"/>
        <v>1</v>
      </c>
    </row>
    <row r="339" spans="1:17" x14ac:dyDescent="0.3">
      <c r="A339" s="273">
        <v>598</v>
      </c>
      <c r="B339" s="274" t="s">
        <v>702</v>
      </c>
      <c r="C339" s="275" t="s">
        <v>258</v>
      </c>
      <c r="D339" s="275" t="s">
        <v>128</v>
      </c>
      <c r="E339" s="275" t="s">
        <v>129</v>
      </c>
      <c r="F339" s="275" t="s">
        <v>134</v>
      </c>
      <c r="G339" s="275" t="s">
        <v>703</v>
      </c>
      <c r="H339" s="275" t="s">
        <v>131</v>
      </c>
      <c r="I339" s="276"/>
      <c r="J339" s="276">
        <v>205</v>
      </c>
      <c r="K339" s="275" t="s">
        <v>704</v>
      </c>
      <c r="L339" s="277">
        <v>138910.04999999999</v>
      </c>
      <c r="M339" s="276">
        <v>204.99999999999997</v>
      </c>
      <c r="N339" s="276">
        <v>0</v>
      </c>
      <c r="O339" s="183">
        <f t="shared" si="6"/>
        <v>1</v>
      </c>
    </row>
    <row r="340" spans="1:17" x14ac:dyDescent="0.3">
      <c r="A340" s="273">
        <v>599</v>
      </c>
      <c r="B340" s="274" t="s">
        <v>705</v>
      </c>
      <c r="C340" s="275" t="s">
        <v>257</v>
      </c>
      <c r="D340" s="275" t="s">
        <v>128</v>
      </c>
      <c r="E340" s="275" t="s">
        <v>132</v>
      </c>
      <c r="F340" s="275" t="s">
        <v>134</v>
      </c>
      <c r="G340" s="275" t="s">
        <v>362</v>
      </c>
      <c r="H340" s="275" t="s">
        <v>132</v>
      </c>
      <c r="I340" s="276">
        <v>3000</v>
      </c>
      <c r="J340" s="276"/>
      <c r="K340" s="275" t="s">
        <v>706</v>
      </c>
      <c r="L340" s="277">
        <v>3000</v>
      </c>
      <c r="M340" s="276">
        <v>4.4273254526940278</v>
      </c>
      <c r="N340" s="276">
        <v>0</v>
      </c>
      <c r="O340" s="183">
        <f t="shared" si="6"/>
        <v>1</v>
      </c>
    </row>
    <row r="341" spans="1:17" x14ac:dyDescent="0.3">
      <c r="A341" s="273">
        <v>600</v>
      </c>
      <c r="B341" s="274" t="s">
        <v>707</v>
      </c>
      <c r="C341" s="275" t="s">
        <v>258</v>
      </c>
      <c r="D341" s="275" t="s">
        <v>128</v>
      </c>
      <c r="E341" s="275" t="s">
        <v>129</v>
      </c>
      <c r="F341" s="275" t="s">
        <v>134</v>
      </c>
      <c r="G341" s="275" t="s">
        <v>471</v>
      </c>
      <c r="H341" s="275" t="s">
        <v>131</v>
      </c>
      <c r="I341" s="276"/>
      <c r="J341" s="276">
        <v>198</v>
      </c>
      <c r="K341" s="275" t="s">
        <v>708</v>
      </c>
      <c r="L341" s="277">
        <v>134166.78</v>
      </c>
      <c r="M341" s="276">
        <v>198</v>
      </c>
      <c r="N341" s="276">
        <v>134166.78</v>
      </c>
      <c r="O341" s="183">
        <f t="shared" si="6"/>
        <v>1</v>
      </c>
    </row>
    <row r="342" spans="1:17" x14ac:dyDescent="0.3">
      <c r="A342" s="279">
        <v>601</v>
      </c>
      <c r="B342" s="280" t="s">
        <v>709</v>
      </c>
      <c r="C342" s="281" t="s">
        <v>258</v>
      </c>
      <c r="D342" s="281" t="s">
        <v>128</v>
      </c>
      <c r="E342" s="281" t="s">
        <v>129</v>
      </c>
      <c r="F342" s="281" t="s">
        <v>133</v>
      </c>
      <c r="G342" s="281" t="s">
        <v>710</v>
      </c>
      <c r="H342" s="281" t="s">
        <v>131</v>
      </c>
      <c r="I342" s="282"/>
      <c r="J342" s="282">
        <v>230</v>
      </c>
      <c r="K342" s="281" t="s">
        <v>711</v>
      </c>
      <c r="L342" s="312">
        <v>155850.30000000002</v>
      </c>
      <c r="M342" s="282">
        <v>230.00000000000003</v>
      </c>
      <c r="N342" s="282">
        <v>155850.30000000002</v>
      </c>
      <c r="O342" s="183">
        <f t="shared" si="6"/>
        <v>1</v>
      </c>
      <c r="Q342" s="245" t="str">
        <f t="shared" ref="Q342:Q346" si="7">CONCATENATE(MID(B342,1,2),"-",MID(B342,4,2),"-",MID(B342,7,4))</f>
        <v>28-11-2018</v>
      </c>
    </row>
    <row r="343" spans="1:17" x14ac:dyDescent="0.3">
      <c r="A343" s="279">
        <v>602</v>
      </c>
      <c r="B343" s="280" t="s">
        <v>712</v>
      </c>
      <c r="C343" s="281" t="s">
        <v>258</v>
      </c>
      <c r="D343" s="281" t="s">
        <v>128</v>
      </c>
      <c r="E343" s="281" t="s">
        <v>129</v>
      </c>
      <c r="F343" s="281" t="s">
        <v>133</v>
      </c>
      <c r="G343" s="281" t="s">
        <v>713</v>
      </c>
      <c r="H343" s="281" t="s">
        <v>131</v>
      </c>
      <c r="I343" s="282"/>
      <c r="J343" s="282">
        <v>230</v>
      </c>
      <c r="K343" s="281" t="s">
        <v>714</v>
      </c>
      <c r="L343" s="312">
        <v>155850.30000000002</v>
      </c>
      <c r="M343" s="282">
        <v>230.00000000000003</v>
      </c>
      <c r="N343" s="282">
        <v>0</v>
      </c>
      <c r="O343" s="183">
        <f t="shared" si="6"/>
        <v>1</v>
      </c>
      <c r="Q343" s="245" t="str">
        <f t="shared" si="7"/>
        <v>28-11-2018</v>
      </c>
    </row>
    <row r="344" spans="1:17" x14ac:dyDescent="0.3">
      <c r="A344" s="273">
        <v>603</v>
      </c>
      <c r="B344" s="274" t="s">
        <v>715</v>
      </c>
      <c r="C344" s="275" t="s">
        <v>258</v>
      </c>
      <c r="D344" s="275" t="s">
        <v>128</v>
      </c>
      <c r="E344" s="275" t="s">
        <v>129</v>
      </c>
      <c r="F344" s="275" t="s">
        <v>134</v>
      </c>
      <c r="G344" s="275" t="s">
        <v>716</v>
      </c>
      <c r="H344" s="275" t="s">
        <v>131</v>
      </c>
      <c r="I344" s="276"/>
      <c r="J344" s="276">
        <v>205</v>
      </c>
      <c r="K344" s="275" t="s">
        <v>717</v>
      </c>
      <c r="L344" s="277">
        <v>138910.04999999999</v>
      </c>
      <c r="M344" s="276">
        <v>204.99999999999997</v>
      </c>
      <c r="N344" s="276">
        <v>450610.65</v>
      </c>
      <c r="O344" s="183">
        <f t="shared" si="6"/>
        <v>1</v>
      </c>
      <c r="Q344" s="245" t="str">
        <f t="shared" si="7"/>
        <v>28-11-2018</v>
      </c>
    </row>
    <row r="345" spans="1:17" x14ac:dyDescent="0.3">
      <c r="A345" s="273">
        <v>604</v>
      </c>
      <c r="B345" s="274" t="s">
        <v>718</v>
      </c>
      <c r="C345" s="275" t="s">
        <v>257</v>
      </c>
      <c r="D345" s="275" t="s">
        <v>128</v>
      </c>
      <c r="E345" s="275" t="s">
        <v>132</v>
      </c>
      <c r="F345" s="275" t="s">
        <v>133</v>
      </c>
      <c r="G345" s="275" t="s">
        <v>719</v>
      </c>
      <c r="H345" s="275" t="s">
        <v>132</v>
      </c>
      <c r="I345" s="276">
        <v>18000</v>
      </c>
      <c r="J345" s="276"/>
      <c r="K345" s="275" t="s">
        <v>720</v>
      </c>
      <c r="L345" s="277">
        <v>18000</v>
      </c>
      <c r="M345" s="276">
        <v>26.563952716164163</v>
      </c>
      <c r="N345" s="276">
        <v>0</v>
      </c>
      <c r="O345" s="183">
        <f t="shared" si="6"/>
        <v>1</v>
      </c>
      <c r="Q345" s="245" t="str">
        <f t="shared" si="7"/>
        <v>30-11-2018</v>
      </c>
    </row>
    <row r="346" spans="1:17" x14ac:dyDescent="0.3">
      <c r="A346" s="273">
        <v>605</v>
      </c>
      <c r="B346" s="274" t="s">
        <v>721</v>
      </c>
      <c r="C346" s="275" t="s">
        <v>258</v>
      </c>
      <c r="D346" s="275" t="s">
        <v>128</v>
      </c>
      <c r="E346" s="275" t="s">
        <v>129</v>
      </c>
      <c r="F346" s="275" t="s">
        <v>133</v>
      </c>
      <c r="G346" s="275" t="s">
        <v>722</v>
      </c>
      <c r="H346" s="275" t="s">
        <v>131</v>
      </c>
      <c r="I346" s="276"/>
      <c r="J346" s="276">
        <v>230</v>
      </c>
      <c r="K346" s="275" t="s">
        <v>723</v>
      </c>
      <c r="L346" s="277">
        <v>155850.30000000002</v>
      </c>
      <c r="M346" s="276">
        <v>230.00000000000003</v>
      </c>
      <c r="N346" s="276">
        <v>623401.20000000007</v>
      </c>
      <c r="O346" s="183">
        <f t="shared" si="6"/>
        <v>1</v>
      </c>
      <c r="Q346" s="245" t="str">
        <f t="shared" si="7"/>
        <v>30-11-2018</v>
      </c>
    </row>
    <row r="347" spans="1:17" x14ac:dyDescent="0.3">
      <c r="A347" s="273">
        <v>607</v>
      </c>
      <c r="B347" s="274" t="s">
        <v>724</v>
      </c>
      <c r="C347" s="275" t="s">
        <v>258</v>
      </c>
      <c r="D347" s="275" t="s">
        <v>128</v>
      </c>
      <c r="E347" s="275" t="s">
        <v>129</v>
      </c>
      <c r="F347" s="275" t="s">
        <v>130</v>
      </c>
      <c r="G347" s="275" t="s">
        <v>725</v>
      </c>
      <c r="H347" s="275" t="s">
        <v>131</v>
      </c>
      <c r="I347" s="276"/>
      <c r="J347" s="276">
        <v>230</v>
      </c>
      <c r="K347" s="275" t="s">
        <v>319</v>
      </c>
      <c r="L347" s="277">
        <v>155850.30000000002</v>
      </c>
      <c r="M347" s="276">
        <v>230.00000000000003</v>
      </c>
      <c r="N347" s="276">
        <v>467550.9</v>
      </c>
      <c r="O347" s="183">
        <f t="shared" si="6"/>
        <v>2</v>
      </c>
      <c r="Q347" s="245" t="str">
        <f>CONCATENATE(MID(B347,1,2),"-",MID(B347,4,2),"-",MID(B347,7,4))</f>
        <v>30-11-2018</v>
      </c>
    </row>
    <row r="348" spans="1:17" x14ac:dyDescent="0.3">
      <c r="A348" s="273">
        <v>606</v>
      </c>
      <c r="B348" s="274" t="s">
        <v>724</v>
      </c>
      <c r="C348" s="275" t="s">
        <v>258</v>
      </c>
      <c r="D348" s="275" t="s">
        <v>128</v>
      </c>
      <c r="E348" s="275" t="s">
        <v>129</v>
      </c>
      <c r="F348" s="275" t="s">
        <v>134</v>
      </c>
      <c r="G348" s="275" t="s">
        <v>703</v>
      </c>
      <c r="H348" s="275" t="s">
        <v>131</v>
      </c>
      <c r="I348" s="276"/>
      <c r="J348" s="276">
        <v>230</v>
      </c>
      <c r="K348" s="275" t="s">
        <v>726</v>
      </c>
      <c r="L348" s="277">
        <v>155850.30000000002</v>
      </c>
      <c r="M348" s="276">
        <v>230.00000000000003</v>
      </c>
      <c r="N348" s="276">
        <v>155850.30000000002</v>
      </c>
      <c r="O348" s="183">
        <f t="shared" si="6"/>
        <v>-1</v>
      </c>
    </row>
    <row r="349" spans="1:17" x14ac:dyDescent="0.3">
      <c r="A349" s="273">
        <v>608</v>
      </c>
      <c r="B349" s="274" t="s">
        <v>727</v>
      </c>
      <c r="C349" s="275" t="s">
        <v>258</v>
      </c>
      <c r="D349" s="275" t="s">
        <v>128</v>
      </c>
      <c r="E349" s="275" t="s">
        <v>129</v>
      </c>
      <c r="F349" s="275" t="s">
        <v>134</v>
      </c>
      <c r="G349" s="275" t="s">
        <v>728</v>
      </c>
      <c r="H349" s="275" t="s">
        <v>131</v>
      </c>
      <c r="I349" s="276"/>
      <c r="J349" s="276">
        <v>230</v>
      </c>
      <c r="K349" s="275" t="s">
        <v>729</v>
      </c>
      <c r="L349" s="277">
        <v>155850.30000000002</v>
      </c>
      <c r="M349" s="276">
        <v>230.00000000000003</v>
      </c>
      <c r="N349" s="276">
        <v>467550.9</v>
      </c>
      <c r="O349" s="183">
        <f t="shared" si="6"/>
        <v>2</v>
      </c>
    </row>
    <row r="350" spans="1:17" x14ac:dyDescent="0.3">
      <c r="A350" s="273">
        <v>609</v>
      </c>
      <c r="B350" s="274" t="s">
        <v>730</v>
      </c>
      <c r="C350" s="275" t="s">
        <v>257</v>
      </c>
      <c r="D350" s="275" t="s">
        <v>128</v>
      </c>
      <c r="E350" s="275" t="s">
        <v>132</v>
      </c>
      <c r="F350" s="275" t="s">
        <v>133</v>
      </c>
      <c r="G350" s="275" t="s">
        <v>731</v>
      </c>
      <c r="H350" s="275" t="s">
        <v>132</v>
      </c>
      <c r="I350" s="276">
        <v>183105</v>
      </c>
      <c r="J350" s="276"/>
      <c r="K350" s="275" t="s">
        <v>732</v>
      </c>
      <c r="L350" s="277">
        <v>183105</v>
      </c>
      <c r="M350" s="276">
        <v>270.22180900517998</v>
      </c>
      <c r="N350" s="276">
        <v>752948</v>
      </c>
      <c r="O350" s="183">
        <f t="shared" si="6"/>
        <v>1</v>
      </c>
    </row>
    <row r="351" spans="1:17" x14ac:dyDescent="0.3">
      <c r="A351" s="273">
        <v>610</v>
      </c>
      <c r="B351" s="274" t="s">
        <v>733</v>
      </c>
      <c r="C351" s="275" t="s">
        <v>258</v>
      </c>
      <c r="D351" s="275" t="s">
        <v>128</v>
      </c>
      <c r="E351" s="275" t="s">
        <v>129</v>
      </c>
      <c r="F351" s="275" t="s">
        <v>134</v>
      </c>
      <c r="G351" s="275" t="s">
        <v>420</v>
      </c>
      <c r="H351" s="275" t="s">
        <v>131</v>
      </c>
      <c r="I351" s="276"/>
      <c r="J351" s="276">
        <v>195</v>
      </c>
      <c r="K351" s="275" t="s">
        <v>734</v>
      </c>
      <c r="L351" s="277">
        <v>132133.95000000001</v>
      </c>
      <c r="M351" s="276">
        <v>195</v>
      </c>
      <c r="N351" s="276">
        <v>0</v>
      </c>
      <c r="O351" s="183">
        <f t="shared" si="6"/>
        <v>1</v>
      </c>
    </row>
    <row r="352" spans="1:17" x14ac:dyDescent="0.3">
      <c r="A352" s="273">
        <v>611</v>
      </c>
      <c r="B352" s="274" t="s">
        <v>735</v>
      </c>
      <c r="C352" s="275" t="s">
        <v>258</v>
      </c>
      <c r="D352" s="275" t="s">
        <v>128</v>
      </c>
      <c r="E352" s="275" t="s">
        <v>129</v>
      </c>
      <c r="F352" s="275" t="s">
        <v>134</v>
      </c>
      <c r="G352" s="275" t="s">
        <v>736</v>
      </c>
      <c r="H352" s="275" t="s">
        <v>131</v>
      </c>
      <c r="I352" s="276"/>
      <c r="J352" s="276">
        <v>390</v>
      </c>
      <c r="K352" s="275" t="s">
        <v>737</v>
      </c>
      <c r="L352" s="277">
        <v>264267.90000000002</v>
      </c>
      <c r="M352" s="276">
        <v>390</v>
      </c>
      <c r="N352" s="276">
        <v>0</v>
      </c>
      <c r="O352" s="183">
        <f t="shared" si="6"/>
        <v>1</v>
      </c>
    </row>
    <row r="353" spans="1:15" x14ac:dyDescent="0.3">
      <c r="A353" s="273">
        <v>612</v>
      </c>
      <c r="B353" s="274" t="s">
        <v>738</v>
      </c>
      <c r="C353" s="275" t="s">
        <v>258</v>
      </c>
      <c r="D353" s="275" t="s">
        <v>128</v>
      </c>
      <c r="E353" s="275" t="s">
        <v>129</v>
      </c>
      <c r="F353" s="275" t="s">
        <v>133</v>
      </c>
      <c r="G353" s="275" t="s">
        <v>739</v>
      </c>
      <c r="H353" s="275" t="s">
        <v>131</v>
      </c>
      <c r="I353" s="276"/>
      <c r="J353" s="276">
        <v>437</v>
      </c>
      <c r="K353" s="275" t="s">
        <v>740</v>
      </c>
      <c r="L353" s="277">
        <v>296115.57</v>
      </c>
      <c r="M353" s="276">
        <v>437</v>
      </c>
      <c r="N353" s="276">
        <v>888346.71</v>
      </c>
      <c r="O353" s="183">
        <f t="shared" si="6"/>
        <v>1</v>
      </c>
    </row>
    <row r="354" spans="1:15" x14ac:dyDescent="0.3">
      <c r="A354" s="273">
        <v>613</v>
      </c>
      <c r="B354" s="274" t="s">
        <v>741</v>
      </c>
      <c r="C354" s="275" t="s">
        <v>258</v>
      </c>
      <c r="D354" s="275" t="s">
        <v>128</v>
      </c>
      <c r="E354" s="275" t="s">
        <v>129</v>
      </c>
      <c r="F354" s="275" t="s">
        <v>134</v>
      </c>
      <c r="G354" s="275" t="s">
        <v>742</v>
      </c>
      <c r="H354" s="275" t="s">
        <v>131</v>
      </c>
      <c r="I354" s="276"/>
      <c r="J354" s="276">
        <v>205</v>
      </c>
      <c r="K354" s="275" t="s">
        <v>743</v>
      </c>
      <c r="L354" s="277">
        <v>138910.04999999999</v>
      </c>
      <c r="M354" s="276">
        <v>204.99999999999997</v>
      </c>
      <c r="N354" s="276">
        <v>138910.04999999999</v>
      </c>
      <c r="O354" s="183">
        <f t="shared" si="6"/>
        <v>1</v>
      </c>
    </row>
    <row r="355" spans="1:15" x14ac:dyDescent="0.3">
      <c r="A355" s="273">
        <v>614</v>
      </c>
      <c r="B355" s="274" t="s">
        <v>744</v>
      </c>
      <c r="C355" s="275" t="s">
        <v>258</v>
      </c>
      <c r="D355" s="275" t="s">
        <v>128</v>
      </c>
      <c r="E355" s="275" t="s">
        <v>129</v>
      </c>
      <c r="F355" s="275" t="s">
        <v>134</v>
      </c>
      <c r="G355" s="275" t="s">
        <v>745</v>
      </c>
      <c r="H355" s="275" t="s">
        <v>131</v>
      </c>
      <c r="I355" s="276"/>
      <c r="J355" s="276">
        <v>205</v>
      </c>
      <c r="K355" s="275" t="s">
        <v>746</v>
      </c>
      <c r="L355" s="277">
        <v>138910.04999999999</v>
      </c>
      <c r="M355" s="276">
        <v>204.99999999999997</v>
      </c>
      <c r="N355" s="276">
        <v>138910.04999999999</v>
      </c>
      <c r="O355" s="183">
        <f t="shared" si="6"/>
        <v>1</v>
      </c>
    </row>
    <row r="356" spans="1:15" x14ac:dyDescent="0.3">
      <c r="A356" s="273">
        <v>615</v>
      </c>
      <c r="B356" s="274" t="s">
        <v>747</v>
      </c>
      <c r="C356" s="275" t="s">
        <v>258</v>
      </c>
      <c r="D356" s="275" t="s">
        <v>128</v>
      </c>
      <c r="E356" s="275" t="s">
        <v>129</v>
      </c>
      <c r="F356" s="275" t="s">
        <v>133</v>
      </c>
      <c r="G356" s="275" t="s">
        <v>748</v>
      </c>
      <c r="H356" s="275" t="s">
        <v>131</v>
      </c>
      <c r="I356" s="276"/>
      <c r="J356" s="276">
        <v>205</v>
      </c>
      <c r="K356" s="275" t="s">
        <v>749</v>
      </c>
      <c r="L356" s="277">
        <v>138910.04999999999</v>
      </c>
      <c r="M356" s="276">
        <v>204.99999999999997</v>
      </c>
      <c r="N356" s="276">
        <v>138910.04999999999</v>
      </c>
      <c r="O356" s="183">
        <f t="shared" si="6"/>
        <v>1</v>
      </c>
    </row>
    <row r="357" spans="1:15" x14ac:dyDescent="0.3">
      <c r="A357" s="273">
        <v>616</v>
      </c>
      <c r="B357" s="274" t="s">
        <v>750</v>
      </c>
      <c r="C357" s="275" t="s">
        <v>258</v>
      </c>
      <c r="D357" s="275" t="s">
        <v>128</v>
      </c>
      <c r="E357" s="275" t="s">
        <v>129</v>
      </c>
      <c r="F357" s="275" t="s">
        <v>134</v>
      </c>
      <c r="G357" s="275" t="s">
        <v>751</v>
      </c>
      <c r="H357" s="275" t="s">
        <v>131</v>
      </c>
      <c r="I357" s="276"/>
      <c r="J357" s="276">
        <v>230</v>
      </c>
      <c r="K357" s="275" t="s">
        <v>752</v>
      </c>
      <c r="L357" s="277">
        <v>155850.30000000002</v>
      </c>
      <c r="M357" s="276">
        <v>230.00000000000003</v>
      </c>
      <c r="N357" s="276">
        <v>155850.30000000002</v>
      </c>
      <c r="O357" s="183">
        <f t="shared" si="6"/>
        <v>1</v>
      </c>
    </row>
    <row r="358" spans="1:15" x14ac:dyDescent="0.3">
      <c r="A358" s="273">
        <v>617</v>
      </c>
      <c r="B358" s="274" t="s">
        <v>753</v>
      </c>
      <c r="C358" s="275" t="s">
        <v>258</v>
      </c>
      <c r="D358" s="275" t="s">
        <v>128</v>
      </c>
      <c r="E358" s="275" t="s">
        <v>129</v>
      </c>
      <c r="F358" s="275" t="s">
        <v>133</v>
      </c>
      <c r="G358" s="275" t="s">
        <v>754</v>
      </c>
      <c r="H358" s="275" t="s">
        <v>131</v>
      </c>
      <c r="I358" s="276"/>
      <c r="J358" s="276">
        <v>205</v>
      </c>
      <c r="K358" s="275" t="s">
        <v>755</v>
      </c>
      <c r="L358" s="277">
        <v>138910.04999999999</v>
      </c>
      <c r="M358" s="276">
        <v>204.99999999999997</v>
      </c>
      <c r="N358" s="276">
        <v>1341667.8</v>
      </c>
      <c r="O358" s="183">
        <f t="shared" si="6"/>
        <v>1</v>
      </c>
    </row>
    <row r="359" spans="1:15" x14ac:dyDescent="0.3">
      <c r="A359" s="273">
        <v>618</v>
      </c>
      <c r="B359" s="274" t="s">
        <v>756</v>
      </c>
      <c r="C359" s="275" t="s">
        <v>257</v>
      </c>
      <c r="D359" s="275" t="s">
        <v>128</v>
      </c>
      <c r="E359" s="275" t="s">
        <v>132</v>
      </c>
      <c r="F359" s="275" t="s">
        <v>130</v>
      </c>
      <c r="G359" s="275" t="s">
        <v>757</v>
      </c>
      <c r="H359" s="275" t="s">
        <v>132</v>
      </c>
      <c r="I359" s="276">
        <v>312108</v>
      </c>
      <c r="J359" s="276"/>
      <c r="K359" s="275" t="s">
        <v>323</v>
      </c>
      <c r="L359" s="277">
        <v>312108</v>
      </c>
      <c r="M359" s="276">
        <v>460.60123079647582</v>
      </c>
      <c r="N359" s="276">
        <v>0</v>
      </c>
      <c r="O359" s="183">
        <f t="shared" si="6"/>
        <v>1</v>
      </c>
    </row>
    <row r="360" spans="1:15" x14ac:dyDescent="0.3">
      <c r="A360" s="273">
        <v>619</v>
      </c>
      <c r="B360" s="274" t="s">
        <v>758</v>
      </c>
      <c r="C360" s="275" t="s">
        <v>258</v>
      </c>
      <c r="D360" s="275" t="s">
        <v>128</v>
      </c>
      <c r="E360" s="275" t="s">
        <v>129</v>
      </c>
      <c r="F360" s="275" t="s">
        <v>134</v>
      </c>
      <c r="G360" s="275" t="s">
        <v>759</v>
      </c>
      <c r="H360" s="275" t="s">
        <v>131</v>
      </c>
      <c r="I360" s="276"/>
      <c r="J360" s="276">
        <v>390</v>
      </c>
      <c r="K360" s="275" t="s">
        <v>760</v>
      </c>
      <c r="L360" s="277">
        <v>264267.90000000002</v>
      </c>
      <c r="M360" s="276">
        <v>390</v>
      </c>
      <c r="N360" s="276">
        <v>0</v>
      </c>
      <c r="O360" s="183">
        <f t="shared" si="6"/>
        <v>1</v>
      </c>
    </row>
    <row r="361" spans="1:15" x14ac:dyDescent="0.3">
      <c r="A361" s="121"/>
      <c r="B361" s="118"/>
      <c r="C361" s="107"/>
      <c r="D361" s="107"/>
      <c r="E361" s="107"/>
      <c r="F361" s="107"/>
      <c r="G361" s="107"/>
      <c r="H361" s="107"/>
      <c r="I361" s="108"/>
      <c r="J361" s="108"/>
      <c r="K361" s="107"/>
      <c r="L361" s="169"/>
      <c r="M361" s="109"/>
      <c r="N361" s="109"/>
    </row>
    <row r="362" spans="1:15" x14ac:dyDescent="0.3">
      <c r="A362" s="121"/>
      <c r="B362" s="118"/>
      <c r="C362" s="107"/>
      <c r="D362" s="107"/>
      <c r="E362" s="107"/>
      <c r="F362" s="107"/>
      <c r="G362" s="107"/>
      <c r="H362" s="107"/>
      <c r="I362" s="108"/>
      <c r="J362" s="108"/>
      <c r="K362" s="107"/>
      <c r="L362" s="169"/>
      <c r="M362" s="109"/>
      <c r="N362" s="109"/>
    </row>
    <row r="363" spans="1:15" x14ac:dyDescent="0.3">
      <c r="A363" s="121"/>
      <c r="B363" s="118"/>
      <c r="C363" s="107"/>
      <c r="D363" s="107"/>
      <c r="E363" s="107"/>
      <c r="F363" s="107"/>
      <c r="G363" s="107"/>
      <c r="H363" s="107"/>
      <c r="I363" s="108"/>
      <c r="J363" s="108"/>
      <c r="K363" s="107"/>
      <c r="L363" s="169"/>
      <c r="M363" s="109"/>
      <c r="N363" s="109"/>
    </row>
    <row r="364" spans="1:15" x14ac:dyDescent="0.3">
      <c r="A364" s="121"/>
      <c r="B364" s="118"/>
      <c r="C364" s="107"/>
      <c r="D364" s="107"/>
      <c r="E364" s="107"/>
      <c r="F364" s="107"/>
      <c r="G364" s="107"/>
      <c r="H364" s="107"/>
      <c r="I364" s="108"/>
      <c r="J364" s="108"/>
      <c r="K364" s="107"/>
      <c r="L364" s="169"/>
      <c r="M364" s="109"/>
      <c r="N364" s="109"/>
    </row>
    <row r="365" spans="1:15" x14ac:dyDescent="0.3">
      <c r="A365" s="121"/>
      <c r="B365" s="118"/>
      <c r="C365" s="107"/>
      <c r="D365" s="107"/>
      <c r="E365" s="107"/>
      <c r="F365" s="107"/>
      <c r="G365" s="107"/>
      <c r="H365" s="107"/>
      <c r="I365" s="108"/>
      <c r="J365" s="108"/>
      <c r="K365" s="107"/>
      <c r="L365" s="169"/>
      <c r="M365" s="109"/>
      <c r="N365" s="109"/>
    </row>
    <row r="366" spans="1:15" x14ac:dyDescent="0.3">
      <c r="A366" s="121"/>
      <c r="B366" s="118"/>
      <c r="C366" s="107"/>
      <c r="D366" s="107"/>
      <c r="E366" s="107"/>
      <c r="F366" s="107"/>
      <c r="G366" s="107"/>
      <c r="H366" s="107"/>
      <c r="I366" s="108"/>
      <c r="J366" s="108"/>
      <c r="K366" s="107"/>
      <c r="L366" s="169"/>
      <c r="M366" s="109"/>
      <c r="N366" s="109"/>
    </row>
    <row r="367" spans="1:15" x14ac:dyDescent="0.3">
      <c r="A367" s="121"/>
      <c r="B367" s="118"/>
      <c r="C367" s="107"/>
      <c r="D367" s="107"/>
      <c r="E367" s="107"/>
      <c r="F367" s="107"/>
      <c r="G367" s="107"/>
      <c r="H367" s="107"/>
      <c r="I367" s="108"/>
      <c r="J367" s="108"/>
      <c r="K367" s="107"/>
      <c r="L367" s="169"/>
      <c r="M367" s="109"/>
      <c r="N367" s="109"/>
    </row>
    <row r="368" spans="1:15" x14ac:dyDescent="0.3">
      <c r="A368" s="121"/>
      <c r="B368" s="118"/>
      <c r="C368" s="107"/>
      <c r="D368" s="107"/>
      <c r="E368" s="107"/>
      <c r="F368" s="107"/>
      <c r="G368" s="107"/>
      <c r="H368" s="107"/>
      <c r="I368" s="108"/>
      <c r="J368" s="108"/>
      <c r="K368" s="107"/>
      <c r="L368" s="169"/>
      <c r="M368" s="109"/>
      <c r="N368" s="109"/>
    </row>
    <row r="369" spans="1:14" x14ac:dyDescent="0.3">
      <c r="A369" s="121"/>
      <c r="B369" s="118"/>
      <c r="C369" s="107"/>
      <c r="D369" s="107"/>
      <c r="E369" s="107"/>
      <c r="F369" s="107"/>
      <c r="G369" s="107"/>
      <c r="H369" s="107"/>
      <c r="I369" s="108"/>
      <c r="J369" s="108"/>
      <c r="K369" s="107"/>
      <c r="L369" s="169"/>
      <c r="M369" s="109"/>
      <c r="N369" s="109"/>
    </row>
    <row r="370" spans="1:14" x14ac:dyDescent="0.3">
      <c r="A370" s="121"/>
      <c r="B370" s="118"/>
      <c r="C370" s="107"/>
      <c r="D370" s="107"/>
      <c r="E370" s="107"/>
      <c r="F370" s="107"/>
      <c r="G370" s="107"/>
      <c r="H370" s="107"/>
      <c r="I370" s="108"/>
      <c r="J370" s="108"/>
      <c r="K370" s="107"/>
      <c r="L370" s="169"/>
      <c r="M370" s="109"/>
      <c r="N370" s="109"/>
    </row>
    <row r="371" spans="1:14" x14ac:dyDescent="0.3">
      <c r="A371" s="121"/>
      <c r="B371" s="118"/>
      <c r="C371" s="107"/>
      <c r="D371" s="107"/>
      <c r="E371" s="107"/>
      <c r="F371" s="107"/>
      <c r="G371" s="107"/>
      <c r="H371" s="107"/>
      <c r="I371" s="108"/>
      <c r="J371" s="108"/>
      <c r="K371" s="107"/>
      <c r="L371" s="169"/>
      <c r="M371" s="109"/>
      <c r="N371" s="109"/>
    </row>
    <row r="372" spans="1:14" x14ac:dyDescent="0.3">
      <c r="A372" s="121"/>
      <c r="B372" s="118"/>
      <c r="C372" s="107"/>
      <c r="D372" s="107"/>
      <c r="E372" s="107"/>
      <c r="F372" s="107"/>
      <c r="G372" s="107"/>
      <c r="H372" s="107"/>
      <c r="I372" s="108"/>
      <c r="J372" s="108"/>
      <c r="K372" s="107"/>
      <c r="L372" s="169"/>
      <c r="M372" s="109"/>
      <c r="N372" s="109"/>
    </row>
    <row r="373" spans="1:14" x14ac:dyDescent="0.3">
      <c r="A373" s="121"/>
      <c r="B373" s="118"/>
      <c r="C373" s="107"/>
      <c r="D373" s="107"/>
      <c r="E373" s="107"/>
      <c r="F373" s="107"/>
      <c r="G373" s="107"/>
      <c r="H373" s="107"/>
      <c r="I373" s="108"/>
      <c r="J373" s="108"/>
      <c r="K373" s="107"/>
      <c r="L373" s="169"/>
      <c r="M373" s="109"/>
      <c r="N373" s="109"/>
    </row>
    <row r="374" spans="1:14" x14ac:dyDescent="0.3">
      <c r="A374" s="121"/>
      <c r="B374" s="118"/>
      <c r="C374" s="107"/>
      <c r="D374" s="107"/>
      <c r="E374" s="107"/>
      <c r="F374" s="107"/>
      <c r="G374" s="107"/>
      <c r="H374" s="107"/>
      <c r="I374" s="108"/>
      <c r="J374" s="108"/>
      <c r="K374" s="107"/>
      <c r="L374" s="169"/>
      <c r="M374" s="109"/>
      <c r="N374" s="109"/>
    </row>
    <row r="375" spans="1:14" x14ac:dyDescent="0.3">
      <c r="A375" s="121"/>
      <c r="B375" s="118"/>
      <c r="C375" s="107"/>
      <c r="D375" s="107"/>
      <c r="E375" s="107"/>
      <c r="F375" s="107"/>
      <c r="G375" s="107"/>
      <c r="H375" s="107"/>
      <c r="I375" s="108"/>
      <c r="J375" s="108"/>
      <c r="K375" s="107"/>
      <c r="L375" s="169"/>
      <c r="M375" s="109"/>
      <c r="N375" s="109"/>
    </row>
    <row r="376" spans="1:14" x14ac:dyDescent="0.3">
      <c r="A376" s="121"/>
      <c r="B376" s="118"/>
      <c r="C376" s="107"/>
      <c r="D376" s="107"/>
      <c r="E376" s="107"/>
      <c r="F376" s="107"/>
      <c r="G376" s="107"/>
      <c r="H376" s="107"/>
      <c r="I376" s="108"/>
      <c r="J376" s="108"/>
      <c r="K376" s="107"/>
      <c r="L376" s="169"/>
      <c r="M376" s="109"/>
      <c r="N376" s="109"/>
    </row>
    <row r="377" spans="1:14" x14ac:dyDescent="0.3">
      <c r="A377" s="121"/>
      <c r="B377" s="118"/>
      <c r="C377" s="107"/>
      <c r="D377" s="107"/>
      <c r="E377" s="107"/>
      <c r="F377" s="107"/>
      <c r="G377" s="107"/>
      <c r="H377" s="107"/>
      <c r="I377" s="108"/>
      <c r="J377" s="108"/>
      <c r="K377" s="107"/>
      <c r="L377" s="169"/>
      <c r="M377" s="109"/>
      <c r="N377" s="109"/>
    </row>
    <row r="378" spans="1:14" x14ac:dyDescent="0.3">
      <c r="A378" s="121"/>
      <c r="B378" s="118"/>
      <c r="C378" s="107"/>
      <c r="D378" s="107"/>
      <c r="E378" s="107"/>
      <c r="F378" s="107"/>
      <c r="G378" s="107"/>
      <c r="H378" s="107"/>
      <c r="I378" s="108"/>
      <c r="J378" s="108"/>
      <c r="K378" s="107"/>
      <c r="L378" s="169"/>
      <c r="M378" s="109"/>
      <c r="N378" s="109"/>
    </row>
    <row r="379" spans="1:14" x14ac:dyDescent="0.3">
      <c r="A379" s="121"/>
      <c r="B379" s="118"/>
      <c r="C379" s="107"/>
      <c r="D379" s="107"/>
      <c r="E379" s="107"/>
      <c r="F379" s="107"/>
      <c r="G379" s="107"/>
      <c r="H379" s="107"/>
      <c r="I379" s="108"/>
      <c r="J379" s="108"/>
      <c r="K379" s="107"/>
      <c r="L379" s="169"/>
      <c r="M379" s="109"/>
      <c r="N379" s="109"/>
    </row>
    <row r="380" spans="1:14" x14ac:dyDescent="0.3">
      <c r="A380" s="121"/>
      <c r="B380" s="118"/>
      <c r="C380" s="107"/>
      <c r="D380" s="107"/>
      <c r="E380" s="107"/>
      <c r="F380" s="107"/>
      <c r="G380" s="107"/>
      <c r="H380" s="107"/>
      <c r="I380" s="108"/>
      <c r="J380" s="108"/>
      <c r="K380" s="107"/>
      <c r="L380" s="169"/>
      <c r="M380" s="109"/>
      <c r="N380" s="109"/>
    </row>
    <row r="381" spans="1:14" x14ac:dyDescent="0.3">
      <c r="A381" s="121"/>
      <c r="B381" s="118"/>
      <c r="C381" s="107"/>
      <c r="D381" s="107"/>
      <c r="E381" s="107"/>
      <c r="F381" s="107"/>
      <c r="G381" s="107"/>
      <c r="H381" s="107"/>
      <c r="I381" s="108"/>
      <c r="J381" s="108"/>
      <c r="K381" s="107"/>
      <c r="L381" s="169"/>
      <c r="M381" s="109"/>
      <c r="N381" s="109"/>
    </row>
    <row r="382" spans="1:14" x14ac:dyDescent="0.3">
      <c r="A382" s="121"/>
      <c r="B382" s="118"/>
      <c r="C382" s="107"/>
      <c r="D382" s="107"/>
      <c r="E382" s="107"/>
      <c r="F382" s="107"/>
      <c r="G382" s="107"/>
      <c r="H382" s="107"/>
      <c r="I382" s="108"/>
      <c r="J382" s="108"/>
      <c r="K382" s="107"/>
      <c r="L382" s="169"/>
      <c r="M382" s="109"/>
      <c r="N382" s="109"/>
    </row>
    <row r="383" spans="1:14" x14ac:dyDescent="0.3">
      <c r="A383" s="121"/>
      <c r="B383" s="118"/>
      <c r="C383" s="107"/>
      <c r="D383" s="107"/>
      <c r="E383" s="107"/>
      <c r="F383" s="107"/>
      <c r="G383" s="107"/>
      <c r="H383" s="107"/>
      <c r="I383" s="108"/>
      <c r="J383" s="108"/>
      <c r="K383" s="107"/>
      <c r="L383" s="169"/>
      <c r="M383" s="109"/>
      <c r="N383" s="109"/>
    </row>
    <row r="384" spans="1:14" x14ac:dyDescent="0.3">
      <c r="A384" s="121"/>
      <c r="B384" s="118"/>
      <c r="C384" s="107"/>
      <c r="D384" s="107"/>
      <c r="E384" s="107"/>
      <c r="F384" s="107"/>
      <c r="G384" s="107"/>
      <c r="H384" s="107"/>
      <c r="I384" s="108"/>
      <c r="J384" s="108"/>
      <c r="K384" s="107"/>
      <c r="L384" s="169"/>
      <c r="M384" s="109"/>
      <c r="N384" s="109"/>
    </row>
    <row r="385" spans="1:14" x14ac:dyDescent="0.3">
      <c r="A385" s="121"/>
      <c r="B385" s="118"/>
      <c r="C385" s="107"/>
      <c r="D385" s="107"/>
      <c r="E385" s="107"/>
      <c r="F385" s="107"/>
      <c r="G385" s="107"/>
      <c r="H385" s="107"/>
      <c r="I385" s="108"/>
      <c r="J385" s="108"/>
      <c r="K385" s="107"/>
      <c r="L385" s="169"/>
      <c r="M385" s="109"/>
      <c r="N385" s="109"/>
    </row>
    <row r="386" spans="1:14" x14ac:dyDescent="0.3">
      <c r="A386" s="121"/>
      <c r="B386" s="118"/>
      <c r="C386" s="107"/>
      <c r="D386" s="107"/>
      <c r="E386" s="107"/>
      <c r="F386" s="107"/>
      <c r="G386" s="107"/>
      <c r="H386" s="107"/>
      <c r="I386" s="108"/>
      <c r="J386" s="108"/>
      <c r="K386" s="107"/>
      <c r="L386" s="169"/>
      <c r="M386" s="109"/>
      <c r="N386" s="109"/>
    </row>
    <row r="387" spans="1:14" x14ac:dyDescent="0.3">
      <c r="A387" s="121"/>
      <c r="B387" s="118"/>
      <c r="C387" s="107"/>
      <c r="D387" s="107"/>
      <c r="E387" s="107"/>
      <c r="F387" s="107"/>
      <c r="G387" s="107"/>
      <c r="H387" s="107"/>
      <c r="I387" s="108"/>
      <c r="J387" s="108"/>
      <c r="K387" s="107"/>
      <c r="L387" s="169"/>
      <c r="M387" s="109"/>
      <c r="N387" s="109"/>
    </row>
    <row r="388" spans="1:14" x14ac:dyDescent="0.3">
      <c r="A388" s="121"/>
      <c r="B388" s="118"/>
      <c r="C388" s="107"/>
      <c r="D388" s="107"/>
      <c r="E388" s="107"/>
      <c r="F388" s="107"/>
      <c r="G388" s="107"/>
      <c r="H388" s="107"/>
      <c r="I388" s="108"/>
      <c r="J388" s="108"/>
      <c r="K388" s="107"/>
      <c r="L388" s="169"/>
      <c r="M388" s="109"/>
      <c r="N388" s="109"/>
    </row>
    <row r="389" spans="1:14" x14ac:dyDescent="0.3">
      <c r="A389" s="121"/>
      <c r="B389" s="118"/>
      <c r="C389" s="107"/>
      <c r="D389" s="107"/>
      <c r="E389" s="107"/>
      <c r="F389" s="107"/>
      <c r="G389" s="107"/>
      <c r="H389" s="107"/>
      <c r="I389" s="108"/>
      <c r="J389" s="108"/>
      <c r="K389" s="107"/>
      <c r="L389" s="169"/>
      <c r="M389" s="109"/>
      <c r="N389" s="109"/>
    </row>
    <row r="390" spans="1:14" x14ac:dyDescent="0.3">
      <c r="A390" s="121"/>
      <c r="B390" s="118"/>
      <c r="C390" s="107"/>
      <c r="D390" s="107"/>
      <c r="E390" s="107"/>
      <c r="F390" s="107"/>
      <c r="G390" s="107"/>
      <c r="H390" s="107"/>
      <c r="I390" s="108"/>
      <c r="J390" s="108"/>
      <c r="K390" s="107"/>
      <c r="L390" s="169"/>
      <c r="M390" s="109"/>
      <c r="N390" s="109"/>
    </row>
    <row r="391" spans="1:14" x14ac:dyDescent="0.3">
      <c r="A391" s="121"/>
      <c r="B391" s="118"/>
      <c r="C391" s="107"/>
      <c r="D391" s="107"/>
      <c r="E391" s="107"/>
      <c r="F391" s="107"/>
      <c r="G391" s="107"/>
      <c r="H391" s="107"/>
      <c r="I391" s="108"/>
      <c r="J391" s="108"/>
      <c r="K391" s="107"/>
      <c r="L391" s="169"/>
      <c r="M391" s="109"/>
      <c r="N391" s="109"/>
    </row>
    <row r="392" spans="1:14" x14ac:dyDescent="0.3">
      <c r="A392" s="121"/>
      <c r="B392" s="118"/>
      <c r="C392" s="107"/>
      <c r="D392" s="107"/>
      <c r="E392" s="107"/>
      <c r="F392" s="107"/>
      <c r="G392" s="107"/>
      <c r="H392" s="107"/>
      <c r="I392" s="108"/>
      <c r="J392" s="108"/>
      <c r="K392" s="107"/>
      <c r="L392" s="169"/>
      <c r="M392" s="109"/>
      <c r="N392" s="109"/>
    </row>
    <row r="393" spans="1:14" x14ac:dyDescent="0.3">
      <c r="A393" s="121"/>
      <c r="B393" s="118"/>
      <c r="C393" s="107"/>
      <c r="D393" s="107"/>
      <c r="E393" s="107"/>
      <c r="F393" s="107"/>
      <c r="G393" s="107"/>
      <c r="H393" s="107"/>
      <c r="I393" s="108"/>
      <c r="J393" s="108"/>
      <c r="K393" s="107"/>
      <c r="L393" s="169"/>
      <c r="M393" s="109"/>
      <c r="N393" s="109"/>
    </row>
    <row r="394" spans="1:14" x14ac:dyDescent="0.3">
      <c r="A394" s="121"/>
      <c r="B394" s="118"/>
      <c r="C394" s="107"/>
      <c r="D394" s="107"/>
      <c r="E394" s="107"/>
      <c r="F394" s="107"/>
      <c r="G394" s="107"/>
      <c r="H394" s="107"/>
      <c r="I394" s="108"/>
      <c r="J394" s="108"/>
      <c r="K394" s="107"/>
      <c r="L394" s="169"/>
      <c r="M394" s="109"/>
      <c r="N394" s="109"/>
    </row>
    <row r="395" spans="1:14" x14ac:dyDescent="0.3">
      <c r="A395" s="121"/>
      <c r="B395" s="118"/>
      <c r="C395" s="107"/>
      <c r="D395" s="107"/>
      <c r="E395" s="107"/>
      <c r="F395" s="107"/>
      <c r="G395" s="107"/>
      <c r="H395" s="107"/>
      <c r="I395" s="108"/>
      <c r="J395" s="108"/>
      <c r="K395" s="107"/>
      <c r="L395" s="169"/>
      <c r="M395" s="109"/>
      <c r="N395" s="109"/>
    </row>
    <row r="396" spans="1:14" x14ac:dyDescent="0.3">
      <c r="A396" s="121"/>
      <c r="B396" s="118"/>
      <c r="C396" s="107"/>
      <c r="D396" s="107"/>
      <c r="E396" s="107"/>
      <c r="F396" s="107"/>
      <c r="G396" s="107"/>
      <c r="H396" s="107"/>
      <c r="I396" s="108"/>
      <c r="J396" s="108"/>
      <c r="K396" s="107"/>
      <c r="L396" s="169"/>
      <c r="M396" s="109"/>
      <c r="N396" s="109"/>
    </row>
    <row r="397" spans="1:14" x14ac:dyDescent="0.3">
      <c r="A397" s="121"/>
      <c r="B397" s="118"/>
      <c r="C397" s="107"/>
      <c r="D397" s="107"/>
      <c r="E397" s="107"/>
      <c r="F397" s="107"/>
      <c r="G397" s="107"/>
      <c r="H397" s="107"/>
      <c r="I397" s="108"/>
      <c r="J397" s="108"/>
      <c r="K397" s="107"/>
      <c r="L397" s="169"/>
      <c r="M397" s="109"/>
      <c r="N397" s="109"/>
    </row>
    <row r="398" spans="1:14" x14ac:dyDescent="0.3">
      <c r="A398" s="121"/>
      <c r="B398" s="118"/>
      <c r="C398" s="107"/>
      <c r="D398" s="107"/>
      <c r="E398" s="107"/>
      <c r="F398" s="107"/>
      <c r="G398" s="107"/>
      <c r="H398" s="107"/>
      <c r="I398" s="108"/>
      <c r="J398" s="108"/>
      <c r="K398" s="107"/>
      <c r="L398" s="169"/>
      <c r="M398" s="109"/>
      <c r="N398" s="109"/>
    </row>
    <row r="399" spans="1:14" x14ac:dyDescent="0.3">
      <c r="A399" s="121"/>
      <c r="B399" s="118"/>
      <c r="C399" s="107"/>
      <c r="D399" s="107"/>
      <c r="E399" s="107"/>
      <c r="F399" s="107"/>
      <c r="G399" s="107"/>
      <c r="H399" s="107"/>
      <c r="I399" s="108"/>
      <c r="J399" s="108"/>
      <c r="K399" s="107"/>
      <c r="L399" s="169"/>
      <c r="M399" s="109"/>
      <c r="N399" s="109"/>
    </row>
    <row r="400" spans="1:14" x14ac:dyDescent="0.3">
      <c r="A400" s="217"/>
      <c r="B400" s="218"/>
      <c r="C400" s="219"/>
      <c r="D400" s="219"/>
      <c r="E400" s="219"/>
      <c r="F400" s="219"/>
      <c r="G400" s="219"/>
      <c r="H400" s="219"/>
      <c r="I400" s="220"/>
      <c r="J400" s="220"/>
      <c r="K400" s="219"/>
      <c r="L400" s="169"/>
      <c r="M400" s="109"/>
      <c r="N400" s="109"/>
    </row>
    <row r="401" spans="1:21" x14ac:dyDescent="0.3">
      <c r="A401" s="217"/>
      <c r="B401" s="218"/>
      <c r="C401" s="219"/>
      <c r="D401" s="219"/>
      <c r="E401" s="219"/>
      <c r="F401" s="219"/>
      <c r="G401" s="219"/>
      <c r="H401" s="219"/>
      <c r="I401" s="220"/>
      <c r="J401" s="220"/>
      <c r="K401" s="219"/>
      <c r="L401" s="169"/>
      <c r="M401" s="109"/>
      <c r="N401" s="109"/>
    </row>
    <row r="402" spans="1:21" x14ac:dyDescent="0.3">
      <c r="A402" s="217"/>
      <c r="B402" s="218"/>
      <c r="C402" s="219"/>
      <c r="D402" s="219"/>
      <c r="E402" s="219"/>
      <c r="F402" s="219"/>
      <c r="G402" s="219"/>
      <c r="H402" s="219"/>
      <c r="I402" s="220"/>
      <c r="J402" s="220"/>
      <c r="K402" s="219"/>
      <c r="L402" s="169"/>
      <c r="M402" s="109"/>
      <c r="N402" s="109"/>
    </row>
    <row r="403" spans="1:21" x14ac:dyDescent="0.3">
      <c r="A403" s="217"/>
      <c r="B403" s="218"/>
      <c r="C403" s="219"/>
      <c r="D403" s="219"/>
      <c r="E403" s="219"/>
      <c r="F403" s="219"/>
      <c r="G403" s="219"/>
      <c r="H403" s="219"/>
      <c r="I403" s="220"/>
      <c r="J403" s="220"/>
      <c r="K403" s="219"/>
      <c r="L403" s="169"/>
      <c r="M403" s="109"/>
      <c r="N403" s="109"/>
      <c r="U403" s="58" t="s">
        <v>219</v>
      </c>
    </row>
    <row r="404" spans="1:21" x14ac:dyDescent="0.3">
      <c r="A404" s="121"/>
      <c r="B404" s="118"/>
      <c r="C404" s="107"/>
      <c r="D404" s="107"/>
      <c r="E404" s="107"/>
      <c r="F404" s="107"/>
      <c r="G404" s="107"/>
      <c r="H404" s="107"/>
      <c r="I404" s="108"/>
      <c r="J404" s="108"/>
      <c r="K404" s="107"/>
      <c r="L404" s="169">
        <f>I404+J404*EERR!$D$2</f>
        <v>0</v>
      </c>
      <c r="M404" s="109">
        <f>L404/EERR!$D$2</f>
        <v>0</v>
      </c>
      <c r="N404" s="109" t="e">
        <f>SUMIF(Dic!#REF!,A404,Dic!$T$3:$T$114)+SUMIF(Dic!$B$3:$B$114,A404,Dic!$T$3:$T$114)</f>
        <v>#REF!</v>
      </c>
    </row>
    <row r="405" spans="1:21" x14ac:dyDescent="0.3">
      <c r="A405" s="121"/>
      <c r="B405" s="118"/>
      <c r="C405" s="107"/>
      <c r="D405" s="107"/>
      <c r="E405" s="107"/>
      <c r="F405" s="107"/>
      <c r="G405" s="107"/>
      <c r="H405" s="107"/>
      <c r="I405" s="108"/>
      <c r="J405" s="108"/>
      <c r="K405" s="107"/>
      <c r="L405" s="169">
        <f>I405+J405*EERR!$D$2</f>
        <v>0</v>
      </c>
      <c r="M405" s="109">
        <f>L405/EERR!$D$2</f>
        <v>0</v>
      </c>
      <c r="N405" s="109" t="e">
        <f>SUMIF(Dic!#REF!,A405,Dic!$T$3:$T$114)+SUMIF(Dic!$B$3:$B$114,A405,Dic!$T$3:$T$114)</f>
        <v>#REF!</v>
      </c>
    </row>
    <row r="406" spans="1:21" x14ac:dyDescent="0.3">
      <c r="A406" s="121"/>
      <c r="B406" s="118"/>
      <c r="C406" s="107"/>
      <c r="D406" s="107"/>
      <c r="E406" s="107"/>
      <c r="F406" s="107"/>
      <c r="G406" s="107"/>
      <c r="H406" s="107"/>
      <c r="I406" s="108"/>
      <c r="J406" s="108"/>
      <c r="K406" s="107"/>
      <c r="L406" s="169">
        <f>I406+J406*EERR!$D$2</f>
        <v>0</v>
      </c>
      <c r="M406" s="109">
        <f>L406/EERR!$D$2</f>
        <v>0</v>
      </c>
      <c r="N406" s="109" t="e">
        <f>SUMIF(Dic!#REF!,A406,Dic!$T$3:$T$114)+SUMIF(Dic!$B$3:$B$114,A406,Dic!$T$3:$T$114)</f>
        <v>#REF!</v>
      </c>
    </row>
    <row r="407" spans="1:21" x14ac:dyDescent="0.3">
      <c r="A407" s="121"/>
      <c r="B407" s="118"/>
      <c r="C407" s="107"/>
      <c r="D407" s="107"/>
      <c r="E407" s="107"/>
      <c r="F407" s="107"/>
      <c r="G407" s="107"/>
      <c r="H407" s="107"/>
      <c r="I407" s="108"/>
      <c r="J407" s="108"/>
      <c r="K407" s="107"/>
      <c r="L407" s="169">
        <f>I407+J407*EERR!$D$2</f>
        <v>0</v>
      </c>
      <c r="M407" s="109">
        <f>L407/EERR!$D$2</f>
        <v>0</v>
      </c>
      <c r="N407" s="109" t="e">
        <f>SUMIF(Dic!#REF!,A407,Dic!$T$3:$T$114)+SUMIF(Dic!$B$3:$B$114,A407,Dic!$T$3:$T$114)</f>
        <v>#REF!</v>
      </c>
    </row>
    <row r="408" spans="1:21" x14ac:dyDescent="0.3">
      <c r="A408" s="121"/>
      <c r="B408" s="118"/>
      <c r="C408" s="107"/>
      <c r="D408" s="107"/>
      <c r="E408" s="107"/>
      <c r="F408" s="107"/>
      <c r="G408" s="107"/>
      <c r="H408" s="107"/>
      <c r="I408" s="108">
        <f>SUM(I209:I407)</f>
        <v>2993466</v>
      </c>
      <c r="J408" s="108">
        <f>SUM(J209:J407)</f>
        <v>39140.35</v>
      </c>
      <c r="K408" s="107"/>
      <c r="L408" s="169">
        <f>I408+J408*EERR!$D$2</f>
        <v>29686793.296500001</v>
      </c>
      <c r="M408" s="109">
        <f>L408/EERR!$D$2</f>
        <v>43529.660693705184</v>
      </c>
      <c r="N408" s="109" t="e">
        <f>SUMIF(Dic!#REF!,A408,Dic!$T$3:$T$114)+SUMIF(Dic!$B$3:$B$114,A408,Dic!$T$3:$T$114)</f>
        <v>#REF!</v>
      </c>
    </row>
    <row r="412" spans="1:21" x14ac:dyDescent="0.3">
      <c r="A412" s="163"/>
      <c r="B412" s="163"/>
      <c r="C412" s="163"/>
      <c r="D412" s="163"/>
      <c r="E412" s="163"/>
      <c r="F412" s="163"/>
      <c r="G412" s="163"/>
      <c r="H412" s="163"/>
      <c r="I412" s="187"/>
      <c r="J412" s="187"/>
      <c r="K412" s="163"/>
      <c r="L412" s="187">
        <f>Dic!L115</f>
        <v>3226.7000000000007</v>
      </c>
      <c r="M412" s="163"/>
      <c r="N412" s="163"/>
    </row>
    <row r="413" spans="1:21" x14ac:dyDescent="0.3">
      <c r="A413" s="163"/>
      <c r="B413" s="188"/>
      <c r="C413" s="163"/>
      <c r="D413" s="163"/>
      <c r="E413" s="163"/>
      <c r="F413" s="163"/>
      <c r="G413" s="163"/>
      <c r="H413" s="163"/>
      <c r="I413" s="187"/>
      <c r="J413" s="187"/>
      <c r="K413" s="163"/>
      <c r="L413" s="164" t="e">
        <f>SUM(L202:L412)</f>
        <v>#VALUE!</v>
      </c>
    </row>
    <row r="414" spans="1:21" x14ac:dyDescent="0.3">
      <c r="A414" s="163"/>
      <c r="B414" s="188"/>
      <c r="C414" s="163"/>
      <c r="D414" s="163"/>
      <c r="E414" s="163"/>
      <c r="F414" s="163"/>
      <c r="G414" s="163"/>
      <c r="H414" s="163"/>
      <c r="I414" s="187"/>
      <c r="J414" s="187"/>
      <c r="K414" s="163"/>
    </row>
    <row r="415" spans="1:21" x14ac:dyDescent="0.3">
      <c r="A415" s="189"/>
      <c r="B415" s="189"/>
      <c r="C415" s="189"/>
      <c r="D415" s="189"/>
      <c r="E415" s="189"/>
      <c r="F415" s="189"/>
      <c r="G415" s="189" t="s">
        <v>115</v>
      </c>
      <c r="H415" s="189"/>
      <c r="I415" s="190">
        <f>I202</f>
        <v>3089903</v>
      </c>
      <c r="J415" s="190">
        <f>J202</f>
        <v>50621.5</v>
      </c>
      <c r="K415" s="189"/>
      <c r="L415" s="164">
        <v>51431551.622000001</v>
      </c>
    </row>
    <row r="416" spans="1:21" x14ac:dyDescent="0.3">
      <c r="A416" s="189"/>
      <c r="B416" s="189"/>
      <c r="C416" s="189"/>
      <c r="D416" s="189"/>
      <c r="E416" s="189"/>
      <c r="F416" s="189"/>
      <c r="G416" s="189" t="s">
        <v>116</v>
      </c>
      <c r="H416" s="189"/>
      <c r="I416" s="191"/>
      <c r="J416" s="191"/>
      <c r="K416" s="189"/>
    </row>
    <row r="417" spans="1:11" x14ac:dyDescent="0.3">
      <c r="A417" s="189"/>
      <c r="B417" s="189"/>
      <c r="C417" s="189"/>
      <c r="D417" s="189"/>
      <c r="E417" s="189"/>
      <c r="F417" s="189"/>
      <c r="G417" s="189"/>
      <c r="H417" s="189"/>
      <c r="K417" s="164"/>
    </row>
    <row r="418" spans="1:11" x14ac:dyDescent="0.3">
      <c r="A418" s="189"/>
      <c r="B418" s="189"/>
      <c r="C418" s="189"/>
      <c r="D418" s="189"/>
      <c r="E418" s="189"/>
      <c r="F418" s="189"/>
      <c r="G418" s="189"/>
      <c r="H418" s="189"/>
      <c r="I418" s="192"/>
      <c r="J418" s="192"/>
      <c r="K418" s="189"/>
    </row>
    <row r="419" spans="1:11" x14ac:dyDescent="0.3">
      <c r="A419" s="150" t="s">
        <v>104</v>
      </c>
      <c r="B419" s="189"/>
      <c r="C419" s="189"/>
      <c r="D419" s="189"/>
      <c r="E419" s="189"/>
      <c r="F419" s="189"/>
      <c r="G419" s="189"/>
      <c r="H419" s="189"/>
      <c r="I419" s="192"/>
      <c r="J419" s="192"/>
      <c r="K419" s="189"/>
    </row>
    <row r="420" spans="1:11" x14ac:dyDescent="0.3">
      <c r="A420" s="107"/>
      <c r="B420" s="189"/>
      <c r="C420" s="189"/>
      <c r="D420" s="189"/>
      <c r="E420" s="189"/>
      <c r="F420" s="189"/>
      <c r="G420" s="189"/>
      <c r="H420" s="189"/>
      <c r="I420" s="192"/>
      <c r="J420" s="192"/>
      <c r="K420" s="189"/>
    </row>
    <row r="421" spans="1:11" x14ac:dyDescent="0.3">
      <c r="A421" s="107"/>
      <c r="B421" s="189"/>
      <c r="C421" s="189"/>
      <c r="D421" s="189"/>
      <c r="E421" s="189"/>
      <c r="F421" s="189"/>
      <c r="G421" s="189"/>
      <c r="H421" s="189"/>
      <c r="I421" s="192"/>
      <c r="J421" s="192"/>
      <c r="K421" s="189"/>
    </row>
    <row r="422" spans="1:11" x14ac:dyDescent="0.3">
      <c r="A422" s="107"/>
      <c r="B422" s="189"/>
      <c r="C422" s="189"/>
      <c r="D422" s="189"/>
      <c r="E422" s="189"/>
      <c r="F422" s="189"/>
      <c r="G422" s="189"/>
      <c r="H422" s="189"/>
      <c r="I422" s="192"/>
      <c r="J422" s="192"/>
      <c r="K422" s="189"/>
    </row>
    <row r="423" spans="1:11" x14ac:dyDescent="0.3">
      <c r="A423" s="107"/>
      <c r="B423" s="189"/>
      <c r="C423" s="189"/>
      <c r="D423" s="189"/>
      <c r="E423" s="189"/>
      <c r="F423" s="189"/>
      <c r="G423" s="189"/>
      <c r="H423" s="189"/>
      <c r="I423" s="192"/>
      <c r="J423" s="192"/>
      <c r="K423" s="189"/>
    </row>
    <row r="424" spans="1:11" x14ac:dyDescent="0.3">
      <c r="A424" s="107"/>
    </row>
    <row r="425" spans="1:11" x14ac:dyDescent="0.3">
      <c r="A425" s="107"/>
    </row>
    <row r="426" spans="1:11" x14ac:dyDescent="0.3">
      <c r="A426" s="107"/>
    </row>
    <row r="427" spans="1:11" x14ac:dyDescent="0.3">
      <c r="A427" s="107"/>
    </row>
    <row r="428" spans="1:11" x14ac:dyDescent="0.3">
      <c r="A428" s="107"/>
    </row>
    <row r="429" spans="1:11" x14ac:dyDescent="0.3">
      <c r="A429" s="107"/>
    </row>
    <row r="430" spans="1:11" x14ac:dyDescent="0.3">
      <c r="A430" s="107"/>
    </row>
    <row r="431" spans="1:11" x14ac:dyDescent="0.3">
      <c r="A431" s="107"/>
    </row>
    <row r="432" spans="1:11" x14ac:dyDescent="0.3">
      <c r="A432" s="107"/>
    </row>
    <row r="433" spans="1:1" x14ac:dyDescent="0.3">
      <c r="A433" s="107"/>
    </row>
    <row r="434" spans="1:1" x14ac:dyDescent="0.3">
      <c r="A434" s="107"/>
    </row>
  </sheetData>
  <autoFilter ref="A1:S360"/>
  <sortState ref="A2:K175">
    <sortCondition ref="A2:A17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abSelected="1" topLeftCell="C92" zoomScale="85" zoomScaleNormal="85" workbookViewId="0">
      <selection activeCell="L111" sqref="L111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4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5" customWidth="1"/>
    <col min="20" max="20" width="11.109375" style="105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x14ac:dyDescent="0.25">
      <c r="A1" s="26"/>
      <c r="M1" s="147"/>
      <c r="N1" s="57"/>
      <c r="O1" s="131" t="s">
        <v>119</v>
      </c>
      <c r="P1" s="132"/>
      <c r="Q1" s="132"/>
      <c r="R1" s="132"/>
      <c r="S1" s="133"/>
      <c r="T1" s="133"/>
      <c r="U1" s="132"/>
      <c r="V1" s="132"/>
      <c r="W1" s="132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174</v>
      </c>
      <c r="K2" s="60" t="s">
        <v>120</v>
      </c>
      <c r="L2" s="116"/>
      <c r="M2" s="147"/>
      <c r="N2" s="110"/>
      <c r="O2" s="206" t="s">
        <v>5</v>
      </c>
      <c r="P2" s="206" t="s">
        <v>199</v>
      </c>
      <c r="Q2" s="206" t="s">
        <v>200</v>
      </c>
      <c r="R2" s="206" t="s">
        <v>201</v>
      </c>
      <c r="S2" s="206" t="s">
        <v>202</v>
      </c>
      <c r="T2" s="206" t="s">
        <v>117</v>
      </c>
      <c r="U2" s="206" t="s">
        <v>68</v>
      </c>
      <c r="V2" s="206" t="s">
        <v>203</v>
      </c>
      <c r="W2" s="206" t="s">
        <v>204</v>
      </c>
    </row>
    <row r="3" spans="1:25" ht="18" customHeight="1" x14ac:dyDescent="0.35">
      <c r="A3" s="26"/>
      <c r="B3" s="161" t="s">
        <v>1393</v>
      </c>
      <c r="C3" s="162" t="s">
        <v>224</v>
      </c>
      <c r="D3" s="162" t="s">
        <v>248</v>
      </c>
      <c r="E3" s="162" t="s">
        <v>168</v>
      </c>
      <c r="F3" s="246">
        <v>0</v>
      </c>
      <c r="G3" s="162">
        <v>6000</v>
      </c>
      <c r="H3" s="162">
        <v>5921438</v>
      </c>
      <c r="I3" s="193" t="s">
        <v>196</v>
      </c>
      <c r="J3" s="146" t="str">
        <f>IFERROR(VLOOKUP(-F3,$T$3:$W$50,4,FALSE),"")</f>
        <v/>
      </c>
      <c r="K3" s="146" t="str">
        <f>IFERROR(VLOOKUP(-F3,$T$3:$W$50,3,FALSE),"")</f>
        <v/>
      </c>
      <c r="L3" s="172"/>
      <c r="M3" s="110"/>
      <c r="N3" s="110"/>
      <c r="O3" s="231" t="s">
        <v>1407</v>
      </c>
      <c r="P3" s="232" t="s">
        <v>1409</v>
      </c>
      <c r="Q3" s="232" t="s">
        <v>1410</v>
      </c>
      <c r="R3" s="232" t="s">
        <v>163</v>
      </c>
      <c r="S3" s="233" t="s">
        <v>1411</v>
      </c>
      <c r="T3" s="290">
        <v>-1700000</v>
      </c>
      <c r="U3" s="232" t="s">
        <v>161</v>
      </c>
      <c r="V3" s="232" t="s">
        <v>1412</v>
      </c>
      <c r="W3" s="234" t="s">
        <v>1413</v>
      </c>
    </row>
    <row r="4" spans="1:25" ht="18" customHeight="1" x14ac:dyDescent="0.35">
      <c r="A4" s="26"/>
      <c r="B4" s="161" t="s">
        <v>1393</v>
      </c>
      <c r="C4" s="162" t="s">
        <v>140</v>
      </c>
      <c r="D4" s="162" t="s">
        <v>145</v>
      </c>
      <c r="E4" s="162" t="s">
        <v>168</v>
      </c>
      <c r="F4" s="246">
        <v>0</v>
      </c>
      <c r="G4" s="162">
        <v>5000000</v>
      </c>
      <c r="H4" s="162">
        <v>5915438</v>
      </c>
      <c r="I4" s="193" t="s">
        <v>152</v>
      </c>
      <c r="J4" s="146" t="str">
        <f t="shared" ref="J4:J67" si="0">IFERROR(VLOOKUP(-F4,$T$3:$W$50,4,FALSE),"")</f>
        <v/>
      </c>
      <c r="K4" s="146" t="str">
        <f t="shared" ref="K4:K67" si="1">IFERROR(VLOOKUP(-F4,$T$3:$W$50,3,FALSE),"")</f>
        <v/>
      </c>
      <c r="L4" s="172"/>
      <c r="M4" s="110"/>
      <c r="N4" s="110"/>
      <c r="O4" s="235" t="s">
        <v>1404</v>
      </c>
      <c r="P4" s="232" t="s">
        <v>1414</v>
      </c>
      <c r="Q4" s="232" t="s">
        <v>242</v>
      </c>
      <c r="R4" s="232" t="s">
        <v>163</v>
      </c>
      <c r="S4" s="233" t="s">
        <v>243</v>
      </c>
      <c r="T4" s="290">
        <v>-1262862</v>
      </c>
      <c r="U4" s="232" t="s">
        <v>161</v>
      </c>
      <c r="V4" s="232" t="s">
        <v>244</v>
      </c>
      <c r="W4" s="234" t="s">
        <v>1415</v>
      </c>
      <c r="Y4" s="210"/>
    </row>
    <row r="5" spans="1:25" ht="18" customHeight="1" x14ac:dyDescent="0.35">
      <c r="A5" s="26"/>
      <c r="B5" s="161" t="s">
        <v>1393</v>
      </c>
      <c r="C5" s="162" t="s">
        <v>140</v>
      </c>
      <c r="D5" s="162" t="s">
        <v>144</v>
      </c>
      <c r="E5" s="162" t="s">
        <v>168</v>
      </c>
      <c r="F5" s="246">
        <v>2500000</v>
      </c>
      <c r="G5" s="162">
        <v>0</v>
      </c>
      <c r="H5" s="162">
        <v>915438</v>
      </c>
      <c r="I5" s="193" t="s">
        <v>192</v>
      </c>
      <c r="J5" s="146" t="str">
        <f t="shared" si="0"/>
        <v xml:space="preserve"> </v>
      </c>
      <c r="K5" s="146" t="str">
        <f t="shared" si="1"/>
        <v>SOCIEDAD HOTELERA ZAMORA RAMIREZ HERMANOS LIM</v>
      </c>
      <c r="L5" s="172"/>
      <c r="M5" s="110"/>
      <c r="N5" s="110"/>
      <c r="O5" s="235" t="s">
        <v>1404</v>
      </c>
      <c r="P5" s="232" t="s">
        <v>1416</v>
      </c>
      <c r="Q5" s="232" t="s">
        <v>166</v>
      </c>
      <c r="R5" s="232" t="s">
        <v>162</v>
      </c>
      <c r="S5" s="233" t="s">
        <v>249</v>
      </c>
      <c r="T5" s="290">
        <v>-1130100</v>
      </c>
      <c r="U5" s="232" t="s">
        <v>161</v>
      </c>
      <c r="V5" s="232" t="s">
        <v>250</v>
      </c>
      <c r="W5" s="234" t="s">
        <v>1415</v>
      </c>
      <c r="Y5" s="210"/>
    </row>
    <row r="6" spans="1:25" ht="18" customHeight="1" x14ac:dyDescent="0.35">
      <c r="A6" s="26"/>
      <c r="B6" s="161" t="s">
        <v>1393</v>
      </c>
      <c r="C6" s="162" t="s">
        <v>148</v>
      </c>
      <c r="D6" s="162" t="s">
        <v>149</v>
      </c>
      <c r="E6" s="162" t="s">
        <v>168</v>
      </c>
      <c r="F6" s="246">
        <v>18960</v>
      </c>
      <c r="G6" s="162">
        <v>0</v>
      </c>
      <c r="H6" s="162">
        <v>3415438</v>
      </c>
      <c r="I6" s="193" t="s">
        <v>193</v>
      </c>
      <c r="J6" s="146" t="str">
        <f t="shared" si="0"/>
        <v/>
      </c>
      <c r="K6" s="146" t="str">
        <f t="shared" si="1"/>
        <v/>
      </c>
      <c r="L6" s="172"/>
      <c r="M6" s="110"/>
      <c r="N6" s="110"/>
      <c r="O6" s="235" t="s">
        <v>1404</v>
      </c>
      <c r="P6" s="232" t="s">
        <v>1417</v>
      </c>
      <c r="Q6" s="232" t="s">
        <v>223</v>
      </c>
      <c r="R6" s="232" t="s">
        <v>251</v>
      </c>
      <c r="S6" s="233" t="s">
        <v>777</v>
      </c>
      <c r="T6" s="290">
        <v>-607769</v>
      </c>
      <c r="U6" s="232" t="s">
        <v>161</v>
      </c>
      <c r="V6" s="232" t="s">
        <v>778</v>
      </c>
      <c r="W6" s="234" t="s">
        <v>1415</v>
      </c>
      <c r="Y6" s="210"/>
    </row>
    <row r="7" spans="1:25" s="98" customFormat="1" ht="18" customHeight="1" x14ac:dyDescent="0.35">
      <c r="A7" s="26"/>
      <c r="B7" s="161" t="s">
        <v>1394</v>
      </c>
      <c r="C7" s="162" t="s">
        <v>140</v>
      </c>
      <c r="D7" s="162" t="s">
        <v>144</v>
      </c>
      <c r="E7" s="162" t="s">
        <v>168</v>
      </c>
      <c r="F7" s="246">
        <v>76755</v>
      </c>
      <c r="G7" s="162">
        <v>0</v>
      </c>
      <c r="H7" s="162">
        <v>5036685</v>
      </c>
      <c r="I7" s="193" t="s">
        <v>9</v>
      </c>
      <c r="J7" s="146" t="str">
        <f t="shared" si="0"/>
        <v>fact 489, 561</v>
      </c>
      <c r="K7" s="146" t="str">
        <f t="shared" si="1"/>
        <v xml:space="preserve">RICHARD SORIANO                              </v>
      </c>
      <c r="L7" s="172"/>
      <c r="M7" s="110"/>
      <c r="N7" s="110"/>
      <c r="O7" s="235" t="s">
        <v>1404</v>
      </c>
      <c r="P7" s="232" t="s">
        <v>1418</v>
      </c>
      <c r="Q7" s="232" t="s">
        <v>265</v>
      </c>
      <c r="R7" s="232" t="s">
        <v>163</v>
      </c>
      <c r="S7" s="233" t="s">
        <v>266</v>
      </c>
      <c r="T7" s="290">
        <v>-604334</v>
      </c>
      <c r="U7" s="232" t="s">
        <v>161</v>
      </c>
      <c r="V7" s="232" t="s">
        <v>267</v>
      </c>
      <c r="W7" s="234" t="s">
        <v>1415</v>
      </c>
      <c r="Y7" s="210"/>
    </row>
    <row r="8" spans="1:25" ht="18" customHeight="1" x14ac:dyDescent="0.35">
      <c r="A8" s="26"/>
      <c r="B8" s="161" t="s">
        <v>1394</v>
      </c>
      <c r="C8" s="162" t="s">
        <v>140</v>
      </c>
      <c r="D8" s="162" t="s">
        <v>141</v>
      </c>
      <c r="E8" s="162" t="s">
        <v>168</v>
      </c>
      <c r="F8" s="246">
        <v>72031</v>
      </c>
      <c r="G8" s="162">
        <v>0</v>
      </c>
      <c r="H8" s="162">
        <v>5113440</v>
      </c>
      <c r="I8" s="193" t="s">
        <v>9</v>
      </c>
      <c r="J8" s="146" t="str">
        <f t="shared" si="0"/>
        <v>fact 1391966</v>
      </c>
      <c r="K8" s="146" t="str">
        <f t="shared" si="1"/>
        <v xml:space="preserve">ECOLAB                                       </v>
      </c>
      <c r="L8" s="172"/>
      <c r="M8" s="110"/>
      <c r="N8" s="110"/>
      <c r="O8" s="231" t="s">
        <v>1404</v>
      </c>
      <c r="P8" s="232" t="s">
        <v>1419</v>
      </c>
      <c r="Q8" s="232" t="s">
        <v>288</v>
      </c>
      <c r="R8" s="232" t="s">
        <v>163</v>
      </c>
      <c r="S8" s="233" t="s">
        <v>289</v>
      </c>
      <c r="T8" s="290">
        <v>-562367</v>
      </c>
      <c r="U8" s="232" t="s">
        <v>161</v>
      </c>
      <c r="V8" s="232" t="s">
        <v>290</v>
      </c>
      <c r="W8" s="234" t="s">
        <v>1415</v>
      </c>
      <c r="Y8" s="210"/>
    </row>
    <row r="9" spans="1:25" ht="18" customHeight="1" x14ac:dyDescent="0.35">
      <c r="A9" s="26"/>
      <c r="B9" s="161" t="s">
        <v>1394</v>
      </c>
      <c r="C9" s="162" t="s">
        <v>140</v>
      </c>
      <c r="D9" s="162" t="s">
        <v>141</v>
      </c>
      <c r="E9" s="162" t="s">
        <v>168</v>
      </c>
      <c r="F9" s="246">
        <v>428554</v>
      </c>
      <c r="G9" s="162">
        <v>0</v>
      </c>
      <c r="H9" s="162">
        <v>5185471</v>
      </c>
      <c r="I9" s="193" t="s">
        <v>9</v>
      </c>
      <c r="J9" s="146" t="str">
        <f t="shared" si="0"/>
        <v>fact 10507,10610,10666, 10791</v>
      </c>
      <c r="K9" s="146" t="str">
        <f t="shared" si="1"/>
        <v xml:space="preserve">Nieva Soft EIRL                              </v>
      </c>
      <c r="L9" s="172"/>
      <c r="M9" s="110"/>
      <c r="N9" s="110"/>
      <c r="O9" s="231" t="s">
        <v>1404</v>
      </c>
      <c r="P9" s="232" t="s">
        <v>1420</v>
      </c>
      <c r="Q9" s="232" t="s">
        <v>165</v>
      </c>
      <c r="R9" s="232" t="s">
        <v>163</v>
      </c>
      <c r="S9" s="233" t="s">
        <v>246</v>
      </c>
      <c r="T9" s="290">
        <v>-591643</v>
      </c>
      <c r="U9" s="232" t="s">
        <v>161</v>
      </c>
      <c r="V9" s="232" t="s">
        <v>170</v>
      </c>
      <c r="W9" s="234" t="s">
        <v>1415</v>
      </c>
      <c r="Y9" s="210"/>
    </row>
    <row r="10" spans="1:25" ht="18" customHeight="1" x14ac:dyDescent="0.35">
      <c r="A10" s="26"/>
      <c r="B10" s="161" t="s">
        <v>1394</v>
      </c>
      <c r="C10" s="162" t="s">
        <v>140</v>
      </c>
      <c r="D10" s="162" t="s">
        <v>141</v>
      </c>
      <c r="E10" s="162" t="s">
        <v>168</v>
      </c>
      <c r="F10" s="246">
        <v>131056</v>
      </c>
      <c r="G10" s="162">
        <v>0</v>
      </c>
      <c r="H10" s="162">
        <v>5614025</v>
      </c>
      <c r="I10" s="193" t="s">
        <v>194</v>
      </c>
      <c r="J10" s="146" t="str">
        <f t="shared" si="0"/>
        <v>Fact 636646</v>
      </c>
      <c r="K10" s="146" t="str">
        <f t="shared" si="1"/>
        <v xml:space="preserve">Acepta.com                                   </v>
      </c>
      <c r="L10" s="172"/>
      <c r="M10" s="110"/>
      <c r="N10" s="110"/>
      <c r="O10" s="231" t="s">
        <v>1404</v>
      </c>
      <c r="P10" s="232" t="s">
        <v>1421</v>
      </c>
      <c r="Q10" s="232" t="s">
        <v>171</v>
      </c>
      <c r="R10" s="232" t="s">
        <v>163</v>
      </c>
      <c r="S10" s="233" t="s">
        <v>247</v>
      </c>
      <c r="T10" s="290">
        <v>-425383</v>
      </c>
      <c r="U10" s="232" t="s">
        <v>161</v>
      </c>
      <c r="V10" s="232" t="s">
        <v>172</v>
      </c>
      <c r="W10" s="234" t="s">
        <v>1415</v>
      </c>
      <c r="Y10" s="210"/>
    </row>
    <row r="11" spans="1:25" ht="18" customHeight="1" x14ac:dyDescent="0.35">
      <c r="A11" s="26"/>
      <c r="B11" s="161" t="s">
        <v>1394</v>
      </c>
      <c r="C11" s="162" t="s">
        <v>140</v>
      </c>
      <c r="D11" s="162" t="s">
        <v>141</v>
      </c>
      <c r="E11" s="162" t="s">
        <v>168</v>
      </c>
      <c r="F11" s="246">
        <v>147439</v>
      </c>
      <c r="G11" s="162">
        <v>0</v>
      </c>
      <c r="H11" s="162">
        <v>5745081</v>
      </c>
      <c r="I11" s="193" t="s">
        <v>193</v>
      </c>
      <c r="J11" s="146" t="str">
        <f t="shared" si="0"/>
        <v>fact 200851</v>
      </c>
      <c r="K11" s="146" t="str">
        <f t="shared" si="1"/>
        <v xml:space="preserve">Truly Nolen Chile SA                         </v>
      </c>
      <c r="L11" s="172"/>
      <c r="M11" s="110"/>
      <c r="N11" s="110"/>
      <c r="O11" s="231" t="s">
        <v>1404</v>
      </c>
      <c r="P11" s="232" t="s">
        <v>1422</v>
      </c>
      <c r="Q11" s="232" t="s">
        <v>262</v>
      </c>
      <c r="R11" s="232" t="s">
        <v>163</v>
      </c>
      <c r="S11" s="233" t="s">
        <v>263</v>
      </c>
      <c r="T11" s="290">
        <v>-336476</v>
      </c>
      <c r="U11" s="232" t="s">
        <v>161</v>
      </c>
      <c r="V11" s="232" t="s">
        <v>264</v>
      </c>
      <c r="W11" s="234" t="s">
        <v>1415</v>
      </c>
      <c r="Y11" s="210"/>
    </row>
    <row r="12" spans="1:25" ht="18" customHeight="1" x14ac:dyDescent="0.35">
      <c r="A12" s="26"/>
      <c r="B12" s="161" t="s">
        <v>1394</v>
      </c>
      <c r="C12" s="162" t="s">
        <v>140</v>
      </c>
      <c r="D12" s="162" t="s">
        <v>144</v>
      </c>
      <c r="E12" s="162" t="s">
        <v>168</v>
      </c>
      <c r="F12" s="246">
        <v>28918</v>
      </c>
      <c r="G12" s="162">
        <v>0</v>
      </c>
      <c r="H12" s="162">
        <v>5892520</v>
      </c>
      <c r="I12" s="193" t="s">
        <v>9</v>
      </c>
      <c r="J12" s="146" t="str">
        <f t="shared" si="0"/>
        <v>Fact 1841</v>
      </c>
      <c r="K12" s="146" t="str">
        <f t="shared" si="1"/>
        <v xml:space="preserve">Panaderia La Franchuteria                    </v>
      </c>
      <c r="L12" s="172"/>
      <c r="M12" s="110"/>
      <c r="N12" s="110"/>
      <c r="O12" s="231" t="s">
        <v>1404</v>
      </c>
      <c r="P12" s="232" t="s">
        <v>1423</v>
      </c>
      <c r="Q12" s="232" t="s">
        <v>226</v>
      </c>
      <c r="R12" s="232" t="s">
        <v>163</v>
      </c>
      <c r="S12" s="233" t="s">
        <v>245</v>
      </c>
      <c r="T12" s="290">
        <v>-266933</v>
      </c>
      <c r="U12" s="232" t="s">
        <v>161</v>
      </c>
      <c r="V12" s="232" t="s">
        <v>227</v>
      </c>
      <c r="W12" s="234" t="s">
        <v>1415</v>
      </c>
      <c r="Y12" s="210"/>
    </row>
    <row r="13" spans="1:25" ht="18" customHeight="1" x14ac:dyDescent="0.35">
      <c r="A13" s="26"/>
      <c r="B13" s="161" t="s">
        <v>1395</v>
      </c>
      <c r="C13" s="162" t="s">
        <v>142</v>
      </c>
      <c r="D13" s="162" t="s">
        <v>143</v>
      </c>
      <c r="E13" s="162" t="s">
        <v>168</v>
      </c>
      <c r="F13" s="246">
        <v>11586</v>
      </c>
      <c r="G13" s="162">
        <v>0</v>
      </c>
      <c r="H13" s="162">
        <v>3730613</v>
      </c>
      <c r="I13" s="193" t="s">
        <v>191</v>
      </c>
      <c r="J13" s="146" t="str">
        <f t="shared" si="0"/>
        <v/>
      </c>
      <c r="K13" s="146" t="str">
        <f t="shared" si="1"/>
        <v/>
      </c>
      <c r="L13" s="172"/>
      <c r="M13" s="110"/>
      <c r="N13" s="110"/>
      <c r="O13" s="231" t="s">
        <v>1404</v>
      </c>
      <c r="P13" s="232" t="s">
        <v>1424</v>
      </c>
      <c r="Q13" s="232" t="s">
        <v>220</v>
      </c>
      <c r="R13" s="232" t="s">
        <v>163</v>
      </c>
      <c r="S13" s="233" t="s">
        <v>241</v>
      </c>
      <c r="T13" s="290">
        <v>-209553</v>
      </c>
      <c r="U13" s="232" t="s">
        <v>161</v>
      </c>
      <c r="V13" s="232" t="s">
        <v>261</v>
      </c>
      <c r="W13" s="234" t="s">
        <v>1415</v>
      </c>
      <c r="Y13" s="210"/>
    </row>
    <row r="14" spans="1:25" ht="18" customHeight="1" x14ac:dyDescent="0.35">
      <c r="A14" s="26"/>
      <c r="B14" s="161" t="s">
        <v>1395</v>
      </c>
      <c r="C14" s="162" t="s">
        <v>140</v>
      </c>
      <c r="D14" s="162" t="s">
        <v>141</v>
      </c>
      <c r="E14" s="162" t="s">
        <v>168</v>
      </c>
      <c r="F14" s="246">
        <v>507654</v>
      </c>
      <c r="G14" s="162">
        <v>0</v>
      </c>
      <c r="H14" s="162">
        <v>3742199</v>
      </c>
      <c r="I14" s="193" t="s">
        <v>9</v>
      </c>
      <c r="J14" s="146" t="str">
        <f t="shared" si="0"/>
        <v>presup 12358</v>
      </c>
      <c r="K14" s="146" t="str">
        <f t="shared" si="1"/>
        <v xml:space="preserve">Horus Promotion &amp; Marketing Ltda             </v>
      </c>
      <c r="L14" s="172"/>
      <c r="M14" s="110"/>
      <c r="N14" s="110"/>
      <c r="O14" s="231" t="s">
        <v>1404</v>
      </c>
      <c r="P14" s="232" t="s">
        <v>1425</v>
      </c>
      <c r="Q14" s="232" t="s">
        <v>283</v>
      </c>
      <c r="R14" s="232" t="s">
        <v>163</v>
      </c>
      <c r="S14" s="233" t="s">
        <v>284</v>
      </c>
      <c r="T14" s="290">
        <v>-160000</v>
      </c>
      <c r="U14" s="232" t="s">
        <v>161</v>
      </c>
      <c r="V14" s="232" t="s">
        <v>285</v>
      </c>
      <c r="W14" s="234" t="s">
        <v>1415</v>
      </c>
      <c r="Y14" s="210"/>
    </row>
    <row r="15" spans="1:25" ht="18" customHeight="1" x14ac:dyDescent="0.35">
      <c r="A15" s="26"/>
      <c r="B15" s="161" t="s">
        <v>1395</v>
      </c>
      <c r="C15" s="162" t="s">
        <v>140</v>
      </c>
      <c r="D15" s="162" t="s">
        <v>145</v>
      </c>
      <c r="E15" s="162" t="s">
        <v>168</v>
      </c>
      <c r="F15" s="246">
        <v>0</v>
      </c>
      <c r="G15" s="162">
        <v>3500000</v>
      </c>
      <c r="H15" s="162">
        <v>4249853</v>
      </c>
      <c r="I15" s="193" t="s">
        <v>152</v>
      </c>
      <c r="J15" s="146" t="str">
        <f t="shared" si="0"/>
        <v/>
      </c>
      <c r="K15" s="146" t="str">
        <f t="shared" si="1"/>
        <v/>
      </c>
      <c r="L15" s="172"/>
      <c r="M15" s="110"/>
      <c r="N15" s="110"/>
      <c r="O15" s="231" t="s">
        <v>1404</v>
      </c>
      <c r="P15" s="232" t="s">
        <v>1426</v>
      </c>
      <c r="Q15" s="232" t="s">
        <v>364</v>
      </c>
      <c r="R15" s="232" t="s">
        <v>163</v>
      </c>
      <c r="S15" s="233" t="s">
        <v>365</v>
      </c>
      <c r="T15" s="290">
        <v>-176000</v>
      </c>
      <c r="U15" s="232" t="s">
        <v>161</v>
      </c>
      <c r="V15" s="232" t="s">
        <v>366</v>
      </c>
      <c r="W15" s="234" t="s">
        <v>1415</v>
      </c>
      <c r="Y15" s="210"/>
    </row>
    <row r="16" spans="1:25" ht="18" customHeight="1" x14ac:dyDescent="0.35">
      <c r="A16" s="26"/>
      <c r="B16" s="161" t="s">
        <v>1395</v>
      </c>
      <c r="C16" s="162" t="s">
        <v>146</v>
      </c>
      <c r="D16" s="162" t="s">
        <v>147</v>
      </c>
      <c r="E16" s="162" t="s">
        <v>168</v>
      </c>
      <c r="F16" s="246">
        <v>4286832</v>
      </c>
      <c r="G16" s="162">
        <v>0</v>
      </c>
      <c r="H16" s="162">
        <v>749853</v>
      </c>
      <c r="I16" s="193" t="s">
        <v>22</v>
      </c>
      <c r="J16" s="146" t="str">
        <f t="shared" si="0"/>
        <v/>
      </c>
      <c r="K16" s="146" t="str">
        <f t="shared" si="1"/>
        <v/>
      </c>
      <c r="L16" s="172"/>
      <c r="M16" s="110"/>
      <c r="N16" s="110"/>
      <c r="O16" s="231" t="s">
        <v>1404</v>
      </c>
      <c r="P16" s="232" t="s">
        <v>1427</v>
      </c>
      <c r="Q16" s="232" t="s">
        <v>1428</v>
      </c>
      <c r="R16" s="232" t="s">
        <v>163</v>
      </c>
      <c r="S16" s="233" t="s">
        <v>1429</v>
      </c>
      <c r="T16" s="290">
        <v>-243118</v>
      </c>
      <c r="U16" s="232" t="s">
        <v>161</v>
      </c>
      <c r="V16" s="232" t="s">
        <v>1430</v>
      </c>
      <c r="W16" s="234" t="s">
        <v>1415</v>
      </c>
      <c r="Y16" s="210"/>
    </row>
    <row r="17" spans="1:25" ht="18" customHeight="1" x14ac:dyDescent="0.35">
      <c r="A17" s="26"/>
      <c r="B17" s="161" t="s">
        <v>1396</v>
      </c>
      <c r="C17" s="162" t="s">
        <v>224</v>
      </c>
      <c r="D17" s="162" t="s">
        <v>248</v>
      </c>
      <c r="E17" s="162" t="s">
        <v>168</v>
      </c>
      <c r="F17" s="246">
        <v>0</v>
      </c>
      <c r="G17" s="162">
        <v>11000</v>
      </c>
      <c r="H17" s="162">
        <v>3741613</v>
      </c>
      <c r="I17" s="193" t="s">
        <v>196</v>
      </c>
      <c r="J17" s="146" t="str">
        <f t="shared" si="0"/>
        <v/>
      </c>
      <c r="K17" s="146" t="str">
        <f t="shared" si="1"/>
        <v/>
      </c>
      <c r="L17" s="14"/>
      <c r="M17" s="110"/>
      <c r="N17" s="110"/>
      <c r="O17" s="231" t="s">
        <v>1404</v>
      </c>
      <c r="P17" s="232" t="s">
        <v>1431</v>
      </c>
      <c r="Q17" s="232" t="s">
        <v>779</v>
      </c>
      <c r="R17" s="232" t="s">
        <v>163</v>
      </c>
      <c r="S17" s="233" t="s">
        <v>780</v>
      </c>
      <c r="T17" s="290">
        <v>-126000</v>
      </c>
      <c r="U17" s="232" t="s">
        <v>161</v>
      </c>
      <c r="V17" s="232" t="s">
        <v>781</v>
      </c>
      <c r="W17" s="234" t="s">
        <v>1415</v>
      </c>
      <c r="Y17" s="210"/>
    </row>
    <row r="18" spans="1:25" ht="18" customHeight="1" x14ac:dyDescent="0.35">
      <c r="A18" s="26"/>
      <c r="B18" s="161" t="s">
        <v>1397</v>
      </c>
      <c r="C18" s="162" t="s">
        <v>140</v>
      </c>
      <c r="D18" s="162" t="s">
        <v>145</v>
      </c>
      <c r="E18" s="162" t="s">
        <v>168</v>
      </c>
      <c r="F18" s="246">
        <v>0</v>
      </c>
      <c r="G18" s="162">
        <v>165154</v>
      </c>
      <c r="H18" s="162">
        <v>3906767</v>
      </c>
      <c r="I18" s="193" t="s">
        <v>196</v>
      </c>
      <c r="J18" s="146" t="str">
        <f t="shared" si="0"/>
        <v/>
      </c>
      <c r="K18" s="146" t="str">
        <f t="shared" si="1"/>
        <v/>
      </c>
      <c r="L18" s="172"/>
      <c r="M18" s="110"/>
      <c r="N18" s="110"/>
      <c r="O18" s="231" t="s">
        <v>1404</v>
      </c>
      <c r="P18" s="232" t="s">
        <v>1432</v>
      </c>
      <c r="Q18" s="232" t="s">
        <v>1433</v>
      </c>
      <c r="R18" s="232" t="s">
        <v>163</v>
      </c>
      <c r="S18" s="233" t="s">
        <v>1434</v>
      </c>
      <c r="T18" s="290">
        <v>-80000</v>
      </c>
      <c r="U18" s="232" t="s">
        <v>161</v>
      </c>
      <c r="V18" s="232" t="s">
        <v>1435</v>
      </c>
      <c r="W18" s="234" t="s">
        <v>1415</v>
      </c>
      <c r="Y18" s="210"/>
    </row>
    <row r="19" spans="1:25" ht="18" customHeight="1" x14ac:dyDescent="0.35">
      <c r="A19" s="26"/>
      <c r="B19" s="161" t="s">
        <v>1398</v>
      </c>
      <c r="C19" s="162" t="s">
        <v>140</v>
      </c>
      <c r="D19" s="162" t="s">
        <v>141</v>
      </c>
      <c r="E19" s="162" t="s">
        <v>168</v>
      </c>
      <c r="F19" s="246">
        <v>831520</v>
      </c>
      <c r="G19" s="162">
        <v>0</v>
      </c>
      <c r="H19" s="162">
        <v>3722239</v>
      </c>
      <c r="I19" s="193" t="s">
        <v>118</v>
      </c>
      <c r="J19" s="146" t="str">
        <f t="shared" si="0"/>
        <v>factura 183055215</v>
      </c>
      <c r="K19" s="146" t="str">
        <f t="shared" si="1"/>
        <v xml:space="preserve">EXP Chile Limitada                           </v>
      </c>
      <c r="L19" s="172"/>
      <c r="M19" s="110"/>
      <c r="N19" s="110"/>
      <c r="O19" s="231" t="s">
        <v>1404</v>
      </c>
      <c r="P19" s="232" t="s">
        <v>1436</v>
      </c>
      <c r="Q19" s="232" t="s">
        <v>1437</v>
      </c>
      <c r="R19" s="232" t="s">
        <v>163</v>
      </c>
      <c r="S19" s="233" t="s">
        <v>1438</v>
      </c>
      <c r="T19" s="290">
        <v>-16000</v>
      </c>
      <c r="U19" s="232" t="s">
        <v>161</v>
      </c>
      <c r="V19" s="232" t="s">
        <v>1439</v>
      </c>
      <c r="W19" s="234" t="s">
        <v>1415</v>
      </c>
      <c r="Y19" s="210"/>
    </row>
    <row r="20" spans="1:25" ht="18" customHeight="1" x14ac:dyDescent="0.35">
      <c r="A20" s="26"/>
      <c r="B20" s="161" t="s">
        <v>1398</v>
      </c>
      <c r="C20" s="162" t="s">
        <v>140</v>
      </c>
      <c r="D20" s="162" t="s">
        <v>141</v>
      </c>
      <c r="E20" s="162" t="s">
        <v>168</v>
      </c>
      <c r="F20" s="246">
        <v>3713008</v>
      </c>
      <c r="G20" s="162">
        <v>0</v>
      </c>
      <c r="H20" s="162">
        <v>4553759</v>
      </c>
      <c r="I20" s="193" t="s">
        <v>34</v>
      </c>
      <c r="J20" s="146" t="str">
        <f t="shared" si="0"/>
        <v>1533564401</v>
      </c>
      <c r="K20" s="146" t="str">
        <f t="shared" si="1"/>
        <v xml:space="preserve">Pagos y Servicios Astropay Ltda              </v>
      </c>
      <c r="L20" s="172"/>
      <c r="M20" s="247"/>
      <c r="N20" s="110"/>
      <c r="O20" s="231" t="s">
        <v>1404</v>
      </c>
      <c r="P20" s="232" t="s">
        <v>1440</v>
      </c>
      <c r="Q20" s="232" t="s">
        <v>1441</v>
      </c>
      <c r="R20" s="232" t="s">
        <v>163</v>
      </c>
      <c r="S20" s="233" t="s">
        <v>1442</v>
      </c>
      <c r="T20" s="290">
        <v>-32000</v>
      </c>
      <c r="U20" s="232" t="s">
        <v>161</v>
      </c>
      <c r="V20" s="232" t="s">
        <v>1443</v>
      </c>
      <c r="W20" s="234" t="s">
        <v>1415</v>
      </c>
      <c r="Y20" s="210"/>
    </row>
    <row r="21" spans="1:25" ht="18" customHeight="1" x14ac:dyDescent="0.35">
      <c r="A21" s="26"/>
      <c r="B21" s="161" t="s">
        <v>1398</v>
      </c>
      <c r="C21" s="162" t="s">
        <v>140</v>
      </c>
      <c r="D21" s="162" t="s">
        <v>145</v>
      </c>
      <c r="E21" s="162" t="s">
        <v>168</v>
      </c>
      <c r="F21" s="246">
        <v>0</v>
      </c>
      <c r="G21" s="162">
        <v>5000000</v>
      </c>
      <c r="H21" s="162">
        <v>8266767</v>
      </c>
      <c r="I21" s="193" t="s">
        <v>152</v>
      </c>
      <c r="J21" s="146" t="str">
        <f t="shared" si="0"/>
        <v/>
      </c>
      <c r="K21" s="146" t="str">
        <f t="shared" si="1"/>
        <v/>
      </c>
      <c r="L21" s="172"/>
      <c r="M21" s="110"/>
      <c r="N21" s="110"/>
      <c r="O21" s="231" t="s">
        <v>1404</v>
      </c>
      <c r="P21" s="232" t="s">
        <v>1444</v>
      </c>
      <c r="Q21" s="232" t="s">
        <v>309</v>
      </c>
      <c r="R21" s="232" t="s">
        <v>164</v>
      </c>
      <c r="S21" s="233" t="s">
        <v>310</v>
      </c>
      <c r="T21" s="290">
        <v>-1125106</v>
      </c>
      <c r="U21" s="232" t="s">
        <v>161</v>
      </c>
      <c r="V21" s="232" t="s">
        <v>311</v>
      </c>
      <c r="W21" s="234" t="s">
        <v>1445</v>
      </c>
      <c r="Y21" s="210"/>
    </row>
    <row r="22" spans="1:25" ht="18" customHeight="1" x14ac:dyDescent="0.35">
      <c r="A22" s="26"/>
      <c r="B22" s="161" t="s">
        <v>1398</v>
      </c>
      <c r="C22" s="162" t="s">
        <v>140</v>
      </c>
      <c r="D22" s="162" t="s">
        <v>141</v>
      </c>
      <c r="E22" s="162" t="s">
        <v>168</v>
      </c>
      <c r="F22" s="246">
        <v>80000</v>
      </c>
      <c r="G22" s="162">
        <v>0</v>
      </c>
      <c r="H22" s="162">
        <v>3266767</v>
      </c>
      <c r="I22" s="193" t="s">
        <v>33</v>
      </c>
      <c r="J22" s="146" t="str">
        <f t="shared" si="0"/>
        <v>Sueldo Dic  18</v>
      </c>
      <c r="K22" s="146" t="str">
        <f t="shared" si="1"/>
        <v xml:space="preserve">Maria Lanza                                  </v>
      </c>
      <c r="L22" s="172"/>
      <c r="M22" s="110"/>
      <c r="N22" s="110"/>
      <c r="O22" s="231" t="s">
        <v>1404</v>
      </c>
      <c r="P22" s="232" t="s">
        <v>1446</v>
      </c>
      <c r="Q22" s="232" t="s">
        <v>312</v>
      </c>
      <c r="R22" s="232" t="s">
        <v>164</v>
      </c>
      <c r="S22" s="233" t="s">
        <v>313</v>
      </c>
      <c r="T22" s="290">
        <v>-858209</v>
      </c>
      <c r="U22" s="232" t="s">
        <v>161</v>
      </c>
      <c r="V22" s="232" t="s">
        <v>314</v>
      </c>
      <c r="W22" s="234" t="s">
        <v>1447</v>
      </c>
      <c r="Y22" s="210"/>
    </row>
    <row r="23" spans="1:25" ht="18" customHeight="1" x14ac:dyDescent="0.35">
      <c r="A23" s="26"/>
      <c r="B23" s="161" t="s">
        <v>1398</v>
      </c>
      <c r="C23" s="162" t="s">
        <v>140</v>
      </c>
      <c r="D23" s="162" t="s">
        <v>141</v>
      </c>
      <c r="E23" s="162" t="s">
        <v>168</v>
      </c>
      <c r="F23" s="246">
        <v>80000</v>
      </c>
      <c r="G23" s="162">
        <v>0</v>
      </c>
      <c r="H23" s="162">
        <v>3346767</v>
      </c>
      <c r="I23" s="193" t="s">
        <v>33</v>
      </c>
      <c r="J23" s="146" t="str">
        <f t="shared" si="0"/>
        <v>Sueldo Dic  18</v>
      </c>
      <c r="K23" s="146" t="str">
        <f t="shared" si="1"/>
        <v xml:space="preserve">Maria Lanza                                  </v>
      </c>
      <c r="L23" s="172" t="s">
        <v>327</v>
      </c>
      <c r="M23" s="110"/>
      <c r="N23" s="110"/>
      <c r="O23" s="231" t="s">
        <v>1403</v>
      </c>
      <c r="P23" s="232" t="s">
        <v>1448</v>
      </c>
      <c r="Q23" s="232" t="s">
        <v>782</v>
      </c>
      <c r="R23" s="232" t="s">
        <v>164</v>
      </c>
      <c r="S23" s="233" t="s">
        <v>783</v>
      </c>
      <c r="T23" s="290">
        <v>-18326</v>
      </c>
      <c r="U23" s="232" t="s">
        <v>161</v>
      </c>
      <c r="V23" s="232" t="s">
        <v>784</v>
      </c>
      <c r="W23" s="234" t="s">
        <v>1449</v>
      </c>
      <c r="Y23" s="210"/>
    </row>
    <row r="24" spans="1:25" s="128" customFormat="1" ht="18" customHeight="1" x14ac:dyDescent="0.35">
      <c r="A24" s="26"/>
      <c r="B24" s="161" t="s">
        <v>1398</v>
      </c>
      <c r="C24" s="162" t="s">
        <v>140</v>
      </c>
      <c r="D24" s="162" t="s">
        <v>141</v>
      </c>
      <c r="E24" s="162" t="s">
        <v>168</v>
      </c>
      <c r="F24" s="246">
        <v>80000</v>
      </c>
      <c r="G24" s="162">
        <v>0</v>
      </c>
      <c r="H24" s="162">
        <v>3426767</v>
      </c>
      <c r="I24" s="193" t="s">
        <v>33</v>
      </c>
      <c r="J24" s="146" t="str">
        <f t="shared" si="0"/>
        <v>Sueldo Dic  18</v>
      </c>
      <c r="K24" s="146" t="str">
        <f t="shared" si="1"/>
        <v xml:space="preserve">Maria Lanza                                  </v>
      </c>
      <c r="L24" s="172" t="s">
        <v>327</v>
      </c>
      <c r="M24" s="110"/>
      <c r="N24" s="110"/>
      <c r="O24" s="231" t="s">
        <v>1401</v>
      </c>
      <c r="P24" s="232" t="s">
        <v>1450</v>
      </c>
      <c r="Q24" s="232" t="s">
        <v>278</v>
      </c>
      <c r="R24" s="232" t="s">
        <v>279</v>
      </c>
      <c r="S24" s="233" t="s">
        <v>280</v>
      </c>
      <c r="T24" s="290">
        <v>-250000</v>
      </c>
      <c r="U24" s="232" t="s">
        <v>161</v>
      </c>
      <c r="V24" s="232" t="s">
        <v>281</v>
      </c>
      <c r="W24" s="234" t="s">
        <v>1451</v>
      </c>
      <c r="Y24" s="210"/>
    </row>
    <row r="25" spans="1:25" s="128" customFormat="1" ht="18" customHeight="1" x14ac:dyDescent="0.35">
      <c r="A25" s="26"/>
      <c r="B25" s="161" t="s">
        <v>1398</v>
      </c>
      <c r="C25" s="162" t="s">
        <v>140</v>
      </c>
      <c r="D25" s="162" t="s">
        <v>141</v>
      </c>
      <c r="E25" s="162" t="s">
        <v>168</v>
      </c>
      <c r="F25" s="246">
        <v>80000</v>
      </c>
      <c r="G25" s="162">
        <v>0</v>
      </c>
      <c r="H25" s="162">
        <v>3506767</v>
      </c>
      <c r="I25" s="193" t="s">
        <v>33</v>
      </c>
      <c r="J25" s="146" t="str">
        <f t="shared" si="0"/>
        <v>Sueldo Dic  18</v>
      </c>
      <c r="K25" s="146" t="str">
        <f t="shared" si="1"/>
        <v xml:space="preserve">Maria Lanza                                  </v>
      </c>
      <c r="L25" s="172"/>
      <c r="M25" s="110"/>
      <c r="N25" s="110"/>
      <c r="O25" s="231" t="s">
        <v>1452</v>
      </c>
      <c r="P25" s="232" t="s">
        <v>1453</v>
      </c>
      <c r="Q25" s="232" t="s">
        <v>262</v>
      </c>
      <c r="R25" s="232" t="s">
        <v>163</v>
      </c>
      <c r="S25" s="233" t="s">
        <v>263</v>
      </c>
      <c r="T25" s="290">
        <v>-150000</v>
      </c>
      <c r="U25" s="232" t="s">
        <v>161</v>
      </c>
      <c r="V25" s="232" t="s">
        <v>264</v>
      </c>
      <c r="W25" s="234" t="s">
        <v>1415</v>
      </c>
      <c r="Y25" s="210"/>
    </row>
    <row r="26" spans="1:25" s="128" customFormat="1" ht="18" customHeight="1" x14ac:dyDescent="0.35">
      <c r="A26" s="26"/>
      <c r="B26" s="161" t="s">
        <v>1398</v>
      </c>
      <c r="C26" s="162" t="s">
        <v>140</v>
      </c>
      <c r="D26" s="162" t="s">
        <v>141</v>
      </c>
      <c r="E26" s="162" t="s">
        <v>168</v>
      </c>
      <c r="F26" s="246">
        <v>80000</v>
      </c>
      <c r="G26" s="162">
        <v>0</v>
      </c>
      <c r="H26" s="162">
        <v>3586767</v>
      </c>
      <c r="I26" s="193" t="s">
        <v>33</v>
      </c>
      <c r="J26" s="146" t="str">
        <f t="shared" si="0"/>
        <v>Sueldo Dic  18</v>
      </c>
      <c r="K26" s="146" t="str">
        <f t="shared" si="1"/>
        <v xml:space="preserve">Maria Lanza                                  </v>
      </c>
      <c r="L26" s="172"/>
      <c r="M26" s="110"/>
      <c r="N26" s="110"/>
      <c r="O26" s="231" t="s">
        <v>1452</v>
      </c>
      <c r="P26" s="232" t="s">
        <v>1454</v>
      </c>
      <c r="Q26" s="232" t="s">
        <v>220</v>
      </c>
      <c r="R26" s="232" t="s">
        <v>163</v>
      </c>
      <c r="S26" s="233" t="s">
        <v>241</v>
      </c>
      <c r="T26" s="290">
        <v>-200000</v>
      </c>
      <c r="U26" s="232" t="s">
        <v>161</v>
      </c>
      <c r="V26" s="232" t="s">
        <v>261</v>
      </c>
      <c r="W26" s="234" t="s">
        <v>1415</v>
      </c>
      <c r="Y26" s="210"/>
    </row>
    <row r="27" spans="1:25" s="128" customFormat="1" ht="18" customHeight="1" x14ac:dyDescent="0.35">
      <c r="A27" s="26"/>
      <c r="B27" s="161" t="s">
        <v>1398</v>
      </c>
      <c r="C27" s="162" t="s">
        <v>140</v>
      </c>
      <c r="D27" s="162" t="s">
        <v>141</v>
      </c>
      <c r="E27" s="162" t="s">
        <v>168</v>
      </c>
      <c r="F27" s="246">
        <v>80000</v>
      </c>
      <c r="G27" s="162">
        <v>0</v>
      </c>
      <c r="H27" s="162">
        <v>3666767</v>
      </c>
      <c r="I27" s="193" t="s">
        <v>33</v>
      </c>
      <c r="J27" s="146" t="str">
        <f t="shared" si="0"/>
        <v>Sueldo Dic  18</v>
      </c>
      <c r="K27" s="146" t="str">
        <f t="shared" si="1"/>
        <v xml:space="preserve">Maria Lanza                                  </v>
      </c>
      <c r="L27" s="172"/>
      <c r="M27" s="110"/>
      <c r="N27" s="110"/>
      <c r="O27" s="231" t="s">
        <v>1455</v>
      </c>
      <c r="P27" s="232" t="s">
        <v>1456</v>
      </c>
      <c r="Q27" s="232" t="s">
        <v>291</v>
      </c>
      <c r="R27" s="232" t="s">
        <v>292</v>
      </c>
      <c r="S27" s="233" t="s">
        <v>293</v>
      </c>
      <c r="T27" s="290">
        <v>-831520</v>
      </c>
      <c r="U27" s="232" t="s">
        <v>161</v>
      </c>
      <c r="V27" s="232" t="s">
        <v>294</v>
      </c>
      <c r="W27" s="234" t="s">
        <v>1457</v>
      </c>
      <c r="Y27" s="210"/>
    </row>
    <row r="28" spans="1:25" s="128" customFormat="1" ht="18" customHeight="1" x14ac:dyDescent="0.35">
      <c r="A28" s="26"/>
      <c r="B28" s="161" t="s">
        <v>1398</v>
      </c>
      <c r="C28" s="162" t="s">
        <v>140</v>
      </c>
      <c r="D28" s="162" t="s">
        <v>141</v>
      </c>
      <c r="E28" s="162" t="s">
        <v>168</v>
      </c>
      <c r="F28" s="246">
        <v>80000</v>
      </c>
      <c r="G28" s="162">
        <v>0</v>
      </c>
      <c r="H28" s="162">
        <v>3746767</v>
      </c>
      <c r="I28" s="193" t="s">
        <v>33</v>
      </c>
      <c r="J28" s="146" t="str">
        <f t="shared" si="0"/>
        <v>Sueldo Dic  18</v>
      </c>
      <c r="K28" s="146" t="str">
        <f t="shared" si="1"/>
        <v xml:space="preserve">Maria Lanza                                  </v>
      </c>
      <c r="L28" s="172"/>
      <c r="M28" s="110"/>
      <c r="N28" s="110"/>
      <c r="O28" s="231" t="s">
        <v>1455</v>
      </c>
      <c r="P28" s="232" t="s">
        <v>1458</v>
      </c>
      <c r="Q28" s="232" t="s">
        <v>1459</v>
      </c>
      <c r="R28" s="232" t="s">
        <v>1460</v>
      </c>
      <c r="S28" s="233" t="s">
        <v>1461</v>
      </c>
      <c r="T28" s="290">
        <v>-3713008</v>
      </c>
      <c r="U28" s="232" t="s">
        <v>161</v>
      </c>
      <c r="V28" s="232" t="s">
        <v>1462</v>
      </c>
      <c r="W28" s="234" t="s">
        <v>1463</v>
      </c>
      <c r="Y28" s="210"/>
    </row>
    <row r="29" spans="1:25" s="128" customFormat="1" ht="18" customHeight="1" x14ac:dyDescent="0.35">
      <c r="A29" s="26"/>
      <c r="B29" s="161" t="s">
        <v>1398</v>
      </c>
      <c r="C29" s="162" t="s">
        <v>140</v>
      </c>
      <c r="D29" s="162" t="s">
        <v>141</v>
      </c>
      <c r="E29" s="162" t="s">
        <v>168</v>
      </c>
      <c r="F29" s="246">
        <v>80000</v>
      </c>
      <c r="G29" s="162">
        <v>0</v>
      </c>
      <c r="H29" s="162">
        <v>3826767</v>
      </c>
      <c r="I29" s="193" t="s">
        <v>33</v>
      </c>
      <c r="J29" s="146" t="str">
        <f t="shared" si="0"/>
        <v>Sueldo Dic  18</v>
      </c>
      <c r="K29" s="146" t="str">
        <f t="shared" si="1"/>
        <v xml:space="preserve">Maria Lanza                                  </v>
      </c>
      <c r="L29" s="172"/>
      <c r="M29" s="110"/>
      <c r="N29" s="110"/>
      <c r="O29" s="231" t="s">
        <v>1455</v>
      </c>
      <c r="P29" s="232" t="s">
        <v>1464</v>
      </c>
      <c r="Q29" s="232" t="s">
        <v>288</v>
      </c>
      <c r="R29" s="232" t="s">
        <v>163</v>
      </c>
      <c r="S29" s="233" t="s">
        <v>289</v>
      </c>
      <c r="T29" s="290">
        <v>-80000</v>
      </c>
      <c r="U29" s="232" t="s">
        <v>161</v>
      </c>
      <c r="V29" s="232" t="s">
        <v>290</v>
      </c>
      <c r="W29" s="234" t="s">
        <v>1465</v>
      </c>
      <c r="Y29" s="210"/>
    </row>
    <row r="30" spans="1:25" s="128" customFormat="1" ht="18" customHeight="1" x14ac:dyDescent="0.35">
      <c r="A30" s="26"/>
      <c r="B30" s="161" t="s">
        <v>1399</v>
      </c>
      <c r="C30" s="162" t="s">
        <v>224</v>
      </c>
      <c r="D30" s="162" t="s">
        <v>248</v>
      </c>
      <c r="E30" s="162" t="s">
        <v>168</v>
      </c>
      <c r="F30" s="246">
        <v>0</v>
      </c>
      <c r="G30" s="162">
        <v>5000</v>
      </c>
      <c r="H30" s="162">
        <v>3727239</v>
      </c>
      <c r="I30" s="193" t="s">
        <v>196</v>
      </c>
      <c r="J30" s="146" t="str">
        <f t="shared" si="0"/>
        <v/>
      </c>
      <c r="K30" s="146" t="str">
        <f t="shared" si="1"/>
        <v/>
      </c>
      <c r="L30" s="172"/>
      <c r="M30" s="110"/>
      <c r="N30" s="110"/>
      <c r="O30" s="231" t="s">
        <v>1455</v>
      </c>
      <c r="P30" s="232" t="s">
        <v>1466</v>
      </c>
      <c r="Q30" s="232" t="s">
        <v>226</v>
      </c>
      <c r="R30" s="232" t="s">
        <v>163</v>
      </c>
      <c r="S30" s="233" t="s">
        <v>245</v>
      </c>
      <c r="T30" s="236">
        <v>-80000</v>
      </c>
      <c r="U30" s="232" t="s">
        <v>161</v>
      </c>
      <c r="V30" s="232" t="s">
        <v>227</v>
      </c>
      <c r="W30" s="234" t="s">
        <v>1465</v>
      </c>
      <c r="Y30" s="210"/>
    </row>
    <row r="31" spans="1:25" s="128" customFormat="1" ht="18" customHeight="1" x14ac:dyDescent="0.35">
      <c r="A31" s="26"/>
      <c r="B31" s="161" t="s">
        <v>1400</v>
      </c>
      <c r="C31" s="162" t="s">
        <v>224</v>
      </c>
      <c r="D31" s="162" t="s">
        <v>248</v>
      </c>
      <c r="E31" s="162" t="s">
        <v>168</v>
      </c>
      <c r="F31" s="246">
        <v>0</v>
      </c>
      <c r="G31" s="162">
        <v>2000</v>
      </c>
      <c r="H31" s="162">
        <v>3303385</v>
      </c>
      <c r="I31" s="193" t="s">
        <v>196</v>
      </c>
      <c r="J31" s="146" t="str">
        <f t="shared" si="0"/>
        <v/>
      </c>
      <c r="K31" s="146" t="str">
        <f t="shared" si="1"/>
        <v/>
      </c>
      <c r="L31" s="172"/>
      <c r="M31" s="110"/>
      <c r="N31" s="110"/>
      <c r="O31" s="231" t="s">
        <v>1455</v>
      </c>
      <c r="P31" s="232" t="s">
        <v>1467</v>
      </c>
      <c r="Q31" s="232" t="s">
        <v>220</v>
      </c>
      <c r="R31" s="232" t="s">
        <v>163</v>
      </c>
      <c r="S31" s="233" t="s">
        <v>241</v>
      </c>
      <c r="T31" s="236">
        <v>-80000</v>
      </c>
      <c r="U31" s="232" t="s">
        <v>161</v>
      </c>
      <c r="V31" s="232" t="s">
        <v>261</v>
      </c>
      <c r="W31" s="234" t="s">
        <v>1465</v>
      </c>
      <c r="Y31" s="210"/>
    </row>
    <row r="32" spans="1:25" s="128" customFormat="1" ht="18" customHeight="1" x14ac:dyDescent="0.35">
      <c r="A32" s="26"/>
      <c r="B32" s="161" t="s">
        <v>1400</v>
      </c>
      <c r="C32" s="162" t="s">
        <v>148</v>
      </c>
      <c r="D32" s="162" t="s">
        <v>149</v>
      </c>
      <c r="E32" s="162" t="s">
        <v>168</v>
      </c>
      <c r="F32" s="246">
        <v>52404</v>
      </c>
      <c r="G32" s="162">
        <v>0</v>
      </c>
      <c r="H32" s="162">
        <v>3301385</v>
      </c>
      <c r="I32" s="193" t="s">
        <v>194</v>
      </c>
      <c r="J32" s="146" t="str">
        <f t="shared" si="0"/>
        <v/>
      </c>
      <c r="K32" s="146" t="str">
        <f t="shared" si="1"/>
        <v/>
      </c>
      <c r="L32" s="172"/>
      <c r="M32" s="110"/>
      <c r="N32" s="110"/>
      <c r="O32" s="231" t="s">
        <v>1455</v>
      </c>
      <c r="P32" s="232" t="s">
        <v>1468</v>
      </c>
      <c r="Q32" s="232" t="s">
        <v>171</v>
      </c>
      <c r="R32" s="232" t="s">
        <v>163</v>
      </c>
      <c r="S32" s="233" t="s">
        <v>247</v>
      </c>
      <c r="T32" s="236">
        <v>-80000</v>
      </c>
      <c r="U32" s="232" t="s">
        <v>161</v>
      </c>
      <c r="V32" s="232" t="s">
        <v>172</v>
      </c>
      <c r="W32" s="234" t="s">
        <v>1465</v>
      </c>
      <c r="Y32" s="210"/>
    </row>
    <row r="33" spans="1:25" s="128" customFormat="1" ht="18" customHeight="1" x14ac:dyDescent="0.35">
      <c r="A33" s="26"/>
      <c r="B33" s="161" t="s">
        <v>1400</v>
      </c>
      <c r="C33" s="162" t="s">
        <v>140</v>
      </c>
      <c r="D33" s="162" t="s">
        <v>141</v>
      </c>
      <c r="E33" s="162" t="s">
        <v>168</v>
      </c>
      <c r="F33" s="246">
        <v>200000</v>
      </c>
      <c r="G33" s="162">
        <v>0</v>
      </c>
      <c r="H33" s="162">
        <v>3353789</v>
      </c>
      <c r="I33" s="193" t="s">
        <v>33</v>
      </c>
      <c r="J33" s="146" t="str">
        <f t="shared" si="0"/>
        <v>Sueldo Dic  18</v>
      </c>
      <c r="K33" s="146" t="str">
        <f t="shared" si="1"/>
        <v xml:space="preserve">Luis Arias                                   </v>
      </c>
      <c r="L33" s="172"/>
      <c r="M33" s="110"/>
      <c r="N33" s="110"/>
      <c r="O33" s="231" t="s">
        <v>1455</v>
      </c>
      <c r="P33" s="232" t="s">
        <v>1469</v>
      </c>
      <c r="Q33" s="232" t="s">
        <v>265</v>
      </c>
      <c r="R33" s="232" t="s">
        <v>163</v>
      </c>
      <c r="S33" s="233" t="s">
        <v>266</v>
      </c>
      <c r="T33" s="236">
        <v>-80000</v>
      </c>
      <c r="U33" s="232" t="s">
        <v>161</v>
      </c>
      <c r="V33" s="232" t="s">
        <v>267</v>
      </c>
      <c r="W33" s="234" t="s">
        <v>1465</v>
      </c>
      <c r="Y33" s="210"/>
    </row>
    <row r="34" spans="1:25" s="128" customFormat="1" ht="18" customHeight="1" x14ac:dyDescent="0.35">
      <c r="A34" s="26"/>
      <c r="B34" s="161" t="s">
        <v>1400</v>
      </c>
      <c r="C34" s="162" t="s">
        <v>140</v>
      </c>
      <c r="D34" s="162" t="s">
        <v>141</v>
      </c>
      <c r="E34" s="162" t="s">
        <v>168</v>
      </c>
      <c r="F34" s="246">
        <v>150000</v>
      </c>
      <c r="G34" s="162">
        <v>0</v>
      </c>
      <c r="H34" s="162">
        <v>3553789</v>
      </c>
      <c r="I34" s="193" t="s">
        <v>33</v>
      </c>
      <c r="J34" s="146" t="str">
        <f t="shared" si="0"/>
        <v>Sueldo Dic  18</v>
      </c>
      <c r="K34" s="146" t="str">
        <f t="shared" si="1"/>
        <v xml:space="preserve">Ana Cruz Varas                               </v>
      </c>
      <c r="L34" s="172"/>
      <c r="M34" s="110"/>
      <c r="N34" s="110"/>
      <c r="O34" s="231" t="s">
        <v>1455</v>
      </c>
      <c r="P34" s="232" t="s">
        <v>1470</v>
      </c>
      <c r="Q34" s="232" t="s">
        <v>166</v>
      </c>
      <c r="R34" s="232" t="s">
        <v>162</v>
      </c>
      <c r="S34" s="233" t="s">
        <v>249</v>
      </c>
      <c r="T34" s="236">
        <v>-80000</v>
      </c>
      <c r="U34" s="232" t="s">
        <v>161</v>
      </c>
      <c r="V34" s="232" t="s">
        <v>250</v>
      </c>
      <c r="W34" s="234" t="s">
        <v>1465</v>
      </c>
      <c r="Y34" s="210"/>
    </row>
    <row r="35" spans="1:25" s="128" customFormat="1" ht="18" customHeight="1" x14ac:dyDescent="0.35">
      <c r="A35" s="26"/>
      <c r="B35" s="161" t="s">
        <v>1400</v>
      </c>
      <c r="C35" s="162" t="s">
        <v>148</v>
      </c>
      <c r="D35" s="162" t="s">
        <v>149</v>
      </c>
      <c r="E35" s="162" t="s">
        <v>168</v>
      </c>
      <c r="F35" s="246">
        <v>23450</v>
      </c>
      <c r="G35" s="162">
        <v>0</v>
      </c>
      <c r="H35" s="162">
        <v>3703789</v>
      </c>
      <c r="I35" s="193" t="s">
        <v>9</v>
      </c>
      <c r="J35" s="146" t="str">
        <f t="shared" si="0"/>
        <v/>
      </c>
      <c r="K35" s="146" t="str">
        <f t="shared" si="1"/>
        <v/>
      </c>
      <c r="L35" s="172" t="s">
        <v>1550</v>
      </c>
      <c r="M35" s="110"/>
      <c r="N35" s="110"/>
      <c r="O35" s="231" t="s">
        <v>1455</v>
      </c>
      <c r="P35" s="232" t="s">
        <v>1471</v>
      </c>
      <c r="Q35" s="232" t="s">
        <v>262</v>
      </c>
      <c r="R35" s="232" t="s">
        <v>163</v>
      </c>
      <c r="S35" s="233" t="s">
        <v>263</v>
      </c>
      <c r="T35" s="236">
        <v>-80000</v>
      </c>
      <c r="U35" s="232" t="s">
        <v>161</v>
      </c>
      <c r="V35" s="232" t="s">
        <v>264</v>
      </c>
      <c r="W35" s="234" t="s">
        <v>1465</v>
      </c>
      <c r="Y35" s="210"/>
    </row>
    <row r="36" spans="1:25" s="128" customFormat="1" ht="18" customHeight="1" x14ac:dyDescent="0.35">
      <c r="A36" s="26"/>
      <c r="B36" s="161" t="s">
        <v>1401</v>
      </c>
      <c r="C36" s="162" t="s">
        <v>148</v>
      </c>
      <c r="D36" s="162" t="s">
        <v>149</v>
      </c>
      <c r="E36" s="162" t="s">
        <v>168</v>
      </c>
      <c r="F36" s="246">
        <v>251490</v>
      </c>
      <c r="G36" s="162">
        <v>0</v>
      </c>
      <c r="H36" s="162">
        <v>3051895</v>
      </c>
      <c r="I36" s="193"/>
      <c r="J36" s="146" t="str">
        <f t="shared" si="0"/>
        <v/>
      </c>
      <c r="K36" s="146" t="str">
        <f t="shared" si="1"/>
        <v/>
      </c>
      <c r="L36" s="172"/>
      <c r="M36" s="110"/>
      <c r="N36" s="110"/>
      <c r="O36" s="231" t="s">
        <v>1455</v>
      </c>
      <c r="P36" s="232" t="s">
        <v>1472</v>
      </c>
      <c r="Q36" s="232" t="s">
        <v>223</v>
      </c>
      <c r="R36" s="232" t="s">
        <v>251</v>
      </c>
      <c r="S36" s="233" t="s">
        <v>777</v>
      </c>
      <c r="T36" s="236">
        <v>-80000</v>
      </c>
      <c r="U36" s="232" t="s">
        <v>161</v>
      </c>
      <c r="V36" s="232" t="s">
        <v>778</v>
      </c>
      <c r="W36" s="234" t="s">
        <v>1465</v>
      </c>
      <c r="Y36" s="210"/>
    </row>
    <row r="37" spans="1:25" s="128" customFormat="1" ht="18" customHeight="1" x14ac:dyDescent="0.35">
      <c r="A37" s="26"/>
      <c r="B37" s="307" t="s">
        <v>1402</v>
      </c>
      <c r="C37" s="308" t="s">
        <v>140</v>
      </c>
      <c r="D37" s="308" t="s">
        <v>150</v>
      </c>
      <c r="E37" s="308" t="s">
        <v>168</v>
      </c>
      <c r="F37" s="309">
        <v>160071</v>
      </c>
      <c r="G37" s="308">
        <v>0</v>
      </c>
      <c r="H37" s="308">
        <v>7641824</v>
      </c>
      <c r="I37" s="317"/>
      <c r="J37" s="146" t="str">
        <f t="shared" si="0"/>
        <v/>
      </c>
      <c r="K37" s="146" t="str">
        <f t="shared" si="1"/>
        <v/>
      </c>
      <c r="L37" s="172"/>
      <c r="M37" s="110"/>
      <c r="N37" s="110"/>
      <c r="O37" s="231" t="s">
        <v>1395</v>
      </c>
      <c r="P37" s="232" t="s">
        <v>1473</v>
      </c>
      <c r="Q37" s="232" t="s">
        <v>1474</v>
      </c>
      <c r="R37" s="232" t="s">
        <v>162</v>
      </c>
      <c r="S37" s="233" t="s">
        <v>1475</v>
      </c>
      <c r="T37" s="236">
        <v>-507654</v>
      </c>
      <c r="U37" s="232" t="s">
        <v>161</v>
      </c>
      <c r="V37" s="232" t="s">
        <v>1476</v>
      </c>
      <c r="W37" s="234" t="s">
        <v>1477</v>
      </c>
      <c r="Y37" s="210"/>
    </row>
    <row r="38" spans="1:25" s="128" customFormat="1" ht="18" customHeight="1" x14ac:dyDescent="0.35">
      <c r="A38" s="26"/>
      <c r="B38" s="161" t="s">
        <v>1402</v>
      </c>
      <c r="C38" s="162" t="s">
        <v>140</v>
      </c>
      <c r="D38" s="162" t="s">
        <v>141</v>
      </c>
      <c r="E38" s="162" t="s">
        <v>168</v>
      </c>
      <c r="F38" s="246">
        <v>250000</v>
      </c>
      <c r="G38" s="162">
        <v>0</v>
      </c>
      <c r="H38" s="162">
        <v>7801895</v>
      </c>
      <c r="I38" s="193" t="s">
        <v>194</v>
      </c>
      <c r="J38" s="146" t="str">
        <f t="shared" si="0"/>
        <v>Servicios contables</v>
      </c>
      <c r="K38" s="146" t="str">
        <f t="shared" si="1"/>
        <v xml:space="preserve">SERVICIOS CONTABLES JABR EIRL                </v>
      </c>
      <c r="L38" s="172"/>
      <c r="M38" s="110"/>
      <c r="N38" s="110"/>
      <c r="O38" s="235" t="s">
        <v>1394</v>
      </c>
      <c r="P38" s="232" t="s">
        <v>1478</v>
      </c>
      <c r="Q38" s="232" t="s">
        <v>1479</v>
      </c>
      <c r="R38" s="232" t="s">
        <v>164</v>
      </c>
      <c r="S38" s="233" t="s">
        <v>1480</v>
      </c>
      <c r="T38" s="236">
        <v>-76755</v>
      </c>
      <c r="U38" s="232" t="s">
        <v>161</v>
      </c>
      <c r="V38" s="232" t="s">
        <v>1481</v>
      </c>
      <c r="W38" s="234" t="s">
        <v>1482</v>
      </c>
      <c r="Y38" s="210"/>
    </row>
    <row r="39" spans="1:25" s="128" customFormat="1" ht="18" customHeight="1" x14ac:dyDescent="0.35">
      <c r="A39" s="26"/>
      <c r="B39" s="161" t="s">
        <v>1402</v>
      </c>
      <c r="C39" s="162" t="s">
        <v>140</v>
      </c>
      <c r="D39" s="162" t="s">
        <v>145</v>
      </c>
      <c r="E39" s="162" t="s">
        <v>168</v>
      </c>
      <c r="F39" s="246">
        <v>0</v>
      </c>
      <c r="G39" s="162">
        <v>5000000</v>
      </c>
      <c r="H39" s="162">
        <v>8051895</v>
      </c>
      <c r="I39" s="193" t="s">
        <v>152</v>
      </c>
      <c r="J39" s="146" t="str">
        <f t="shared" si="0"/>
        <v/>
      </c>
      <c r="K39" s="146" t="str">
        <f t="shared" si="1"/>
        <v/>
      </c>
      <c r="L39" s="172"/>
      <c r="M39" s="110"/>
      <c r="N39" s="110"/>
      <c r="O39" s="235" t="s">
        <v>1393</v>
      </c>
      <c r="P39" s="232" t="s">
        <v>1483</v>
      </c>
      <c r="Q39" s="232" t="s">
        <v>1484</v>
      </c>
      <c r="R39" s="232" t="s">
        <v>162</v>
      </c>
      <c r="S39" s="233" t="s">
        <v>1485</v>
      </c>
      <c r="T39" s="236">
        <v>-428554</v>
      </c>
      <c r="U39" s="232" t="s">
        <v>161</v>
      </c>
      <c r="V39" s="232" t="s">
        <v>1486</v>
      </c>
      <c r="W39" s="234" t="s">
        <v>1487</v>
      </c>
      <c r="Y39" s="210"/>
    </row>
    <row r="40" spans="1:25" s="128" customFormat="1" ht="18" customHeight="1" x14ac:dyDescent="0.35">
      <c r="A40" s="26"/>
      <c r="B40" s="161" t="s">
        <v>1403</v>
      </c>
      <c r="C40" s="162" t="s">
        <v>140</v>
      </c>
      <c r="D40" s="162" t="s">
        <v>144</v>
      </c>
      <c r="E40" s="162" t="s">
        <v>168</v>
      </c>
      <c r="F40" s="246">
        <v>18326</v>
      </c>
      <c r="G40" s="162">
        <v>0</v>
      </c>
      <c r="H40" s="162">
        <v>7623498</v>
      </c>
      <c r="I40" s="193" t="s">
        <v>9</v>
      </c>
      <c r="J40" s="146" t="str">
        <f t="shared" si="0"/>
        <v>Fact 1888</v>
      </c>
      <c r="K40" s="146" t="str">
        <f t="shared" si="1"/>
        <v xml:space="preserve">Panaderia La Franchuteria                    </v>
      </c>
      <c r="L40" s="172"/>
      <c r="M40" s="110"/>
      <c r="N40" s="110"/>
      <c r="O40" s="235" t="s">
        <v>1393</v>
      </c>
      <c r="P40" s="232" t="s">
        <v>1488</v>
      </c>
      <c r="Q40" s="232" t="s">
        <v>1489</v>
      </c>
      <c r="R40" s="232" t="s">
        <v>1490</v>
      </c>
      <c r="S40" s="233" t="s">
        <v>1491</v>
      </c>
      <c r="T40" s="236">
        <v>-147439</v>
      </c>
      <c r="U40" s="232" t="s">
        <v>161</v>
      </c>
      <c r="V40" s="232" t="s">
        <v>1492</v>
      </c>
      <c r="W40" s="234" t="s">
        <v>1493</v>
      </c>
      <c r="Y40" s="210"/>
    </row>
    <row r="41" spans="1:25" s="128" customFormat="1" ht="18" customHeight="1" x14ac:dyDescent="0.35">
      <c r="A41" s="26"/>
      <c r="B41" s="161" t="s">
        <v>1404</v>
      </c>
      <c r="C41" s="162" t="s">
        <v>142</v>
      </c>
      <c r="D41" s="162" t="s">
        <v>277</v>
      </c>
      <c r="E41" s="162" t="s">
        <v>1405</v>
      </c>
      <c r="F41" s="246">
        <v>63130</v>
      </c>
      <c r="G41" s="162">
        <v>0</v>
      </c>
      <c r="H41" s="162">
        <v>5383454</v>
      </c>
      <c r="I41" s="193" t="s">
        <v>195</v>
      </c>
      <c r="J41" s="146" t="str">
        <f t="shared" si="0"/>
        <v/>
      </c>
      <c r="K41" s="146" t="str">
        <f t="shared" si="1"/>
        <v/>
      </c>
      <c r="L41" s="172" t="s">
        <v>327</v>
      </c>
      <c r="M41" s="110"/>
      <c r="N41" s="110"/>
      <c r="O41" s="235" t="s">
        <v>1393</v>
      </c>
      <c r="P41" s="232" t="s">
        <v>1494</v>
      </c>
      <c r="Q41" s="232" t="s">
        <v>295</v>
      </c>
      <c r="R41" s="232" t="s">
        <v>162</v>
      </c>
      <c r="S41" s="233" t="s">
        <v>296</v>
      </c>
      <c r="T41" s="236">
        <v>-131056</v>
      </c>
      <c r="U41" s="232" t="s">
        <v>161</v>
      </c>
      <c r="V41" s="232" t="s">
        <v>297</v>
      </c>
      <c r="W41" s="234" t="s">
        <v>1495</v>
      </c>
      <c r="Y41" s="210"/>
    </row>
    <row r="42" spans="1:25" s="128" customFormat="1" ht="18" customHeight="1" x14ac:dyDescent="0.35">
      <c r="A42" s="26"/>
      <c r="B42" s="161" t="s">
        <v>1404</v>
      </c>
      <c r="C42" s="162" t="s">
        <v>142</v>
      </c>
      <c r="D42" s="162" t="s">
        <v>277</v>
      </c>
      <c r="E42" s="162" t="s">
        <v>1406</v>
      </c>
      <c r="F42" s="246">
        <v>193599</v>
      </c>
      <c r="G42" s="162">
        <v>0</v>
      </c>
      <c r="H42" s="162">
        <v>5446584</v>
      </c>
      <c r="I42" s="193" t="s">
        <v>195</v>
      </c>
      <c r="J42" s="146" t="str">
        <f t="shared" si="0"/>
        <v/>
      </c>
      <c r="K42" s="146" t="str">
        <f t="shared" si="1"/>
        <v/>
      </c>
      <c r="L42" s="172" t="s">
        <v>327</v>
      </c>
      <c r="M42" s="110"/>
      <c r="N42" s="110"/>
      <c r="O42" s="235" t="s">
        <v>1393</v>
      </c>
      <c r="P42" s="232" t="s">
        <v>1496</v>
      </c>
      <c r="Q42" s="232" t="s">
        <v>1497</v>
      </c>
      <c r="R42" s="232" t="s">
        <v>162</v>
      </c>
      <c r="S42" s="233" t="s">
        <v>1498</v>
      </c>
      <c r="T42" s="236">
        <v>-72031</v>
      </c>
      <c r="U42" s="232" t="s">
        <v>161</v>
      </c>
      <c r="V42" s="232" t="s">
        <v>1499</v>
      </c>
      <c r="W42" s="234" t="s">
        <v>1500</v>
      </c>
      <c r="Y42" s="210"/>
    </row>
    <row r="43" spans="1:25" s="128" customFormat="1" ht="18" customHeight="1" x14ac:dyDescent="0.35">
      <c r="A43" s="26"/>
      <c r="B43" s="161" t="s">
        <v>1404</v>
      </c>
      <c r="C43" s="162" t="s">
        <v>140</v>
      </c>
      <c r="D43" s="162" t="s">
        <v>144</v>
      </c>
      <c r="E43" s="162" t="s">
        <v>168</v>
      </c>
      <c r="F43" s="246">
        <v>1125106</v>
      </c>
      <c r="G43" s="162">
        <v>0</v>
      </c>
      <c r="H43" s="162">
        <v>5640183</v>
      </c>
      <c r="I43" s="193" t="s">
        <v>195</v>
      </c>
      <c r="J43" s="146" t="str">
        <f t="shared" si="0"/>
        <v>Fact 10117</v>
      </c>
      <c r="K43" s="146" t="str">
        <f t="shared" si="1"/>
        <v xml:space="preserve">CESPA Ltda                                   </v>
      </c>
      <c r="L43" s="172"/>
      <c r="M43" s="110"/>
      <c r="N43" s="110"/>
      <c r="O43" s="235" t="s">
        <v>1393</v>
      </c>
      <c r="P43" s="232" t="s">
        <v>1501</v>
      </c>
      <c r="Q43" s="232" t="s">
        <v>782</v>
      </c>
      <c r="R43" s="232" t="s">
        <v>164</v>
      </c>
      <c r="S43" s="233" t="s">
        <v>783</v>
      </c>
      <c r="T43" s="236">
        <v>-28918</v>
      </c>
      <c r="U43" s="232" t="s">
        <v>161</v>
      </c>
      <c r="V43" s="232" t="s">
        <v>784</v>
      </c>
      <c r="W43" s="234" t="s">
        <v>1502</v>
      </c>
      <c r="Y43" s="210"/>
    </row>
    <row r="44" spans="1:25" s="128" customFormat="1" ht="18" customHeight="1" x14ac:dyDescent="0.35">
      <c r="A44" s="26"/>
      <c r="B44" s="161" t="s">
        <v>1404</v>
      </c>
      <c r="C44" s="162" t="s">
        <v>140</v>
      </c>
      <c r="D44" s="162" t="s">
        <v>144</v>
      </c>
      <c r="E44" s="162" t="s">
        <v>168</v>
      </c>
      <c r="F44" s="246">
        <v>858209</v>
      </c>
      <c r="G44" s="162">
        <v>0</v>
      </c>
      <c r="H44" s="162">
        <v>6765289</v>
      </c>
      <c r="I44" s="193" t="s">
        <v>195</v>
      </c>
      <c r="J44" s="146" t="str">
        <f t="shared" si="0"/>
        <v>Fact 15201</v>
      </c>
      <c r="K44" s="146" t="str">
        <f t="shared" si="1"/>
        <v xml:space="preserve">Comite de Agua San Pedro de Atacama          </v>
      </c>
      <c r="L44" s="172"/>
      <c r="M44" s="110"/>
      <c r="N44" s="110"/>
      <c r="O44" s="235" t="s">
        <v>1393</v>
      </c>
      <c r="P44" s="232" t="s">
        <v>1503</v>
      </c>
      <c r="Q44" s="232" t="s">
        <v>183</v>
      </c>
      <c r="R44" s="232" t="s">
        <v>164</v>
      </c>
      <c r="S44" s="233" t="s">
        <v>240</v>
      </c>
      <c r="T44" s="236">
        <v>-2500000</v>
      </c>
      <c r="U44" s="232" t="s">
        <v>161</v>
      </c>
      <c r="V44" s="232" t="s">
        <v>184</v>
      </c>
      <c r="W44" s="234" t="s">
        <v>198</v>
      </c>
      <c r="Y44" s="210"/>
    </row>
    <row r="45" spans="1:25" s="128" customFormat="1" ht="18" customHeight="1" x14ac:dyDescent="0.35">
      <c r="A45" s="26"/>
      <c r="B45" s="161" t="s">
        <v>1407</v>
      </c>
      <c r="C45" s="162" t="s">
        <v>148</v>
      </c>
      <c r="D45" s="162" t="s">
        <v>169</v>
      </c>
      <c r="E45" s="162" t="s">
        <v>168</v>
      </c>
      <c r="F45" s="246">
        <v>100000</v>
      </c>
      <c r="G45" s="162">
        <v>0</v>
      </c>
      <c r="H45" s="162">
        <v>6890416</v>
      </c>
      <c r="I45" s="193" t="s">
        <v>194</v>
      </c>
      <c r="J45" s="146" t="str">
        <f t="shared" si="0"/>
        <v/>
      </c>
      <c r="K45" s="146" t="str">
        <f t="shared" si="1"/>
        <v/>
      </c>
      <c r="L45" s="172" t="s">
        <v>1550</v>
      </c>
      <c r="M45" s="110"/>
      <c r="N45" s="110"/>
      <c r="O45" s="235"/>
      <c r="P45" s="232"/>
      <c r="Q45" s="232"/>
      <c r="R45" s="232"/>
      <c r="S45" s="233"/>
      <c r="T45" s="236"/>
      <c r="U45" s="232"/>
      <c r="V45" s="232"/>
      <c r="W45" s="234"/>
      <c r="Y45" s="210"/>
    </row>
    <row r="46" spans="1:25" s="128" customFormat="1" ht="18" customHeight="1" x14ac:dyDescent="0.35">
      <c r="A46" s="26"/>
      <c r="B46" s="161" t="s">
        <v>1407</v>
      </c>
      <c r="C46" s="162" t="s">
        <v>140</v>
      </c>
      <c r="D46" s="162" t="s">
        <v>145</v>
      </c>
      <c r="E46" s="162" t="s">
        <v>168</v>
      </c>
      <c r="F46" s="246">
        <v>0</v>
      </c>
      <c r="G46" s="162">
        <v>3437500</v>
      </c>
      <c r="H46" s="162">
        <v>6990416</v>
      </c>
      <c r="I46" s="193" t="s">
        <v>152</v>
      </c>
      <c r="J46" s="146" t="str">
        <f t="shared" si="0"/>
        <v/>
      </c>
      <c r="K46" s="146" t="str">
        <f t="shared" si="1"/>
        <v/>
      </c>
      <c r="L46" s="172" t="s">
        <v>1549</v>
      </c>
      <c r="M46" s="110"/>
      <c r="N46" s="110"/>
      <c r="O46" s="235"/>
      <c r="P46" s="232"/>
      <c r="Q46" s="232"/>
      <c r="R46" s="232"/>
      <c r="S46" s="233"/>
      <c r="T46" s="236"/>
      <c r="U46" s="232"/>
      <c r="V46" s="232"/>
      <c r="W46" s="234"/>
    </row>
    <row r="47" spans="1:25" s="128" customFormat="1" ht="18" customHeight="1" x14ac:dyDescent="0.35">
      <c r="A47" s="26"/>
      <c r="B47" s="161" t="s">
        <v>1407</v>
      </c>
      <c r="C47" s="162" t="s">
        <v>140</v>
      </c>
      <c r="D47" s="162" t="s">
        <v>141</v>
      </c>
      <c r="E47" s="162" t="s">
        <v>168</v>
      </c>
      <c r="F47" s="246">
        <v>1130100</v>
      </c>
      <c r="G47" s="162">
        <v>0</v>
      </c>
      <c r="H47" s="162">
        <v>3552916</v>
      </c>
      <c r="I47" s="193" t="s">
        <v>33</v>
      </c>
      <c r="J47" s="146" t="str">
        <f t="shared" si="0"/>
        <v>Sueldo Dic  18</v>
      </c>
      <c r="K47" s="146" t="str">
        <f t="shared" si="1"/>
        <v xml:space="preserve">Mara Jose Paez Zumaran                       </v>
      </c>
      <c r="L47" s="172"/>
      <c r="M47" s="172"/>
      <c r="N47" s="110"/>
      <c r="O47" s="235"/>
      <c r="P47" s="232"/>
      <c r="Q47" s="232"/>
      <c r="R47" s="232"/>
      <c r="S47" s="233"/>
      <c r="T47" s="236"/>
      <c r="U47" s="232"/>
      <c r="V47" s="232"/>
      <c r="W47" s="234"/>
    </row>
    <row r="48" spans="1:25" s="128" customFormat="1" ht="18" customHeight="1" x14ac:dyDescent="0.35">
      <c r="A48" s="26"/>
      <c r="B48" s="161" t="s">
        <v>1407</v>
      </c>
      <c r="C48" s="162" t="s">
        <v>140</v>
      </c>
      <c r="D48" s="162" t="s">
        <v>141</v>
      </c>
      <c r="E48" s="162" t="s">
        <v>168</v>
      </c>
      <c r="F48" s="289">
        <v>1262862</v>
      </c>
      <c r="G48" s="162">
        <v>0</v>
      </c>
      <c r="H48" s="162">
        <v>4683016</v>
      </c>
      <c r="I48" s="193" t="s">
        <v>33</v>
      </c>
      <c r="J48" s="146" t="str">
        <f t="shared" si="0"/>
        <v>Sueldo Dic  18</v>
      </c>
      <c r="K48" s="146" t="str">
        <f t="shared" si="1"/>
        <v xml:space="preserve">Angelica Ramirez Muñoz                       </v>
      </c>
      <c r="L48" s="172"/>
      <c r="M48" s="172"/>
      <c r="N48" s="110"/>
      <c r="O48" s="235"/>
      <c r="P48" s="232"/>
      <c r="Q48" s="232"/>
      <c r="R48" s="232"/>
      <c r="S48" s="233"/>
      <c r="T48" s="236"/>
      <c r="U48" s="232"/>
      <c r="V48" s="232"/>
      <c r="W48" s="234"/>
    </row>
    <row r="49" spans="1:23" s="147" customFormat="1" ht="18" customHeight="1" x14ac:dyDescent="0.35">
      <c r="A49" s="26"/>
      <c r="B49" s="161" t="s">
        <v>1407</v>
      </c>
      <c r="C49" s="162" t="s">
        <v>140</v>
      </c>
      <c r="D49" s="162" t="s">
        <v>141</v>
      </c>
      <c r="E49" s="162" t="s">
        <v>168</v>
      </c>
      <c r="F49" s="289">
        <v>176000</v>
      </c>
      <c r="G49" s="162">
        <v>0</v>
      </c>
      <c r="H49" s="162">
        <v>5945878</v>
      </c>
      <c r="I49" s="193" t="s">
        <v>33</v>
      </c>
      <c r="J49" s="146" t="str">
        <f t="shared" si="0"/>
        <v>Sueldo Dic  18</v>
      </c>
      <c r="K49" s="146" t="str">
        <f t="shared" si="1"/>
        <v xml:space="preserve">Sioly Cabezas                                </v>
      </c>
      <c r="L49" s="172"/>
      <c r="M49" s="172"/>
      <c r="N49" s="110"/>
      <c r="O49" s="235"/>
      <c r="P49" s="232"/>
      <c r="Q49" s="232"/>
      <c r="R49" s="232"/>
      <c r="S49" s="233"/>
      <c r="T49" s="236"/>
      <c r="U49" s="232"/>
      <c r="V49" s="232"/>
      <c r="W49" s="234"/>
    </row>
    <row r="50" spans="1:23" s="147" customFormat="1" ht="18" customHeight="1" x14ac:dyDescent="0.35">
      <c r="A50" s="26"/>
      <c r="B50" s="161" t="s">
        <v>1407</v>
      </c>
      <c r="C50" s="162" t="s">
        <v>140</v>
      </c>
      <c r="D50" s="162" t="s">
        <v>141</v>
      </c>
      <c r="E50" s="162" t="s">
        <v>168</v>
      </c>
      <c r="F50" s="289">
        <v>562367</v>
      </c>
      <c r="G50" s="162">
        <v>0</v>
      </c>
      <c r="H50" s="162">
        <v>6121878</v>
      </c>
      <c r="I50" s="193" t="s">
        <v>33</v>
      </c>
      <c r="J50" s="146" t="str">
        <f t="shared" si="0"/>
        <v>Sueldo Dic  18</v>
      </c>
      <c r="K50" s="146" t="str">
        <f t="shared" si="1"/>
        <v xml:space="preserve">Alexi Muchairo Manu                          </v>
      </c>
      <c r="L50" s="172"/>
      <c r="M50" s="172"/>
      <c r="N50" s="110"/>
      <c r="O50" s="235"/>
      <c r="P50" s="232"/>
      <c r="Q50" s="232"/>
      <c r="R50" s="232"/>
      <c r="S50" s="233"/>
      <c r="T50" s="236"/>
      <c r="U50" s="232"/>
      <c r="V50" s="232"/>
      <c r="W50" s="234"/>
    </row>
    <row r="51" spans="1:23" s="147" customFormat="1" ht="18" customHeight="1" x14ac:dyDescent="0.35">
      <c r="A51" s="26"/>
      <c r="B51" s="161" t="s">
        <v>1407</v>
      </c>
      <c r="C51" s="162" t="s">
        <v>140</v>
      </c>
      <c r="D51" s="162" t="s">
        <v>141</v>
      </c>
      <c r="E51" s="162" t="s">
        <v>168</v>
      </c>
      <c r="F51" s="289">
        <v>209553</v>
      </c>
      <c r="G51" s="162">
        <v>0</v>
      </c>
      <c r="H51" s="162">
        <v>6684245</v>
      </c>
      <c r="I51" s="193" t="s">
        <v>33</v>
      </c>
      <c r="J51" s="146" t="str">
        <f t="shared" si="0"/>
        <v>Sueldo Dic  18</v>
      </c>
      <c r="K51" s="146" t="str">
        <f t="shared" si="1"/>
        <v xml:space="preserve">Luis Arias                                   </v>
      </c>
      <c r="L51" s="172"/>
      <c r="M51" s="172"/>
      <c r="N51" s="110"/>
      <c r="O51" s="235"/>
      <c r="P51" s="232"/>
      <c r="Q51" s="232"/>
      <c r="R51" s="232"/>
      <c r="S51" s="233"/>
      <c r="T51" s="236"/>
      <c r="U51" s="232"/>
      <c r="V51" s="232"/>
      <c r="W51" s="234"/>
    </row>
    <row r="52" spans="1:23" s="147" customFormat="1" ht="18" customHeight="1" x14ac:dyDescent="0.35">
      <c r="A52" s="26"/>
      <c r="B52" s="161" t="s">
        <v>1407</v>
      </c>
      <c r="C52" s="162" t="s">
        <v>140</v>
      </c>
      <c r="D52" s="162" t="s">
        <v>141</v>
      </c>
      <c r="E52" s="162" t="s">
        <v>168</v>
      </c>
      <c r="F52" s="289">
        <v>126000</v>
      </c>
      <c r="G52" s="162">
        <v>0</v>
      </c>
      <c r="H52" s="162">
        <v>6893798</v>
      </c>
      <c r="I52" s="193" t="s">
        <v>33</v>
      </c>
      <c r="J52" s="146" t="str">
        <f t="shared" si="0"/>
        <v>Sueldo Dic  18</v>
      </c>
      <c r="K52" s="146" t="str">
        <f t="shared" si="1"/>
        <v xml:space="preserve">Edmilson Misericordia                        </v>
      </c>
      <c r="L52" s="172"/>
      <c r="M52" s="172"/>
      <c r="N52" s="110"/>
      <c r="O52" s="235"/>
      <c r="P52" s="232"/>
      <c r="Q52" s="232"/>
      <c r="R52" s="232"/>
      <c r="S52" s="233"/>
      <c r="T52" s="236"/>
      <c r="U52" s="232"/>
      <c r="V52" s="232"/>
      <c r="W52" s="234"/>
    </row>
    <row r="53" spans="1:23" s="147" customFormat="1" ht="18" customHeight="1" x14ac:dyDescent="0.35">
      <c r="A53" s="26"/>
      <c r="B53" s="161" t="s">
        <v>1407</v>
      </c>
      <c r="C53" s="162" t="s">
        <v>140</v>
      </c>
      <c r="D53" s="162" t="s">
        <v>141</v>
      </c>
      <c r="E53" s="162" t="s">
        <v>168</v>
      </c>
      <c r="F53" s="289">
        <v>16000</v>
      </c>
      <c r="G53" s="162">
        <v>0</v>
      </c>
      <c r="H53" s="162">
        <v>7019798</v>
      </c>
      <c r="I53" s="193" t="s">
        <v>33</v>
      </c>
      <c r="J53" s="146" t="str">
        <f t="shared" si="0"/>
        <v>Sueldo Dic  18</v>
      </c>
      <c r="K53" s="146" t="str">
        <f t="shared" si="1"/>
        <v xml:space="preserve">Diego Maldonado                              </v>
      </c>
      <c r="L53" s="172"/>
      <c r="M53" s="172"/>
      <c r="N53" s="110"/>
      <c r="O53" s="210"/>
      <c r="P53" s="210"/>
      <c r="Q53" s="210"/>
      <c r="R53" s="210"/>
      <c r="S53" s="210"/>
      <c r="T53" s="210"/>
      <c r="U53" s="210"/>
      <c r="V53" s="210"/>
      <c r="W53" s="210"/>
    </row>
    <row r="54" spans="1:23" s="147" customFormat="1" ht="18" customHeight="1" x14ac:dyDescent="0.35">
      <c r="A54" s="26"/>
      <c r="B54" s="161" t="s">
        <v>1407</v>
      </c>
      <c r="C54" s="162" t="s">
        <v>140</v>
      </c>
      <c r="D54" s="162" t="s">
        <v>141</v>
      </c>
      <c r="E54" s="162" t="s">
        <v>168</v>
      </c>
      <c r="F54" s="162">
        <v>32000</v>
      </c>
      <c r="G54" s="162">
        <v>0</v>
      </c>
      <c r="H54" s="162">
        <v>7035798</v>
      </c>
      <c r="I54" s="193" t="s">
        <v>33</v>
      </c>
      <c r="J54" s="146" t="str">
        <f t="shared" si="0"/>
        <v>Sueldo Dic  18</v>
      </c>
      <c r="K54" s="146" t="str">
        <f t="shared" si="1"/>
        <v xml:space="preserve">Karina Mendoza                               </v>
      </c>
      <c r="L54" s="172"/>
      <c r="M54" s="172"/>
      <c r="N54" s="110"/>
      <c r="O54" s="210"/>
      <c r="P54" s="210"/>
      <c r="Q54" s="210"/>
      <c r="R54" s="210"/>
      <c r="S54" s="210"/>
      <c r="T54" s="210"/>
      <c r="U54" s="210"/>
      <c r="V54" s="210"/>
      <c r="W54" s="210"/>
    </row>
    <row r="55" spans="1:23" s="147" customFormat="1" ht="18" customHeight="1" x14ac:dyDescent="0.35">
      <c r="A55" s="26"/>
      <c r="B55" s="161" t="s">
        <v>1407</v>
      </c>
      <c r="C55" s="162" t="s">
        <v>140</v>
      </c>
      <c r="D55" s="162" t="s">
        <v>141</v>
      </c>
      <c r="E55" s="162" t="s">
        <v>168</v>
      </c>
      <c r="F55" s="162">
        <v>336476</v>
      </c>
      <c r="G55" s="162">
        <v>0</v>
      </c>
      <c r="H55" s="162">
        <v>7067798</v>
      </c>
      <c r="I55" s="193" t="s">
        <v>33</v>
      </c>
      <c r="J55" s="146" t="str">
        <f t="shared" si="0"/>
        <v>Sueldo Dic  18</v>
      </c>
      <c r="K55" s="146" t="str">
        <f t="shared" si="1"/>
        <v xml:space="preserve">Ana Cruz Varas                               </v>
      </c>
      <c r="L55" s="172"/>
      <c r="M55" s="172"/>
      <c r="N55" s="110"/>
      <c r="O55" s="210"/>
      <c r="P55" s="210"/>
      <c r="Q55" s="210"/>
      <c r="R55" s="210"/>
      <c r="S55" s="210"/>
      <c r="T55" s="210"/>
      <c r="U55" s="210"/>
      <c r="V55" s="210"/>
      <c r="W55" s="210"/>
    </row>
    <row r="56" spans="1:23" s="147" customFormat="1" ht="18" customHeight="1" x14ac:dyDescent="0.35">
      <c r="A56" s="26"/>
      <c r="B56" s="161" t="s">
        <v>1407</v>
      </c>
      <c r="C56" s="162" t="s">
        <v>140</v>
      </c>
      <c r="D56" s="162" t="s">
        <v>141</v>
      </c>
      <c r="E56" s="162" t="s">
        <v>168</v>
      </c>
      <c r="F56" s="162">
        <v>243118</v>
      </c>
      <c r="G56" s="162">
        <v>0</v>
      </c>
      <c r="H56" s="162">
        <v>7404274</v>
      </c>
      <c r="I56" s="193" t="s">
        <v>33</v>
      </c>
      <c r="J56" s="146" t="str">
        <f t="shared" si="0"/>
        <v>Sueldo Dic  18</v>
      </c>
      <c r="K56" s="146" t="str">
        <f t="shared" si="1"/>
        <v xml:space="preserve">Marcela Camata                               </v>
      </c>
      <c r="L56" s="172"/>
      <c r="M56" s="172"/>
      <c r="N56" s="110"/>
      <c r="O56" s="210"/>
      <c r="P56" s="210"/>
      <c r="Q56" s="210"/>
      <c r="R56" s="210"/>
      <c r="S56" s="210"/>
      <c r="T56" s="210"/>
      <c r="U56" s="210"/>
      <c r="V56" s="210"/>
      <c r="W56" s="210"/>
    </row>
    <row r="57" spans="1:23" s="210" customFormat="1" ht="18" customHeight="1" x14ac:dyDescent="0.35">
      <c r="A57" s="26"/>
      <c r="B57" s="161" t="s">
        <v>1407</v>
      </c>
      <c r="C57" s="162" t="s">
        <v>140</v>
      </c>
      <c r="D57" s="162" t="s">
        <v>141</v>
      </c>
      <c r="E57" s="162" t="s">
        <v>168</v>
      </c>
      <c r="F57" s="162">
        <v>604334</v>
      </c>
      <c r="G57" s="162">
        <v>0</v>
      </c>
      <c r="H57" s="162">
        <v>7647392</v>
      </c>
      <c r="I57" s="193" t="s">
        <v>33</v>
      </c>
      <c r="J57" s="146" t="str">
        <f t="shared" si="0"/>
        <v>Sueldo Dic  18</v>
      </c>
      <c r="K57" s="146" t="str">
        <f t="shared" si="1"/>
        <v xml:space="preserve">Leticia Alessi                               </v>
      </c>
      <c r="L57" s="172"/>
      <c r="M57" s="172"/>
      <c r="N57" s="110"/>
    </row>
    <row r="58" spans="1:23" s="210" customFormat="1" ht="18" customHeight="1" x14ac:dyDescent="0.35">
      <c r="A58" s="26"/>
      <c r="B58" s="161" t="s">
        <v>1407</v>
      </c>
      <c r="C58" s="162" t="s">
        <v>140</v>
      </c>
      <c r="D58" s="162" t="s">
        <v>141</v>
      </c>
      <c r="E58" s="162" t="s">
        <v>168</v>
      </c>
      <c r="F58" s="162">
        <v>591643</v>
      </c>
      <c r="G58" s="162">
        <v>0</v>
      </c>
      <c r="H58" s="162">
        <v>8251726</v>
      </c>
      <c r="I58" s="193" t="s">
        <v>33</v>
      </c>
      <c r="J58" s="146" t="str">
        <f t="shared" si="0"/>
        <v>Sueldo Dic  18</v>
      </c>
      <c r="K58" s="146" t="str">
        <f t="shared" si="1"/>
        <v xml:space="preserve">Cristina Casanovas                           </v>
      </c>
      <c r="L58" s="172"/>
      <c r="M58" s="172"/>
      <c r="N58" s="110"/>
    </row>
    <row r="59" spans="1:23" s="210" customFormat="1" ht="18" customHeight="1" x14ac:dyDescent="0.35">
      <c r="A59" s="26"/>
      <c r="B59" s="161" t="s">
        <v>1407</v>
      </c>
      <c r="C59" s="162" t="s">
        <v>140</v>
      </c>
      <c r="D59" s="162" t="s">
        <v>141</v>
      </c>
      <c r="E59" s="162" t="s">
        <v>168</v>
      </c>
      <c r="F59" s="162">
        <v>607769</v>
      </c>
      <c r="G59" s="162">
        <v>0</v>
      </c>
      <c r="H59" s="162">
        <v>8843369</v>
      </c>
      <c r="I59" s="193" t="s">
        <v>33</v>
      </c>
      <c r="J59" s="146" t="str">
        <f t="shared" si="0"/>
        <v>Sueldo Dic  18</v>
      </c>
      <c r="K59" s="146" t="str">
        <f t="shared" si="1"/>
        <v xml:space="preserve">Carlos Moscoso                               </v>
      </c>
      <c r="L59" s="172"/>
      <c r="M59" s="172"/>
      <c r="N59" s="110"/>
    </row>
    <row r="60" spans="1:23" s="210" customFormat="1" ht="18" customHeight="1" x14ac:dyDescent="0.35">
      <c r="A60" s="26"/>
      <c r="B60" s="161" t="s">
        <v>1407</v>
      </c>
      <c r="C60" s="162" t="s">
        <v>140</v>
      </c>
      <c r="D60" s="162" t="s">
        <v>141</v>
      </c>
      <c r="E60" s="162" t="s">
        <v>168</v>
      </c>
      <c r="F60" s="162">
        <v>266933</v>
      </c>
      <c r="G60" s="162">
        <v>0</v>
      </c>
      <c r="H60" s="162">
        <v>9451138</v>
      </c>
      <c r="I60" s="193" t="s">
        <v>33</v>
      </c>
      <c r="J60" s="146" t="str">
        <f t="shared" si="0"/>
        <v>Sueldo Dic  18</v>
      </c>
      <c r="K60" s="146" t="str">
        <f t="shared" si="1"/>
        <v xml:space="preserve">Juany Estelo Cruz                            </v>
      </c>
      <c r="L60" s="172"/>
      <c r="M60" s="172"/>
      <c r="N60" s="110"/>
    </row>
    <row r="61" spans="1:23" s="210" customFormat="1" ht="18" customHeight="1" x14ac:dyDescent="0.35">
      <c r="A61" s="26"/>
      <c r="B61" s="161" t="s">
        <v>1407</v>
      </c>
      <c r="C61" s="162" t="s">
        <v>140</v>
      </c>
      <c r="D61" s="162" t="s">
        <v>141</v>
      </c>
      <c r="E61" s="162" t="s">
        <v>168</v>
      </c>
      <c r="F61" s="162">
        <v>425383</v>
      </c>
      <c r="G61" s="162">
        <v>0</v>
      </c>
      <c r="H61" s="162">
        <v>9718071</v>
      </c>
      <c r="I61" s="193" t="s">
        <v>33</v>
      </c>
      <c r="J61" s="146" t="str">
        <f t="shared" si="0"/>
        <v>Sueldo Dic  18</v>
      </c>
      <c r="K61" s="146" t="str">
        <f t="shared" si="1"/>
        <v xml:space="preserve">Silvia Perez Ibarra                          </v>
      </c>
      <c r="L61" s="172"/>
      <c r="M61" s="172"/>
      <c r="N61" s="110"/>
    </row>
    <row r="62" spans="1:23" s="210" customFormat="1" ht="18" customHeight="1" x14ac:dyDescent="0.35">
      <c r="A62" s="26"/>
      <c r="B62" s="161" t="s">
        <v>1407</v>
      </c>
      <c r="C62" s="162" t="s">
        <v>140</v>
      </c>
      <c r="D62" s="162" t="s">
        <v>141</v>
      </c>
      <c r="E62" s="162" t="s">
        <v>168</v>
      </c>
      <c r="F62" s="162">
        <v>160000</v>
      </c>
      <c r="G62" s="162">
        <v>0</v>
      </c>
      <c r="H62" s="162">
        <v>10143454</v>
      </c>
      <c r="I62" s="193" t="s">
        <v>33</v>
      </c>
      <c r="J62" s="146" t="str">
        <f t="shared" si="0"/>
        <v>Sueldo Dic  18</v>
      </c>
      <c r="K62" s="146" t="str">
        <f t="shared" si="1"/>
        <v xml:space="preserve">Norma Gavia                                  </v>
      </c>
      <c r="L62" s="172"/>
      <c r="M62" s="172"/>
      <c r="N62" s="110"/>
    </row>
    <row r="63" spans="1:23" s="210" customFormat="1" ht="18" customHeight="1" x14ac:dyDescent="0.35">
      <c r="A63" s="26"/>
      <c r="B63" s="161" t="s">
        <v>1407</v>
      </c>
      <c r="C63" s="162" t="s">
        <v>140</v>
      </c>
      <c r="D63" s="162" t="s">
        <v>141</v>
      </c>
      <c r="E63" s="162" t="s">
        <v>168</v>
      </c>
      <c r="F63" s="162">
        <v>80000</v>
      </c>
      <c r="G63" s="162">
        <v>0</v>
      </c>
      <c r="H63" s="162">
        <v>10303454</v>
      </c>
      <c r="I63" s="193" t="s">
        <v>33</v>
      </c>
      <c r="J63" s="146" t="str">
        <f t="shared" si="0"/>
        <v>Sueldo Dic  18</v>
      </c>
      <c r="K63" s="146" t="str">
        <f t="shared" si="1"/>
        <v xml:space="preserve">Maria Lanza                                  </v>
      </c>
      <c r="L63" s="172"/>
      <c r="M63" s="110"/>
      <c r="N63" s="110"/>
    </row>
    <row r="64" spans="1:23" s="210" customFormat="1" ht="18" customHeight="1" x14ac:dyDescent="0.35">
      <c r="A64" s="26"/>
      <c r="B64" s="161" t="s">
        <v>1407</v>
      </c>
      <c r="C64" s="162" t="s">
        <v>140</v>
      </c>
      <c r="D64" s="162" t="s">
        <v>145</v>
      </c>
      <c r="E64" s="162" t="s">
        <v>168</v>
      </c>
      <c r="F64" s="162">
        <v>0</v>
      </c>
      <c r="G64" s="162">
        <v>5000000</v>
      </c>
      <c r="H64" s="162">
        <v>10383454</v>
      </c>
      <c r="I64" s="193" t="s">
        <v>152</v>
      </c>
      <c r="J64" s="146" t="str">
        <f t="shared" si="0"/>
        <v/>
      </c>
      <c r="K64" s="146" t="str">
        <f t="shared" si="1"/>
        <v/>
      </c>
      <c r="L64" s="172"/>
      <c r="M64" s="110"/>
      <c r="N64" s="110"/>
    </row>
    <row r="65" spans="1:23" s="210" customFormat="1" ht="18" customHeight="1" x14ac:dyDescent="0.35">
      <c r="A65" s="26"/>
      <c r="B65" s="161" t="s">
        <v>1408</v>
      </c>
      <c r="C65" s="162" t="s">
        <v>148</v>
      </c>
      <c r="D65" s="162" t="s">
        <v>149</v>
      </c>
      <c r="E65" s="162" t="s">
        <v>168</v>
      </c>
      <c r="F65" s="162">
        <v>66570</v>
      </c>
      <c r="G65" s="162">
        <v>0</v>
      </c>
      <c r="H65" s="162">
        <v>5134846</v>
      </c>
      <c r="I65" s="193" t="s">
        <v>9</v>
      </c>
      <c r="J65" s="146" t="str">
        <f t="shared" si="0"/>
        <v/>
      </c>
      <c r="K65" s="146" t="str">
        <f t="shared" si="1"/>
        <v/>
      </c>
      <c r="L65" s="172" t="s">
        <v>1550</v>
      </c>
      <c r="M65" s="110"/>
      <c r="N65" s="110"/>
    </row>
    <row r="66" spans="1:23" s="210" customFormat="1" ht="18" customHeight="1" x14ac:dyDescent="0.35">
      <c r="A66" s="26"/>
      <c r="B66" s="161" t="s">
        <v>1408</v>
      </c>
      <c r="C66" s="162" t="s">
        <v>224</v>
      </c>
      <c r="D66" s="162" t="s">
        <v>248</v>
      </c>
      <c r="E66" s="162" t="s">
        <v>168</v>
      </c>
      <c r="F66" s="162">
        <v>0</v>
      </c>
      <c r="G66" s="162">
        <v>11000</v>
      </c>
      <c r="H66" s="162">
        <v>5201416</v>
      </c>
      <c r="I66" s="193" t="s">
        <v>196</v>
      </c>
      <c r="J66" s="146" t="str">
        <f t="shared" si="0"/>
        <v/>
      </c>
      <c r="K66" s="146" t="str">
        <f t="shared" si="1"/>
        <v/>
      </c>
      <c r="L66" s="172"/>
      <c r="M66" s="110"/>
      <c r="N66" s="110"/>
    </row>
    <row r="67" spans="1:23" s="210" customFormat="1" ht="18" customHeight="1" x14ac:dyDescent="0.35">
      <c r="A67" s="26"/>
      <c r="B67" s="161" t="s">
        <v>1408</v>
      </c>
      <c r="C67" s="162" t="s">
        <v>140</v>
      </c>
      <c r="D67" s="162" t="s">
        <v>141</v>
      </c>
      <c r="E67" s="162" t="s">
        <v>168</v>
      </c>
      <c r="F67" s="162">
        <v>1700000</v>
      </c>
      <c r="G67" s="162">
        <v>0</v>
      </c>
      <c r="H67" s="162">
        <v>5190416</v>
      </c>
      <c r="I67" s="193" t="s">
        <v>193</v>
      </c>
      <c r="J67" s="146" t="str">
        <f t="shared" si="0"/>
        <v>Reparacion Camioneta Colorado</v>
      </c>
      <c r="K67" s="146" t="str">
        <f t="shared" si="1"/>
        <v xml:space="preserve">PILAR CUEVAS CUEVAS                          </v>
      </c>
      <c r="L67" s="172"/>
      <c r="M67" s="110"/>
      <c r="N67" s="110"/>
    </row>
    <row r="68" spans="1:23" s="210" customFormat="1" ht="18" customHeight="1" x14ac:dyDescent="0.35">
      <c r="A68" s="26"/>
      <c r="B68" s="161"/>
      <c r="C68" s="162"/>
      <c r="D68" s="162"/>
      <c r="E68" s="162"/>
      <c r="F68" s="162"/>
      <c r="G68" s="162"/>
      <c r="H68" s="162"/>
      <c r="I68" s="193"/>
      <c r="J68" s="146" t="str">
        <f t="shared" ref="J68:J71" si="2">IFERROR(VLOOKUP(-F68,$T$3:$W$50,4,FALSE),"")</f>
        <v/>
      </c>
      <c r="K68" s="146" t="str">
        <f t="shared" ref="K68:K71" si="3">IFERROR(VLOOKUP(-F68,$T$3:$W$50,3,FALSE),"")</f>
        <v/>
      </c>
      <c r="L68" s="172"/>
      <c r="M68" s="110"/>
      <c r="N68" s="110"/>
    </row>
    <row r="69" spans="1:23" s="210" customFormat="1" ht="18" customHeight="1" x14ac:dyDescent="0.35">
      <c r="A69" s="26"/>
      <c r="B69" s="161"/>
      <c r="C69" s="162"/>
      <c r="D69" s="162"/>
      <c r="E69" s="162"/>
      <c r="F69" s="162"/>
      <c r="G69" s="162"/>
      <c r="H69" s="162"/>
      <c r="I69" s="193"/>
      <c r="J69" s="146" t="str">
        <f t="shared" si="2"/>
        <v/>
      </c>
      <c r="K69" s="146" t="str">
        <f t="shared" si="3"/>
        <v/>
      </c>
      <c r="L69" s="172"/>
      <c r="M69" s="110"/>
      <c r="N69" s="110"/>
    </row>
    <row r="70" spans="1:23" s="210" customFormat="1" ht="18" customHeight="1" x14ac:dyDescent="0.35">
      <c r="A70" s="26"/>
      <c r="B70" s="161"/>
      <c r="C70" s="162"/>
      <c r="D70" s="162"/>
      <c r="E70" s="162"/>
      <c r="F70" s="162"/>
      <c r="G70" s="162"/>
      <c r="H70" s="162"/>
      <c r="I70" s="193"/>
      <c r="J70" s="146" t="str">
        <f t="shared" si="2"/>
        <v/>
      </c>
      <c r="K70" s="146" t="str">
        <f t="shared" si="3"/>
        <v/>
      </c>
      <c r="L70" s="172"/>
      <c r="M70" s="110"/>
      <c r="N70" s="110"/>
    </row>
    <row r="71" spans="1:23" s="210" customFormat="1" ht="18" customHeight="1" x14ac:dyDescent="0.35">
      <c r="A71" s="26"/>
      <c r="B71" s="161"/>
      <c r="C71" s="162"/>
      <c r="D71" s="162"/>
      <c r="E71" s="162"/>
      <c r="F71" s="162"/>
      <c r="G71" s="162"/>
      <c r="H71" s="162"/>
      <c r="I71" s="193"/>
      <c r="J71" s="146" t="str">
        <f t="shared" si="2"/>
        <v/>
      </c>
      <c r="K71" s="146" t="str">
        <f t="shared" si="3"/>
        <v/>
      </c>
      <c r="L71" s="172"/>
      <c r="M71" s="110"/>
      <c r="N71" s="110"/>
    </row>
    <row r="72" spans="1:23" s="210" customFormat="1" ht="18" customHeight="1" x14ac:dyDescent="0.35">
      <c r="A72" s="26"/>
      <c r="B72" s="161"/>
      <c r="C72" s="162"/>
      <c r="D72" s="162"/>
      <c r="E72" s="162"/>
      <c r="F72" s="162"/>
      <c r="G72" s="162"/>
      <c r="H72" s="162"/>
      <c r="I72" s="193"/>
      <c r="J72" s="146"/>
      <c r="K72" s="146"/>
      <c r="L72" s="172"/>
      <c r="M72" s="110"/>
      <c r="N72" s="110"/>
    </row>
    <row r="73" spans="1:23" s="210" customFormat="1" ht="18" customHeight="1" x14ac:dyDescent="0.35">
      <c r="A73" s="26"/>
      <c r="B73" s="161"/>
      <c r="C73" s="162"/>
      <c r="D73" s="162"/>
      <c r="E73" s="162"/>
      <c r="F73" s="162"/>
      <c r="G73" s="162"/>
      <c r="H73" s="162"/>
      <c r="I73" s="193"/>
      <c r="J73" s="146"/>
      <c r="K73" s="146"/>
      <c r="L73" s="172"/>
      <c r="M73" s="110"/>
      <c r="N73" s="110"/>
    </row>
    <row r="74" spans="1:23" s="210" customFormat="1" ht="18" customHeight="1" x14ac:dyDescent="0.35">
      <c r="A74" s="26"/>
      <c r="B74" s="161"/>
      <c r="C74" s="162"/>
      <c r="D74" s="162"/>
      <c r="E74" s="162"/>
      <c r="F74" s="162"/>
      <c r="G74" s="162"/>
      <c r="H74" s="162"/>
      <c r="I74" s="193"/>
      <c r="J74" s="146"/>
      <c r="K74" s="146"/>
      <c r="L74" s="172"/>
      <c r="M74" s="110"/>
      <c r="N74" s="110"/>
    </row>
    <row r="75" spans="1:23" s="147" customFormat="1" ht="18" customHeight="1" x14ac:dyDescent="0.35">
      <c r="A75" s="26"/>
      <c r="B75" s="161"/>
      <c r="C75" s="162"/>
      <c r="D75" s="162"/>
      <c r="E75" s="162"/>
      <c r="F75" s="162"/>
      <c r="G75" s="162"/>
      <c r="H75" s="162"/>
      <c r="I75" s="193"/>
      <c r="J75" s="146"/>
      <c r="K75" s="146"/>
      <c r="L75" s="172"/>
      <c r="M75" s="110"/>
      <c r="N75" s="110"/>
      <c r="O75" s="210"/>
      <c r="P75" s="210"/>
      <c r="Q75" s="210"/>
      <c r="R75" s="210"/>
      <c r="S75" s="210"/>
      <c r="T75" s="210"/>
      <c r="U75" s="210"/>
      <c r="V75" s="210"/>
      <c r="W75" s="210"/>
    </row>
    <row r="76" spans="1:23" s="147" customFormat="1" ht="18" customHeight="1" x14ac:dyDescent="0.35">
      <c r="A76" s="26"/>
      <c r="B76" s="161"/>
      <c r="C76" s="162"/>
      <c r="D76" s="162"/>
      <c r="E76" s="162"/>
      <c r="F76" s="162"/>
      <c r="G76" s="162"/>
      <c r="H76" s="162"/>
      <c r="I76" s="193"/>
      <c r="J76" s="146"/>
      <c r="K76" s="146"/>
      <c r="L76" s="172"/>
      <c r="M76" s="110"/>
      <c r="N76" s="110"/>
      <c r="O76" s="210"/>
      <c r="P76" s="210"/>
      <c r="Q76" s="210"/>
      <c r="R76" s="210"/>
      <c r="S76" s="210"/>
      <c r="T76" s="210"/>
      <c r="U76" s="210"/>
      <c r="V76" s="210"/>
      <c r="W76" s="210"/>
    </row>
    <row r="77" spans="1:23" s="147" customFormat="1" ht="18" customHeight="1" x14ac:dyDescent="0.35">
      <c r="A77" s="26"/>
      <c r="B77" s="161"/>
      <c r="C77" s="162"/>
      <c r="D77" s="162"/>
      <c r="E77" s="162"/>
      <c r="F77" s="162"/>
      <c r="G77" s="162"/>
      <c r="H77" s="162"/>
      <c r="I77" s="193"/>
      <c r="J77" s="146"/>
      <c r="K77" s="146"/>
      <c r="L77" s="172"/>
      <c r="M77" s="110"/>
      <c r="N77" s="110"/>
      <c r="O77" s="210"/>
      <c r="P77" s="210"/>
      <c r="Q77" s="210"/>
      <c r="R77" s="210"/>
      <c r="S77" s="210"/>
      <c r="T77" s="210"/>
      <c r="U77" s="210"/>
      <c r="V77" s="210"/>
      <c r="W77" s="210"/>
    </row>
    <row r="78" spans="1:23" s="147" customFormat="1" ht="18" customHeight="1" x14ac:dyDescent="0.35">
      <c r="A78" s="26"/>
      <c r="B78" s="161"/>
      <c r="C78" s="162"/>
      <c r="D78" s="162"/>
      <c r="E78" s="162"/>
      <c r="F78" s="162"/>
      <c r="G78" s="162"/>
      <c r="H78" s="162"/>
      <c r="I78" s="193"/>
      <c r="J78" s="146"/>
      <c r="K78" s="146"/>
      <c r="L78" s="172"/>
      <c r="M78" s="110"/>
      <c r="N78" s="110"/>
      <c r="O78" s="210"/>
      <c r="P78" s="210"/>
      <c r="Q78" s="210"/>
      <c r="R78" s="210"/>
      <c r="S78" s="210"/>
      <c r="T78" s="210"/>
      <c r="U78" s="210"/>
      <c r="V78" s="210"/>
      <c r="W78" s="210"/>
    </row>
    <row r="79" spans="1:23" s="147" customFormat="1" ht="18" customHeight="1" x14ac:dyDescent="0.35">
      <c r="A79" s="26"/>
      <c r="B79" s="161"/>
      <c r="C79" s="162"/>
      <c r="D79" s="162"/>
      <c r="E79" s="162"/>
      <c r="F79" s="162"/>
      <c r="G79" s="162"/>
      <c r="H79" s="162"/>
      <c r="I79" s="193"/>
      <c r="J79" s="146"/>
      <c r="K79" s="146"/>
      <c r="L79" s="172"/>
      <c r="M79" s="110"/>
      <c r="N79" s="110"/>
      <c r="O79" s="210"/>
      <c r="P79" s="210"/>
      <c r="Q79" s="210"/>
      <c r="R79" s="210"/>
      <c r="S79" s="210"/>
      <c r="T79" s="210"/>
      <c r="U79" s="210"/>
      <c r="V79" s="210"/>
      <c r="W79" s="210"/>
    </row>
    <row r="80" spans="1:23" s="147" customFormat="1" ht="18" customHeight="1" x14ac:dyDescent="0.35">
      <c r="A80" s="26"/>
      <c r="B80" s="161"/>
      <c r="C80" s="162"/>
      <c r="D80" s="162"/>
      <c r="E80" s="162"/>
      <c r="F80" s="162"/>
      <c r="G80" s="162"/>
      <c r="H80" s="162"/>
      <c r="I80" s="193"/>
      <c r="J80" s="146" t="str">
        <f t="shared" ref="J80" si="4">IFERROR(VLOOKUP(-F80,$T$3:$W$50,4,FALSE),"")</f>
        <v/>
      </c>
      <c r="K80" s="146" t="str">
        <f t="shared" ref="K80" si="5">IFERROR(VLOOKUP(-F80,$T$3:$W$50,3,FALSE),"")</f>
        <v/>
      </c>
      <c r="L80" s="172"/>
      <c r="M80" s="110"/>
      <c r="N80" s="110"/>
      <c r="O80" s="210"/>
      <c r="P80" s="210"/>
      <c r="Q80" s="210"/>
      <c r="R80" s="210"/>
      <c r="S80" s="210"/>
      <c r="T80" s="210"/>
      <c r="U80" s="210"/>
      <c r="V80" s="210"/>
      <c r="W80" s="210"/>
    </row>
    <row r="81" spans="1:23" s="147" customFormat="1" ht="18" customHeight="1" x14ac:dyDescent="0.35">
      <c r="A81" s="26"/>
      <c r="B81" s="161"/>
      <c r="C81" s="162"/>
      <c r="D81" s="162"/>
      <c r="E81" s="162"/>
      <c r="F81" s="162"/>
      <c r="G81" s="162"/>
      <c r="H81" s="162"/>
      <c r="I81" s="193"/>
      <c r="J81" s="197"/>
      <c r="K81" s="146"/>
      <c r="L81" s="172"/>
      <c r="M81" s="110"/>
      <c r="N81" s="110"/>
      <c r="O81" s="210"/>
      <c r="P81" s="210"/>
      <c r="Q81" s="210"/>
      <c r="R81" s="210"/>
      <c r="S81" s="210"/>
      <c r="T81" s="210"/>
      <c r="U81" s="210"/>
      <c r="V81" s="210"/>
      <c r="W81" s="210"/>
    </row>
    <row r="82" spans="1:23" s="147" customFormat="1" ht="18" customHeight="1" x14ac:dyDescent="0.35">
      <c r="A82" s="26"/>
      <c r="B82" s="161"/>
      <c r="C82" s="162"/>
      <c r="D82" s="162"/>
      <c r="E82" s="162"/>
      <c r="F82" s="162"/>
      <c r="G82" s="162"/>
      <c r="H82" s="162"/>
      <c r="I82" s="193"/>
      <c r="J82" s="197"/>
      <c r="K82" s="146"/>
      <c r="L82" s="172"/>
      <c r="N82" s="110"/>
      <c r="O82" s="210"/>
      <c r="P82" s="210"/>
      <c r="Q82" s="210"/>
      <c r="R82" s="210"/>
      <c r="S82" s="210"/>
      <c r="T82" s="210"/>
      <c r="U82" s="210"/>
      <c r="V82" s="210"/>
      <c r="W82" s="210"/>
    </row>
    <row r="83" spans="1:23" s="147" customFormat="1" ht="18" customHeight="1" x14ac:dyDescent="0.35">
      <c r="A83" s="26"/>
      <c r="B83" s="161"/>
      <c r="C83" s="162"/>
      <c r="D83" s="162"/>
      <c r="E83" s="162"/>
      <c r="F83" s="162"/>
      <c r="G83" s="162"/>
      <c r="H83" s="162"/>
      <c r="I83" s="193"/>
      <c r="J83" s="197"/>
      <c r="K83" s="146"/>
      <c r="L83" s="172"/>
      <c r="N83" s="110"/>
      <c r="O83" s="210"/>
      <c r="P83" s="210"/>
      <c r="Q83" s="210"/>
      <c r="R83" s="210"/>
      <c r="S83" s="210"/>
      <c r="T83" s="210"/>
      <c r="U83" s="210"/>
      <c r="V83" s="210"/>
      <c r="W83" s="210"/>
    </row>
    <row r="84" spans="1:23" s="147" customFormat="1" ht="18" customHeight="1" x14ac:dyDescent="0.35">
      <c r="A84" s="26"/>
      <c r="B84" s="161"/>
      <c r="C84" s="162"/>
      <c r="D84" s="162"/>
      <c r="E84" s="162"/>
      <c r="F84" s="162"/>
      <c r="G84" s="162"/>
      <c r="H84" s="162"/>
      <c r="I84" s="193"/>
      <c r="J84" s="197"/>
      <c r="K84" s="146"/>
      <c r="L84" s="172"/>
      <c r="N84" s="110"/>
      <c r="O84" s="210"/>
      <c r="P84" s="210"/>
      <c r="Q84" s="210"/>
      <c r="R84" s="210"/>
      <c r="S84" s="210"/>
      <c r="T84" s="210"/>
      <c r="U84" s="210"/>
      <c r="V84" s="210"/>
      <c r="W84" s="210"/>
    </row>
    <row r="85" spans="1:23" s="147" customFormat="1" ht="18" customHeight="1" x14ac:dyDescent="0.35">
      <c r="A85" s="26"/>
      <c r="B85" s="161"/>
      <c r="C85" s="162"/>
      <c r="D85" s="162"/>
      <c r="E85" s="162"/>
      <c r="F85" s="162"/>
      <c r="G85" s="162"/>
      <c r="H85" s="162"/>
      <c r="I85" s="193"/>
      <c r="J85" s="197"/>
      <c r="K85" s="146"/>
      <c r="L85" s="172"/>
      <c r="N85" s="110"/>
      <c r="O85" s="210"/>
      <c r="P85" s="210"/>
      <c r="Q85" s="210"/>
      <c r="R85" s="210"/>
      <c r="S85" s="210"/>
      <c r="T85" s="210"/>
      <c r="U85" s="210"/>
      <c r="V85" s="210"/>
      <c r="W85" s="210"/>
    </row>
    <row r="86" spans="1:23" s="147" customFormat="1" ht="18" customHeight="1" x14ac:dyDescent="0.35">
      <c r="A86" s="26"/>
      <c r="B86" s="161"/>
      <c r="C86" s="162"/>
      <c r="D86" s="162"/>
      <c r="E86" s="162"/>
      <c r="F86" s="162"/>
      <c r="G86" s="162"/>
      <c r="H86" s="162"/>
      <c r="I86" s="193"/>
      <c r="J86" s="197"/>
      <c r="K86" s="146"/>
      <c r="L86" s="172"/>
      <c r="N86" s="110"/>
      <c r="O86" s="210"/>
      <c r="P86" s="210"/>
      <c r="Q86" s="210"/>
      <c r="R86" s="210"/>
      <c r="S86" s="210"/>
      <c r="T86" s="210"/>
      <c r="U86" s="210"/>
      <c r="V86" s="210"/>
      <c r="W86" s="210"/>
    </row>
    <row r="87" spans="1:23" s="147" customFormat="1" ht="18" customHeight="1" x14ac:dyDescent="0.35">
      <c r="A87" s="26"/>
      <c r="B87" s="161"/>
      <c r="C87" s="162"/>
      <c r="D87" s="162"/>
      <c r="E87" s="162"/>
      <c r="F87" s="162"/>
      <c r="G87" s="162"/>
      <c r="H87" s="162"/>
      <c r="I87" s="193"/>
      <c r="J87" s="197"/>
      <c r="K87" s="146"/>
      <c r="L87" s="172"/>
      <c r="N87" s="110"/>
      <c r="O87" s="210"/>
      <c r="P87" s="210"/>
      <c r="Q87" s="210"/>
      <c r="R87" s="210"/>
      <c r="S87" s="210"/>
      <c r="T87" s="210"/>
      <c r="U87" s="210"/>
      <c r="V87" s="210"/>
      <c r="W87" s="210"/>
    </row>
    <row r="88" spans="1:23" s="147" customFormat="1" ht="18" customHeight="1" x14ac:dyDescent="0.35">
      <c r="A88" s="26"/>
      <c r="B88" s="161"/>
      <c r="C88" s="162"/>
      <c r="D88" s="162"/>
      <c r="E88" s="162"/>
      <c r="F88" s="162"/>
      <c r="G88" s="162"/>
      <c r="H88" s="162"/>
      <c r="I88" s="193"/>
      <c r="J88" s="197"/>
      <c r="K88" s="146"/>
      <c r="L88" s="172"/>
      <c r="N88" s="110"/>
      <c r="O88" s="210"/>
      <c r="P88" s="210"/>
      <c r="Q88" s="210"/>
      <c r="R88" s="210"/>
      <c r="S88" s="210"/>
      <c r="T88" s="210"/>
      <c r="U88" s="210"/>
      <c r="V88" s="210"/>
      <c r="W88" s="210"/>
    </row>
    <row r="89" spans="1:23" s="147" customFormat="1" ht="18" customHeight="1" x14ac:dyDescent="0.35">
      <c r="B89" s="161"/>
      <c r="C89" s="162"/>
      <c r="D89" s="162"/>
      <c r="E89" s="162"/>
      <c r="F89" s="162"/>
      <c r="G89" s="162"/>
      <c r="H89" s="162"/>
      <c r="I89" s="193"/>
      <c r="J89" s="197"/>
      <c r="K89" s="146"/>
      <c r="L89" s="172"/>
      <c r="N89" s="110"/>
      <c r="O89" s="210"/>
      <c r="P89" s="210"/>
      <c r="Q89" s="210"/>
      <c r="R89" s="210"/>
      <c r="S89" s="210"/>
      <c r="T89" s="210"/>
      <c r="U89" s="210"/>
      <c r="V89" s="210"/>
      <c r="W89" s="210"/>
    </row>
    <row r="90" spans="1:23" s="147" customFormat="1" ht="18" customHeight="1" x14ac:dyDescent="0.35">
      <c r="B90" s="161"/>
      <c r="C90" s="162"/>
      <c r="D90" s="162"/>
      <c r="E90" s="162"/>
      <c r="F90" s="162"/>
      <c r="G90" s="162"/>
      <c r="H90" s="162"/>
      <c r="I90" s="193"/>
      <c r="J90" s="197"/>
      <c r="K90" s="146"/>
      <c r="L90" s="172"/>
      <c r="N90" s="110"/>
      <c r="O90" s="210"/>
      <c r="P90" s="210"/>
      <c r="Q90" s="210"/>
      <c r="R90" s="210"/>
      <c r="S90" s="210"/>
      <c r="T90" s="210"/>
      <c r="U90" s="210"/>
      <c r="V90" s="210"/>
      <c r="W90" s="210"/>
    </row>
    <row r="91" spans="1:23" s="147" customFormat="1" ht="18" customHeight="1" x14ac:dyDescent="0.35">
      <c r="B91" s="161"/>
      <c r="C91" s="162"/>
      <c r="D91" s="162"/>
      <c r="E91" s="162"/>
      <c r="F91" s="162"/>
      <c r="G91" s="162"/>
      <c r="H91" s="162"/>
      <c r="I91" s="193"/>
      <c r="J91" s="196"/>
      <c r="K91" s="146"/>
      <c r="L91" s="172"/>
      <c r="N91" s="110"/>
      <c r="O91" s="210"/>
      <c r="P91" s="210"/>
      <c r="Q91" s="210"/>
      <c r="R91" s="210"/>
      <c r="S91" s="210"/>
      <c r="T91" s="210"/>
      <c r="U91" s="210"/>
      <c r="V91" s="210"/>
      <c r="W91" s="210"/>
    </row>
    <row r="92" spans="1:23" s="147" customFormat="1" ht="18" customHeight="1" x14ac:dyDescent="0.35">
      <c r="B92" s="161"/>
      <c r="C92" s="162"/>
      <c r="D92" s="162"/>
      <c r="E92" s="162"/>
      <c r="F92" s="162"/>
      <c r="G92" s="162"/>
      <c r="H92" s="162"/>
      <c r="I92" s="193"/>
      <c r="J92" s="196"/>
      <c r="K92" s="146"/>
      <c r="L92" s="172"/>
      <c r="N92" s="110"/>
      <c r="O92" s="210"/>
      <c r="P92" s="210"/>
      <c r="Q92" s="210"/>
      <c r="R92" s="210"/>
      <c r="S92" s="210"/>
      <c r="T92" s="210"/>
      <c r="U92" s="210"/>
      <c r="V92" s="210"/>
      <c r="W92" s="210"/>
    </row>
    <row r="93" spans="1:23" s="147" customFormat="1" ht="18" customHeight="1" x14ac:dyDescent="0.35">
      <c r="B93" s="161"/>
      <c r="C93" s="162"/>
      <c r="D93" s="162"/>
      <c r="E93" s="162"/>
      <c r="F93" s="162"/>
      <c r="G93" s="162"/>
      <c r="H93" s="162"/>
      <c r="I93" s="193"/>
      <c r="J93" s="196"/>
      <c r="K93" s="146"/>
      <c r="L93" s="172"/>
      <c r="N93" s="110"/>
      <c r="O93" s="210"/>
      <c r="P93" s="210"/>
      <c r="Q93" s="210"/>
      <c r="R93" s="210"/>
      <c r="S93" s="210"/>
      <c r="T93" s="210"/>
      <c r="U93" s="210"/>
      <c r="V93" s="210"/>
      <c r="W93" s="210"/>
    </row>
    <row r="94" spans="1:23" s="147" customFormat="1" ht="18" customHeight="1" x14ac:dyDescent="0.35">
      <c r="B94" s="161"/>
      <c r="C94" s="162"/>
      <c r="D94" s="162"/>
      <c r="E94" s="162"/>
      <c r="F94" s="162"/>
      <c r="G94" s="162"/>
      <c r="H94" s="162"/>
      <c r="I94" s="193"/>
      <c r="J94" s="196"/>
      <c r="K94" s="146"/>
      <c r="L94" s="172"/>
      <c r="N94" s="110"/>
      <c r="O94" s="210"/>
      <c r="P94" s="210"/>
      <c r="Q94" s="210"/>
      <c r="R94" s="210"/>
      <c r="S94" s="210"/>
      <c r="T94" s="210"/>
      <c r="U94" s="210"/>
      <c r="V94" s="210"/>
      <c r="W94" s="210"/>
    </row>
    <row r="95" spans="1:23" s="147" customFormat="1" ht="18" customHeight="1" x14ac:dyDescent="0.35">
      <c r="B95" s="161"/>
      <c r="C95" s="162"/>
      <c r="D95" s="162"/>
      <c r="E95" s="162"/>
      <c r="F95" s="162"/>
      <c r="G95" s="162"/>
      <c r="H95" s="162"/>
      <c r="I95" s="193"/>
      <c r="J95" s="196"/>
      <c r="K95" s="146"/>
      <c r="L95" s="172"/>
      <c r="N95" s="110"/>
      <c r="O95" s="210"/>
      <c r="P95" s="210"/>
      <c r="Q95" s="210"/>
      <c r="R95" s="210"/>
      <c r="S95" s="210"/>
      <c r="T95" s="210"/>
      <c r="U95" s="210"/>
      <c r="V95" s="210"/>
      <c r="W95" s="210"/>
    </row>
    <row r="96" spans="1:23" s="147" customFormat="1" ht="18" customHeight="1" x14ac:dyDescent="0.35">
      <c r="B96" s="161"/>
      <c r="C96" s="162"/>
      <c r="D96" s="162"/>
      <c r="E96" s="162"/>
      <c r="F96" s="162"/>
      <c r="G96" s="162"/>
      <c r="H96" s="162"/>
      <c r="I96" s="193"/>
      <c r="J96" s="196"/>
      <c r="K96" s="146"/>
      <c r="L96" s="172"/>
      <c r="N96" s="110"/>
      <c r="O96" s="210"/>
      <c r="P96" s="210"/>
      <c r="Q96" s="210"/>
      <c r="R96" s="210"/>
      <c r="S96" s="210"/>
      <c r="T96" s="210"/>
      <c r="U96" s="210"/>
      <c r="V96" s="210"/>
      <c r="W96" s="210"/>
    </row>
    <row r="97" spans="1:23" s="147" customFormat="1" ht="18" customHeight="1" x14ac:dyDescent="0.35">
      <c r="B97" s="161"/>
      <c r="C97" s="162"/>
      <c r="D97" s="162"/>
      <c r="E97" s="162"/>
      <c r="F97" s="162"/>
      <c r="G97" s="162"/>
      <c r="H97" s="162"/>
      <c r="I97" s="193"/>
      <c r="J97" s="196"/>
      <c r="K97" s="146"/>
      <c r="L97" s="172"/>
      <c r="N97" s="110"/>
      <c r="O97" s="210"/>
      <c r="P97" s="210"/>
      <c r="Q97" s="210"/>
      <c r="R97" s="210"/>
      <c r="S97" s="210"/>
      <c r="T97" s="210"/>
      <c r="U97" s="210"/>
      <c r="V97" s="210"/>
      <c r="W97" s="210"/>
    </row>
    <row r="98" spans="1:23" s="147" customFormat="1" ht="18" customHeight="1" x14ac:dyDescent="0.35">
      <c r="B98" s="161"/>
      <c r="C98" s="162"/>
      <c r="D98" s="162"/>
      <c r="E98" s="162"/>
      <c r="F98" s="162"/>
      <c r="G98" s="162"/>
      <c r="H98" s="162"/>
      <c r="I98" s="193"/>
      <c r="J98" s="196"/>
      <c r="K98" s="146"/>
      <c r="L98" s="116"/>
      <c r="N98" s="110"/>
      <c r="O98" s="210"/>
      <c r="P98" s="210"/>
      <c r="Q98" s="210"/>
      <c r="R98" s="210"/>
      <c r="S98" s="210"/>
      <c r="T98" s="210"/>
      <c r="U98" s="210"/>
      <c r="V98" s="210"/>
      <c r="W98" s="210"/>
    </row>
    <row r="99" spans="1:23" s="147" customFormat="1" ht="18" customHeight="1" x14ac:dyDescent="0.35">
      <c r="B99" s="161"/>
      <c r="C99" s="162"/>
      <c r="D99" s="162"/>
      <c r="E99" s="162"/>
      <c r="F99" s="162"/>
      <c r="G99" s="162"/>
      <c r="H99" s="162"/>
      <c r="I99" s="193"/>
      <c r="J99" s="196"/>
      <c r="K99" s="146"/>
      <c r="L99" s="116"/>
      <c r="N99" s="110"/>
      <c r="O99" s="210"/>
      <c r="P99" s="210"/>
      <c r="Q99" s="210"/>
      <c r="R99" s="210"/>
      <c r="S99" s="210"/>
      <c r="T99" s="210"/>
      <c r="U99" s="210"/>
      <c r="V99" s="210"/>
      <c r="W99" s="210"/>
    </row>
    <row r="100" spans="1:23" s="147" customFormat="1" ht="18" customHeight="1" x14ac:dyDescent="0.35">
      <c r="B100" s="161"/>
      <c r="C100" s="162"/>
      <c r="D100" s="162"/>
      <c r="E100" s="162"/>
      <c r="F100" s="162"/>
      <c r="G100" s="162"/>
      <c r="H100" s="162"/>
      <c r="I100" s="193"/>
      <c r="J100" s="196"/>
      <c r="K100" s="146"/>
      <c r="L100" s="116"/>
      <c r="N100" s="110"/>
      <c r="O100" s="210"/>
      <c r="P100" s="210"/>
      <c r="Q100" s="210"/>
      <c r="R100" s="210"/>
      <c r="S100" s="210"/>
      <c r="T100" s="210"/>
      <c r="U100" s="210"/>
      <c r="V100" s="210"/>
      <c r="W100" s="210"/>
    </row>
    <row r="101" spans="1:23" s="147" customFormat="1" ht="18" customHeight="1" x14ac:dyDescent="0.35">
      <c r="B101" s="161"/>
      <c r="C101" s="162"/>
      <c r="D101" s="162"/>
      <c r="E101" s="162"/>
      <c r="F101" s="162"/>
      <c r="G101" s="162"/>
      <c r="H101" s="162"/>
      <c r="I101" s="193"/>
      <c r="J101" s="196"/>
      <c r="K101" s="146"/>
      <c r="L101" s="116"/>
      <c r="N101" s="110"/>
      <c r="O101" s="210"/>
      <c r="P101" s="210"/>
      <c r="Q101" s="210"/>
      <c r="R101" s="210"/>
      <c r="S101" s="210"/>
      <c r="T101" s="210"/>
      <c r="U101" s="210"/>
      <c r="V101" s="210"/>
      <c r="W101" s="210"/>
    </row>
    <row r="102" spans="1:23" s="147" customFormat="1" ht="18" customHeight="1" x14ac:dyDescent="0.35">
      <c r="B102" s="161"/>
      <c r="C102" s="162"/>
      <c r="D102" s="162"/>
      <c r="E102" s="162"/>
      <c r="F102" s="162"/>
      <c r="G102" s="162"/>
      <c r="H102" s="162"/>
      <c r="I102" s="193"/>
      <c r="J102" s="196"/>
      <c r="K102" s="146"/>
      <c r="L102" s="116"/>
      <c r="N102" s="110"/>
      <c r="O102" s="210"/>
      <c r="P102" s="210"/>
      <c r="Q102" s="210"/>
      <c r="R102" s="210"/>
      <c r="S102" s="210"/>
      <c r="T102" s="210"/>
      <c r="U102" s="210"/>
      <c r="V102" s="210"/>
      <c r="W102" s="210"/>
    </row>
    <row r="103" spans="1:23" s="147" customFormat="1" ht="18" customHeight="1" x14ac:dyDescent="0.35">
      <c r="B103" s="161"/>
      <c r="C103" s="162"/>
      <c r="D103" s="162"/>
      <c r="E103" s="162"/>
      <c r="F103" s="162"/>
      <c r="G103" s="162"/>
      <c r="H103" s="162"/>
      <c r="I103" s="193"/>
      <c r="J103" s="196"/>
      <c r="K103" s="146"/>
      <c r="L103" s="116"/>
      <c r="N103" s="110"/>
      <c r="O103" s="210"/>
      <c r="P103" s="210"/>
      <c r="Q103" s="210"/>
      <c r="R103" s="210"/>
      <c r="S103" s="210"/>
      <c r="T103" s="210"/>
      <c r="U103" s="210"/>
      <c r="V103" s="210"/>
      <c r="W103" s="210"/>
    </row>
    <row r="104" spans="1:23" s="147" customFormat="1" ht="18" customHeight="1" x14ac:dyDescent="0.35">
      <c r="B104" s="161"/>
      <c r="C104" s="162"/>
      <c r="D104" s="162"/>
      <c r="E104" s="162"/>
      <c r="F104" s="162"/>
      <c r="G104" s="162"/>
      <c r="H104" s="162"/>
      <c r="I104" s="193"/>
      <c r="J104" s="196"/>
      <c r="K104" s="146"/>
      <c r="L104" s="116"/>
      <c r="N104" s="110"/>
      <c r="O104" s="210"/>
      <c r="P104" s="210"/>
      <c r="Q104" s="210"/>
      <c r="R104" s="210"/>
      <c r="S104" s="210"/>
      <c r="T104" s="210"/>
      <c r="U104" s="210"/>
      <c r="V104" s="210"/>
      <c r="W104" s="210"/>
    </row>
    <row r="105" spans="1:23" s="128" customFormat="1" ht="18" customHeight="1" x14ac:dyDescent="0.35">
      <c r="A105" s="147"/>
      <c r="B105" s="161"/>
      <c r="C105" s="162"/>
      <c r="D105" s="162"/>
      <c r="E105" s="162"/>
      <c r="F105" s="162"/>
      <c r="G105" s="162"/>
      <c r="H105" s="162"/>
      <c r="I105" s="193"/>
      <c r="J105" s="196"/>
      <c r="K105" s="146"/>
      <c r="L105" s="116"/>
      <c r="N105" s="110"/>
      <c r="O105" s="210"/>
      <c r="P105" s="210"/>
      <c r="Q105" s="210"/>
      <c r="R105" s="210"/>
      <c r="S105" s="210"/>
      <c r="T105" s="210"/>
      <c r="U105" s="210"/>
      <c r="V105" s="210"/>
      <c r="W105" s="210"/>
    </row>
    <row r="106" spans="1:23" s="57" customFormat="1" ht="18" customHeight="1" x14ac:dyDescent="0.3">
      <c r="B106" s="59" t="s">
        <v>5</v>
      </c>
      <c r="C106" s="59" t="s">
        <v>28</v>
      </c>
      <c r="D106" s="156" t="s">
        <v>154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198"/>
      <c r="K106" s="60"/>
      <c r="L106" s="117"/>
      <c r="M106" s="44"/>
      <c r="N106" s="44"/>
      <c r="O106" s="210"/>
      <c r="P106" s="210"/>
      <c r="Q106" s="210"/>
      <c r="R106" s="210"/>
      <c r="S106" s="210"/>
      <c r="T106" s="210"/>
      <c r="U106" s="210"/>
      <c r="V106" s="210"/>
      <c r="W106" s="210"/>
    </row>
    <row r="107" spans="1:23" s="57" customFormat="1" ht="18" customHeight="1" x14ac:dyDescent="0.35">
      <c r="B107" s="113" t="s">
        <v>1527</v>
      </c>
      <c r="C107" s="114" t="s">
        <v>1528</v>
      </c>
      <c r="D107" s="114" t="s">
        <v>1529</v>
      </c>
      <c r="E107" s="114" t="s">
        <v>1536</v>
      </c>
      <c r="F107" s="246">
        <v>-3000</v>
      </c>
      <c r="G107" s="246"/>
      <c r="H107" s="246"/>
      <c r="I107" s="193" t="s">
        <v>151</v>
      </c>
      <c r="J107" s="199"/>
      <c r="K107" s="50"/>
      <c r="L107" s="333" t="s">
        <v>1569</v>
      </c>
      <c r="M107" s="44"/>
      <c r="N107" s="128"/>
      <c r="O107" s="210"/>
      <c r="P107" s="210"/>
      <c r="Q107" s="210"/>
      <c r="R107" s="210"/>
      <c r="S107" s="210"/>
      <c r="T107" s="210"/>
      <c r="U107" s="210"/>
      <c r="V107" s="210"/>
      <c r="W107" s="210"/>
    </row>
    <row r="108" spans="1:23" s="147" customFormat="1" ht="18" customHeight="1" x14ac:dyDescent="0.35">
      <c r="B108" s="161" t="s">
        <v>1527</v>
      </c>
      <c r="C108" s="162" t="s">
        <v>95</v>
      </c>
      <c r="D108" s="162" t="s">
        <v>238</v>
      </c>
      <c r="E108" s="162" t="s">
        <v>1537</v>
      </c>
      <c r="F108" s="246"/>
      <c r="G108" s="246">
        <v>1700</v>
      </c>
      <c r="H108" s="246"/>
      <c r="I108" s="193" t="s">
        <v>197</v>
      </c>
      <c r="J108" s="199"/>
      <c r="K108" s="146"/>
      <c r="L108" s="117">
        <f t="shared" ref="L108:L116" si="6">+F108*620</f>
        <v>0</v>
      </c>
      <c r="M108" s="44"/>
      <c r="O108" s="210"/>
      <c r="P108" s="210"/>
      <c r="Q108" s="210"/>
      <c r="R108" s="210"/>
      <c r="S108" s="210"/>
      <c r="T108" s="210"/>
      <c r="U108" s="210"/>
      <c r="V108" s="210"/>
      <c r="W108" s="210"/>
    </row>
    <row r="109" spans="1:23" s="147" customFormat="1" ht="18" customHeight="1" x14ac:dyDescent="0.35">
      <c r="B109" s="161" t="s">
        <v>1530</v>
      </c>
      <c r="C109" s="162" t="s">
        <v>95</v>
      </c>
      <c r="D109" s="162" t="s">
        <v>238</v>
      </c>
      <c r="E109" s="162" t="s">
        <v>1538</v>
      </c>
      <c r="F109" s="246"/>
      <c r="G109" s="246">
        <v>413</v>
      </c>
      <c r="H109" s="246"/>
      <c r="I109" s="193" t="s">
        <v>197</v>
      </c>
      <c r="J109" s="199"/>
      <c r="K109" s="146"/>
      <c r="L109" s="117">
        <f t="shared" si="6"/>
        <v>0</v>
      </c>
      <c r="M109" s="44"/>
      <c r="O109" s="210"/>
      <c r="P109" s="210"/>
      <c r="Q109" s="210"/>
      <c r="R109" s="210"/>
      <c r="S109" s="210"/>
      <c r="T109" s="210"/>
      <c r="U109" s="210"/>
      <c r="V109" s="210"/>
      <c r="W109" s="210"/>
    </row>
    <row r="110" spans="1:23" s="210" customFormat="1" ht="18" customHeight="1" x14ac:dyDescent="0.35">
      <c r="B110" s="161" t="s">
        <v>1530</v>
      </c>
      <c r="C110" s="162" t="s">
        <v>225</v>
      </c>
      <c r="D110" s="162" t="s">
        <v>239</v>
      </c>
      <c r="E110" s="162" t="s">
        <v>1539</v>
      </c>
      <c r="F110" s="246">
        <v>-5000</v>
      </c>
      <c r="G110" s="246"/>
      <c r="H110" s="246"/>
      <c r="I110" s="193" t="s">
        <v>196</v>
      </c>
      <c r="J110" s="199"/>
      <c r="K110" s="146"/>
      <c r="L110" s="117"/>
      <c r="M110" s="44"/>
    </row>
    <row r="111" spans="1:23" s="210" customFormat="1" ht="18" customHeight="1" x14ac:dyDescent="0.35">
      <c r="B111" s="161" t="s">
        <v>1531</v>
      </c>
      <c r="C111" s="162" t="s">
        <v>95</v>
      </c>
      <c r="D111" s="162" t="s">
        <v>238</v>
      </c>
      <c r="E111" s="162" t="s">
        <v>1540</v>
      </c>
      <c r="F111" s="246"/>
      <c r="G111" s="246">
        <v>2920</v>
      </c>
      <c r="H111" s="246"/>
      <c r="I111" s="193" t="s">
        <v>152</v>
      </c>
      <c r="J111" s="199"/>
      <c r="K111" s="146"/>
      <c r="L111" s="333"/>
      <c r="M111" s="44"/>
    </row>
    <row r="112" spans="1:23" s="210" customFormat="1" ht="18" customHeight="1" x14ac:dyDescent="0.35">
      <c r="B112" s="161" t="s">
        <v>1532</v>
      </c>
      <c r="C112" s="162" t="s">
        <v>95</v>
      </c>
      <c r="D112" s="162" t="s">
        <v>238</v>
      </c>
      <c r="E112" s="162" t="s">
        <v>1541</v>
      </c>
      <c r="F112" s="246"/>
      <c r="G112" s="246">
        <v>1025</v>
      </c>
      <c r="H112" s="246"/>
      <c r="I112" s="193" t="s">
        <v>197</v>
      </c>
      <c r="J112" s="199"/>
      <c r="K112" s="146"/>
      <c r="L112" s="117"/>
      <c r="M112" s="44"/>
    </row>
    <row r="113" spans="1:35" s="147" customFormat="1" ht="18" customHeight="1" x14ac:dyDescent="0.35">
      <c r="B113" s="161" t="s">
        <v>1533</v>
      </c>
      <c r="C113" s="162" t="s">
        <v>95</v>
      </c>
      <c r="D113" s="162" t="s">
        <v>238</v>
      </c>
      <c r="E113" s="162" t="s">
        <v>1542</v>
      </c>
      <c r="F113" s="246"/>
      <c r="G113" s="246">
        <v>1773</v>
      </c>
      <c r="H113" s="246"/>
      <c r="I113" s="193" t="s">
        <v>197</v>
      </c>
      <c r="J113" s="199"/>
      <c r="K113" s="146"/>
      <c r="L113" s="117">
        <f t="shared" si="6"/>
        <v>0</v>
      </c>
      <c r="M113" s="44"/>
      <c r="O113" s="210"/>
      <c r="P113" s="210"/>
      <c r="Q113" s="210"/>
      <c r="R113" s="210"/>
      <c r="S113" s="210"/>
      <c r="T113" s="210"/>
      <c r="U113" s="210"/>
      <c r="V113" s="210"/>
      <c r="W113" s="210"/>
    </row>
    <row r="114" spans="1:35" s="128" customFormat="1" ht="18" customHeight="1" x14ac:dyDescent="0.35">
      <c r="A114" s="147"/>
      <c r="B114" s="161" t="s">
        <v>1534</v>
      </c>
      <c r="C114" s="162" t="s">
        <v>95</v>
      </c>
      <c r="D114" s="162" t="s">
        <v>238</v>
      </c>
      <c r="E114" s="162" t="s">
        <v>1543</v>
      </c>
      <c r="F114" s="246"/>
      <c r="G114" s="246">
        <v>219</v>
      </c>
      <c r="H114" s="246"/>
      <c r="I114" s="193" t="s">
        <v>197</v>
      </c>
      <c r="J114" s="199"/>
      <c r="K114" s="146"/>
      <c r="L114" s="117">
        <f t="shared" si="6"/>
        <v>0</v>
      </c>
      <c r="M114" s="44"/>
      <c r="O114" s="210"/>
      <c r="P114" s="210"/>
      <c r="Q114" s="210"/>
      <c r="R114" s="210"/>
      <c r="S114" s="210"/>
      <c r="T114" s="210"/>
      <c r="U114" s="210"/>
      <c r="V114" s="210"/>
      <c r="W114" s="210"/>
    </row>
    <row r="115" spans="1:35" s="128" customFormat="1" ht="18" customHeight="1" x14ac:dyDescent="0.35">
      <c r="A115" s="147"/>
      <c r="B115" s="161" t="s">
        <v>1534</v>
      </c>
      <c r="C115" s="162" t="s">
        <v>95</v>
      </c>
      <c r="D115" s="162" t="s">
        <v>238</v>
      </c>
      <c r="E115" s="162" t="s">
        <v>255</v>
      </c>
      <c r="F115" s="246"/>
      <c r="G115" s="246">
        <v>1129</v>
      </c>
      <c r="H115" s="246"/>
      <c r="I115" s="193" t="s">
        <v>197</v>
      </c>
      <c r="J115" s="199"/>
      <c r="K115" s="146"/>
      <c r="L115" s="117">
        <f t="shared" si="6"/>
        <v>0</v>
      </c>
      <c r="M115" s="44"/>
      <c r="N115" s="160"/>
      <c r="O115" s="210"/>
      <c r="P115" s="210"/>
      <c r="Q115" s="210"/>
      <c r="R115" s="210"/>
      <c r="S115" s="210"/>
      <c r="T115" s="210"/>
      <c r="U115" s="210"/>
      <c r="V115" s="210"/>
      <c r="W115" s="210"/>
    </row>
    <row r="116" spans="1:35" s="210" customFormat="1" ht="18" customHeight="1" x14ac:dyDescent="0.35">
      <c r="B116" s="161" t="s">
        <v>1535</v>
      </c>
      <c r="C116" s="162" t="s">
        <v>95</v>
      </c>
      <c r="D116" s="162" t="s">
        <v>238</v>
      </c>
      <c r="E116" s="162" t="s">
        <v>1544</v>
      </c>
      <c r="F116" s="162"/>
      <c r="G116" s="162">
        <v>390</v>
      </c>
      <c r="H116" s="162"/>
      <c r="I116" s="193" t="s">
        <v>197</v>
      </c>
      <c r="J116" s="199"/>
      <c r="K116" s="146"/>
      <c r="L116" s="117">
        <f t="shared" si="6"/>
        <v>0</v>
      </c>
      <c r="M116" s="44"/>
      <c r="N116" s="160"/>
    </row>
    <row r="117" spans="1:35" s="128" customFormat="1" ht="18" customHeight="1" x14ac:dyDescent="0.35">
      <c r="A117" s="147"/>
      <c r="B117" s="161"/>
      <c r="C117" s="162"/>
      <c r="D117" s="162"/>
      <c r="E117" s="162"/>
      <c r="F117" s="162"/>
      <c r="G117" s="162"/>
      <c r="H117" s="162"/>
      <c r="I117" s="193"/>
      <c r="J117" s="199"/>
      <c r="K117" s="146"/>
      <c r="L117" s="117"/>
      <c r="M117" s="44"/>
      <c r="N117" s="160"/>
      <c r="O117" s="210"/>
      <c r="P117" s="210"/>
      <c r="Q117" s="210"/>
      <c r="R117" s="210"/>
      <c r="S117" s="210"/>
      <c r="T117" s="210"/>
      <c r="U117" s="210"/>
      <c r="V117" s="210"/>
      <c r="W117" s="210"/>
    </row>
    <row r="118" spans="1:35" s="128" customFormat="1" ht="18" customHeight="1" x14ac:dyDescent="0.35">
      <c r="A118" s="147"/>
      <c r="B118" s="161"/>
      <c r="C118" s="162"/>
      <c r="D118" s="162"/>
      <c r="E118" s="162"/>
      <c r="F118" s="162"/>
      <c r="G118" s="162"/>
      <c r="H118" s="162"/>
      <c r="I118" s="193"/>
      <c r="J118" s="199"/>
      <c r="K118" s="146"/>
      <c r="L118" s="117"/>
      <c r="M118" s="44"/>
      <c r="N118" s="160"/>
      <c r="O118" s="210"/>
      <c r="P118" s="210"/>
      <c r="Q118" s="210"/>
      <c r="R118" s="210"/>
      <c r="S118" s="210"/>
      <c r="T118" s="210"/>
      <c r="U118" s="210"/>
      <c r="V118" s="210"/>
      <c r="W118" s="210"/>
    </row>
    <row r="119" spans="1:35" s="128" customFormat="1" ht="18" customHeight="1" x14ac:dyDescent="0.3">
      <c r="B119" s="156" t="s">
        <v>135</v>
      </c>
      <c r="C119" s="156" t="s">
        <v>5</v>
      </c>
      <c r="D119" s="156" t="s">
        <v>153</v>
      </c>
      <c r="E119" s="156"/>
      <c r="F119" s="156"/>
      <c r="G119" s="156"/>
      <c r="H119" s="156"/>
      <c r="I119" s="60"/>
      <c r="J119" s="198"/>
      <c r="K119" s="60"/>
      <c r="L119" s="14"/>
      <c r="M119" s="147"/>
      <c r="N119" s="111"/>
      <c r="O119" s="210"/>
      <c r="P119" s="210"/>
      <c r="Q119" s="210"/>
      <c r="R119" s="210"/>
      <c r="S119" s="210"/>
      <c r="T119" s="210"/>
      <c r="U119" s="210"/>
      <c r="V119" s="210"/>
      <c r="W119" s="210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</row>
    <row r="120" spans="1:35" s="128" customFormat="1" ht="18" customHeight="1" x14ac:dyDescent="0.35">
      <c r="B120" s="161" t="s">
        <v>1504</v>
      </c>
      <c r="C120" s="209" t="s">
        <v>770</v>
      </c>
      <c r="D120" s="162" t="s">
        <v>1505</v>
      </c>
      <c r="E120" s="162" t="s">
        <v>1506</v>
      </c>
      <c r="F120" s="162">
        <v>14836</v>
      </c>
      <c r="G120" s="162"/>
      <c r="H120" s="162"/>
      <c r="I120" s="193" t="s">
        <v>194</v>
      </c>
      <c r="J120" s="197"/>
      <c r="K120" s="146"/>
      <c r="L120" s="14"/>
      <c r="M120" s="147"/>
      <c r="N120" s="111"/>
      <c r="O120" s="210"/>
      <c r="P120" s="210"/>
      <c r="Q120" s="210"/>
      <c r="R120" s="210"/>
      <c r="S120" s="210"/>
      <c r="T120" s="210"/>
      <c r="U120" s="210"/>
      <c r="V120" s="210"/>
      <c r="W120" s="210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</row>
    <row r="121" spans="1:35" s="128" customFormat="1" ht="18" customHeight="1" x14ac:dyDescent="0.35">
      <c r="B121" s="161" t="s">
        <v>1507</v>
      </c>
      <c r="C121" s="209" t="s">
        <v>770</v>
      </c>
      <c r="D121" s="162" t="s">
        <v>786</v>
      </c>
      <c r="E121" s="162" t="s">
        <v>142</v>
      </c>
      <c r="F121" s="162">
        <v>20000</v>
      </c>
      <c r="G121" s="162"/>
      <c r="H121" s="162"/>
      <c r="I121" s="193" t="s">
        <v>194</v>
      </c>
      <c r="J121" s="197"/>
      <c r="K121" s="146"/>
      <c r="L121" s="14"/>
      <c r="M121" s="147"/>
      <c r="N121" s="111"/>
      <c r="O121" s="111"/>
      <c r="P121" s="111"/>
      <c r="Q121" s="111"/>
      <c r="R121" s="111"/>
      <c r="S121" s="111"/>
      <c r="T121" s="17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</row>
    <row r="122" spans="1:35" s="147" customFormat="1" ht="18" customHeight="1" x14ac:dyDescent="0.35">
      <c r="B122" s="161" t="s">
        <v>1508</v>
      </c>
      <c r="C122" s="209" t="s">
        <v>770</v>
      </c>
      <c r="D122" s="162" t="s">
        <v>1509</v>
      </c>
      <c r="E122" s="162" t="s">
        <v>1510</v>
      </c>
      <c r="F122" s="162">
        <v>18700</v>
      </c>
      <c r="G122" s="162"/>
      <c r="H122" s="162"/>
      <c r="I122" s="193" t="s">
        <v>194</v>
      </c>
      <c r="J122" s="197"/>
      <c r="K122" s="146"/>
      <c r="L122" s="14"/>
      <c r="N122" s="111"/>
      <c r="O122" s="111"/>
      <c r="P122" s="111"/>
      <c r="Q122" s="111"/>
      <c r="R122" s="111"/>
      <c r="S122" s="111"/>
      <c r="T122" s="17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</row>
    <row r="123" spans="1:35" s="147" customFormat="1" ht="18" customHeight="1" x14ac:dyDescent="0.35">
      <c r="B123" s="161" t="s">
        <v>1511</v>
      </c>
      <c r="C123" s="209" t="s">
        <v>1512</v>
      </c>
      <c r="D123" s="162" t="s">
        <v>1509</v>
      </c>
      <c r="E123" s="162" t="s">
        <v>1510</v>
      </c>
      <c r="F123" s="162">
        <v>19200</v>
      </c>
      <c r="G123" s="162"/>
      <c r="H123" s="162"/>
      <c r="I123" s="193" t="s">
        <v>194</v>
      </c>
      <c r="J123" s="197"/>
      <c r="K123" s="146"/>
      <c r="L123" s="14"/>
      <c r="N123" s="111"/>
      <c r="O123" s="111"/>
      <c r="P123" s="111"/>
      <c r="Q123" s="111"/>
      <c r="R123" s="111"/>
      <c r="S123" s="111"/>
      <c r="T123" s="17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</row>
    <row r="124" spans="1:35" s="147" customFormat="1" ht="18" customHeight="1" x14ac:dyDescent="0.35">
      <c r="B124" s="161" t="s">
        <v>1513</v>
      </c>
      <c r="C124" s="209" t="s">
        <v>1512</v>
      </c>
      <c r="D124" s="162" t="s">
        <v>785</v>
      </c>
      <c r="E124" s="162" t="s">
        <v>1506</v>
      </c>
      <c r="F124" s="162">
        <v>60148</v>
      </c>
      <c r="G124" s="162"/>
      <c r="H124" s="162"/>
      <c r="I124" s="193" t="s">
        <v>194</v>
      </c>
      <c r="J124" s="197"/>
      <c r="K124" s="146"/>
      <c r="L124" s="14"/>
      <c r="N124" s="111"/>
      <c r="O124" s="111"/>
      <c r="P124" s="111"/>
      <c r="Q124" s="111"/>
      <c r="R124" s="111"/>
      <c r="S124" s="111"/>
      <c r="T124" s="17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</row>
    <row r="125" spans="1:35" s="147" customFormat="1" ht="18" customHeight="1" x14ac:dyDescent="0.35">
      <c r="B125" s="161" t="s">
        <v>1514</v>
      </c>
      <c r="C125" s="209" t="s">
        <v>1512</v>
      </c>
      <c r="D125" s="162" t="s">
        <v>1515</v>
      </c>
      <c r="E125" s="162" t="s">
        <v>1510</v>
      </c>
      <c r="F125" s="162">
        <v>14300</v>
      </c>
      <c r="G125" s="162"/>
      <c r="H125" s="162"/>
      <c r="I125" s="193" t="s">
        <v>194</v>
      </c>
      <c r="J125" s="197"/>
      <c r="K125" s="146"/>
      <c r="L125" s="14"/>
      <c r="N125" s="111"/>
      <c r="O125" s="111"/>
      <c r="P125" s="111"/>
      <c r="Q125" s="111"/>
      <c r="R125" s="111"/>
      <c r="S125" s="111"/>
      <c r="T125" s="17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</row>
    <row r="126" spans="1:35" s="147" customFormat="1" ht="18" customHeight="1" x14ac:dyDescent="0.35">
      <c r="B126" s="161" t="s">
        <v>1516</v>
      </c>
      <c r="C126" s="209" t="s">
        <v>1517</v>
      </c>
      <c r="D126" s="162" t="s">
        <v>1518</v>
      </c>
      <c r="E126" s="162" t="s">
        <v>1506</v>
      </c>
      <c r="F126" s="162">
        <v>18000</v>
      </c>
      <c r="G126" s="162"/>
      <c r="H126" s="162"/>
      <c r="I126" s="193" t="s">
        <v>194</v>
      </c>
      <c r="J126" s="197"/>
      <c r="K126" s="146"/>
      <c r="L126" s="14"/>
      <c r="N126" s="111"/>
      <c r="O126" s="111"/>
      <c r="P126" s="111"/>
      <c r="Q126" s="111"/>
      <c r="R126" s="111"/>
      <c r="S126" s="111"/>
      <c r="T126" s="17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</row>
    <row r="127" spans="1:35" s="147" customFormat="1" ht="18" customHeight="1" x14ac:dyDescent="0.35">
      <c r="B127" s="161" t="s">
        <v>1519</v>
      </c>
      <c r="C127" s="209" t="s">
        <v>796</v>
      </c>
      <c r="D127" s="162" t="s">
        <v>181</v>
      </c>
      <c r="E127" s="162"/>
      <c r="F127" s="162">
        <v>3550</v>
      </c>
      <c r="G127" s="162"/>
      <c r="H127" s="162"/>
      <c r="I127" s="193" t="s">
        <v>191</v>
      </c>
      <c r="J127" s="197"/>
      <c r="K127" s="146"/>
      <c r="L127" s="14"/>
      <c r="N127" s="111"/>
      <c r="O127" s="111"/>
      <c r="P127" s="111"/>
      <c r="Q127" s="111"/>
      <c r="R127" s="111"/>
      <c r="S127" s="111"/>
      <c r="T127" s="17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</row>
    <row r="128" spans="1:35" s="147" customFormat="1" ht="18" customHeight="1" x14ac:dyDescent="0.35">
      <c r="B128" s="161" t="s">
        <v>1520</v>
      </c>
      <c r="C128" s="209" t="s">
        <v>773</v>
      </c>
      <c r="D128" s="162" t="s">
        <v>181</v>
      </c>
      <c r="E128" s="162"/>
      <c r="F128" s="162">
        <v>191</v>
      </c>
      <c r="G128" s="162"/>
      <c r="H128" s="162"/>
      <c r="I128" s="193" t="s">
        <v>191</v>
      </c>
      <c r="J128" s="197"/>
      <c r="K128" s="146"/>
      <c r="L128" s="14"/>
      <c r="M128" s="110"/>
      <c r="N128" s="111"/>
      <c r="O128" s="111"/>
      <c r="P128" s="111"/>
      <c r="Q128" s="111"/>
      <c r="R128" s="111"/>
      <c r="S128" s="111"/>
      <c r="T128" s="17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</row>
    <row r="129" spans="2:35" s="147" customFormat="1" ht="18" customHeight="1" x14ac:dyDescent="0.35">
      <c r="B129" s="161" t="s">
        <v>1521</v>
      </c>
      <c r="C129" s="209" t="s">
        <v>773</v>
      </c>
      <c r="D129" s="162" t="s">
        <v>1522</v>
      </c>
      <c r="E129" s="162"/>
      <c r="F129" s="162">
        <v>-9790</v>
      </c>
      <c r="G129" s="162"/>
      <c r="H129" s="162"/>
      <c r="I129" s="193" t="s">
        <v>191</v>
      </c>
      <c r="J129" s="197"/>
      <c r="K129" s="146"/>
      <c r="L129" s="14"/>
      <c r="N129" s="111"/>
      <c r="O129" s="111"/>
      <c r="P129" s="111"/>
      <c r="Q129" s="111"/>
      <c r="R129" s="111"/>
      <c r="S129" s="111"/>
      <c r="T129" s="17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</row>
    <row r="130" spans="2:35" s="147" customFormat="1" ht="18" customHeight="1" x14ac:dyDescent="0.35">
      <c r="B130" s="161" t="s">
        <v>1523</v>
      </c>
      <c r="C130" s="209" t="s">
        <v>775</v>
      </c>
      <c r="D130" s="162" t="s">
        <v>181</v>
      </c>
      <c r="E130" s="162"/>
      <c r="F130" s="162">
        <v>1546</v>
      </c>
      <c r="G130" s="162"/>
      <c r="H130" s="162"/>
      <c r="I130" s="193" t="s">
        <v>191</v>
      </c>
      <c r="J130" s="197"/>
      <c r="K130" s="146"/>
      <c r="L130" s="14"/>
      <c r="N130" s="111"/>
      <c r="O130" s="111"/>
      <c r="P130" s="111"/>
      <c r="Q130" s="111"/>
      <c r="R130" s="111"/>
      <c r="S130" s="111"/>
      <c r="T130" s="17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</row>
    <row r="131" spans="2:35" s="147" customFormat="1" ht="18" customHeight="1" x14ac:dyDescent="0.35">
      <c r="B131" s="161" t="s">
        <v>1524</v>
      </c>
      <c r="C131" s="209" t="s">
        <v>1393</v>
      </c>
      <c r="D131" s="162" t="s">
        <v>181</v>
      </c>
      <c r="E131" s="162"/>
      <c r="F131" s="162">
        <v>948</v>
      </c>
      <c r="G131" s="162"/>
      <c r="H131" s="162"/>
      <c r="I131" s="193" t="s">
        <v>191</v>
      </c>
      <c r="J131" s="197"/>
      <c r="K131" s="146"/>
      <c r="L131" s="14"/>
      <c r="N131" s="111"/>
      <c r="O131" s="111"/>
      <c r="P131" s="111"/>
      <c r="Q131" s="111"/>
      <c r="R131" s="111"/>
      <c r="S131" s="111"/>
      <c r="T131" s="17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</row>
    <row r="132" spans="2:35" s="147" customFormat="1" ht="18" customHeight="1" x14ac:dyDescent="0.35">
      <c r="B132" s="161" t="s">
        <v>1525</v>
      </c>
      <c r="C132" s="209" t="s">
        <v>1394</v>
      </c>
      <c r="D132" s="162" t="s">
        <v>1522</v>
      </c>
      <c r="E132" s="162"/>
      <c r="F132" s="162">
        <v>-2610</v>
      </c>
      <c r="G132" s="162"/>
      <c r="H132" s="162"/>
      <c r="I132" s="193" t="s">
        <v>191</v>
      </c>
      <c r="J132" s="197"/>
      <c r="K132" s="146"/>
      <c r="L132" s="14"/>
      <c r="N132" s="111"/>
      <c r="O132" s="111"/>
      <c r="P132" s="111"/>
      <c r="Q132" s="111"/>
      <c r="R132" s="111"/>
      <c r="S132" s="111"/>
      <c r="T132" s="17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</row>
    <row r="133" spans="2:35" s="147" customFormat="1" ht="18" customHeight="1" x14ac:dyDescent="0.35">
      <c r="B133" s="161" t="s">
        <v>1525</v>
      </c>
      <c r="C133" s="209" t="s">
        <v>1394</v>
      </c>
      <c r="D133" s="162" t="s">
        <v>367</v>
      </c>
      <c r="E133" s="162"/>
      <c r="F133" s="162">
        <v>-601</v>
      </c>
      <c r="G133" s="162"/>
      <c r="H133" s="162"/>
      <c r="I133" s="193" t="s">
        <v>191</v>
      </c>
      <c r="J133" s="197"/>
      <c r="K133" s="146"/>
      <c r="L133" s="14"/>
      <c r="N133" s="111"/>
      <c r="O133" s="111"/>
      <c r="P133" s="111"/>
      <c r="Q133" s="111"/>
      <c r="R133" s="111"/>
      <c r="S133" s="111"/>
      <c r="T133" s="17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</row>
    <row r="134" spans="2:35" s="147" customFormat="1" ht="18" customHeight="1" x14ac:dyDescent="0.35">
      <c r="B134" s="161" t="s">
        <v>1526</v>
      </c>
      <c r="C134" s="209" t="s">
        <v>1394</v>
      </c>
      <c r="D134" s="162" t="s">
        <v>182</v>
      </c>
      <c r="E134" s="162"/>
      <c r="F134" s="246">
        <v>1653</v>
      </c>
      <c r="G134" s="162"/>
      <c r="H134" s="162"/>
      <c r="I134" s="193" t="s">
        <v>191</v>
      </c>
      <c r="J134" s="197"/>
      <c r="K134" s="146"/>
      <c r="L134" s="14"/>
      <c r="N134" s="111"/>
      <c r="O134" s="111"/>
      <c r="P134" s="111"/>
      <c r="Q134" s="111"/>
      <c r="R134" s="111"/>
      <c r="S134" s="111"/>
      <c r="T134" s="17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</row>
    <row r="135" spans="2:35" s="147" customFormat="1" ht="18" customHeight="1" x14ac:dyDescent="0.35">
      <c r="B135" s="161"/>
      <c r="C135" s="209"/>
      <c r="D135" s="162"/>
      <c r="E135" s="162"/>
      <c r="F135" s="246"/>
      <c r="G135" s="162"/>
      <c r="H135" s="162"/>
      <c r="I135" s="193"/>
      <c r="J135" s="197"/>
      <c r="K135" s="146"/>
      <c r="L135" s="14"/>
      <c r="N135" s="111"/>
      <c r="O135" s="111"/>
      <c r="P135" s="111"/>
      <c r="Q135" s="111"/>
      <c r="R135" s="111"/>
      <c r="S135" s="111"/>
      <c r="T135" s="17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</row>
    <row r="136" spans="2:35" s="147" customFormat="1" ht="18" customHeight="1" x14ac:dyDescent="0.35">
      <c r="B136" s="161"/>
      <c r="C136" s="209"/>
      <c r="D136" s="162"/>
      <c r="E136" s="162"/>
      <c r="F136" s="162"/>
      <c r="G136" s="162"/>
      <c r="H136" s="162"/>
      <c r="I136" s="193"/>
      <c r="J136" s="197"/>
      <c r="K136" s="146"/>
      <c r="L136" s="14"/>
      <c r="N136" s="111"/>
      <c r="O136" s="111"/>
      <c r="P136" s="111"/>
      <c r="Q136" s="111"/>
      <c r="R136" s="111"/>
      <c r="S136" s="111"/>
      <c r="T136" s="17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</row>
    <row r="137" spans="2:35" s="147" customFormat="1" ht="18" customHeight="1" x14ac:dyDescent="0.35">
      <c r="B137" s="161"/>
      <c r="C137" s="209"/>
      <c r="D137" s="162"/>
      <c r="E137" s="162"/>
      <c r="F137" s="162"/>
      <c r="G137" s="162"/>
      <c r="H137" s="162"/>
      <c r="I137" s="193"/>
      <c r="J137" s="197"/>
      <c r="K137" s="146"/>
      <c r="L137" s="14"/>
      <c r="N137" s="111"/>
      <c r="O137" s="111"/>
      <c r="P137" s="111"/>
      <c r="Q137" s="111"/>
      <c r="R137" s="111"/>
      <c r="S137" s="111"/>
      <c r="T137" s="17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</row>
    <row r="138" spans="2:35" s="147" customFormat="1" ht="18" customHeight="1" x14ac:dyDescent="0.35">
      <c r="B138" s="161"/>
      <c r="C138" s="209"/>
      <c r="D138" s="162"/>
      <c r="E138" s="162"/>
      <c r="F138" s="162"/>
      <c r="G138" s="162"/>
      <c r="H138" s="162"/>
      <c r="I138" s="193"/>
      <c r="J138" s="197"/>
      <c r="K138" s="146"/>
      <c r="L138" s="14"/>
      <c r="N138" s="111"/>
      <c r="O138" s="111"/>
      <c r="P138" s="111"/>
      <c r="Q138" s="111"/>
      <c r="R138" s="111"/>
      <c r="S138" s="111"/>
      <c r="T138" s="17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</row>
    <row r="139" spans="2:35" s="147" customFormat="1" ht="18" customHeight="1" x14ac:dyDescent="0.35">
      <c r="B139" s="161"/>
      <c r="C139" s="209"/>
      <c r="D139" s="162"/>
      <c r="E139" s="162"/>
      <c r="F139" s="162"/>
      <c r="G139" s="162"/>
      <c r="H139" s="162"/>
      <c r="I139" s="193"/>
      <c r="J139" s="197"/>
      <c r="K139" s="146"/>
      <c r="L139" s="14"/>
      <c r="N139" s="111"/>
      <c r="O139" s="111"/>
      <c r="P139" s="111"/>
      <c r="Q139" s="111"/>
      <c r="R139" s="111"/>
      <c r="S139" s="111"/>
      <c r="T139" s="17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</row>
    <row r="140" spans="2:35" s="147" customFormat="1" ht="18" customHeight="1" x14ac:dyDescent="0.35">
      <c r="B140" s="161"/>
      <c r="C140" s="209"/>
      <c r="D140" s="162"/>
      <c r="E140" s="162"/>
      <c r="F140" s="162"/>
      <c r="G140" s="162"/>
      <c r="H140" s="162"/>
      <c r="I140" s="193"/>
      <c r="J140" s="197"/>
      <c r="K140" s="146"/>
      <c r="L140" s="14"/>
      <c r="N140" s="111"/>
      <c r="O140" s="111"/>
      <c r="P140" s="111"/>
      <c r="Q140" s="111"/>
      <c r="R140" s="111"/>
      <c r="S140" s="111"/>
      <c r="T140" s="17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</row>
    <row r="141" spans="2:35" s="147" customFormat="1" ht="18" customHeight="1" x14ac:dyDescent="0.35">
      <c r="B141" s="173"/>
      <c r="C141" s="209"/>
      <c r="D141" s="174"/>
      <c r="E141" s="174"/>
      <c r="F141" s="175"/>
      <c r="G141" s="175"/>
      <c r="H141" s="174"/>
      <c r="I141" s="193"/>
      <c r="J141" s="197"/>
      <c r="K141" s="146"/>
      <c r="L141" s="14"/>
      <c r="N141" s="111"/>
      <c r="O141" s="111"/>
      <c r="P141" s="111"/>
      <c r="Q141" s="111"/>
      <c r="R141" s="111"/>
      <c r="S141" s="111"/>
      <c r="T141" s="17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</row>
    <row r="142" spans="2:35" s="147" customFormat="1" ht="18" customHeight="1" x14ac:dyDescent="0.35">
      <c r="B142" s="173"/>
      <c r="C142" s="209"/>
      <c r="D142" s="174"/>
      <c r="E142" s="174"/>
      <c r="F142" s="175"/>
      <c r="G142" s="175"/>
      <c r="H142" s="174"/>
      <c r="I142" s="193"/>
      <c r="J142" s="197"/>
      <c r="K142" s="146"/>
      <c r="L142" s="14"/>
      <c r="N142" s="111"/>
      <c r="O142" s="111"/>
      <c r="P142" s="111"/>
      <c r="Q142" s="111"/>
      <c r="R142" s="111"/>
      <c r="S142" s="111"/>
      <c r="T142" s="17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</row>
    <row r="143" spans="2:35" s="147" customFormat="1" ht="18" customHeight="1" x14ac:dyDescent="0.35">
      <c r="B143" s="203"/>
      <c r="C143" s="208"/>
      <c r="D143" s="204"/>
      <c r="E143" s="204"/>
      <c r="F143" s="205"/>
      <c r="G143" s="205"/>
      <c r="H143" s="174"/>
      <c r="I143" s="193"/>
      <c r="J143" s="197"/>
      <c r="K143" s="146"/>
      <c r="L143" s="14"/>
      <c r="N143" s="111"/>
      <c r="O143" s="111"/>
      <c r="P143" s="111"/>
      <c r="Q143" s="111"/>
      <c r="R143" s="111"/>
      <c r="S143" s="111"/>
      <c r="T143" s="17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</row>
    <row r="144" spans="2:35" s="147" customFormat="1" ht="18" customHeight="1" x14ac:dyDescent="0.35">
      <c r="B144" s="173"/>
      <c r="C144" s="209"/>
      <c r="D144" s="174"/>
      <c r="E144" s="174"/>
      <c r="F144" s="175"/>
      <c r="G144" s="175"/>
      <c r="H144" s="174"/>
      <c r="I144" s="193"/>
      <c r="J144" s="197"/>
      <c r="K144" s="146"/>
      <c r="L144" s="14"/>
      <c r="N144" s="111"/>
      <c r="O144" s="111"/>
      <c r="P144" s="111"/>
      <c r="Q144" s="111"/>
      <c r="R144" s="111"/>
      <c r="S144" s="111"/>
      <c r="T144" s="17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</row>
    <row r="145" spans="2:35" s="147" customFormat="1" ht="18" customHeight="1" x14ac:dyDescent="0.35">
      <c r="B145" s="173"/>
      <c r="C145" s="173"/>
      <c r="D145" s="174"/>
      <c r="E145" s="174"/>
      <c r="F145" s="175"/>
      <c r="G145" s="175"/>
      <c r="H145" s="174"/>
      <c r="I145" s="193"/>
      <c r="J145" s="197"/>
      <c r="K145" s="146"/>
      <c r="L145" s="14"/>
      <c r="N145" s="111"/>
      <c r="O145" s="111"/>
      <c r="P145" s="111"/>
      <c r="Q145" s="111"/>
      <c r="R145" s="111"/>
      <c r="S145" s="111"/>
      <c r="T145" s="17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</row>
    <row r="146" spans="2:35" s="147" customFormat="1" ht="18" customHeight="1" x14ac:dyDescent="0.35">
      <c r="B146" s="173"/>
      <c r="C146" s="173"/>
      <c r="D146" s="174"/>
      <c r="E146" s="174"/>
      <c r="F146" s="174"/>
      <c r="G146" s="174"/>
      <c r="H146" s="174"/>
      <c r="I146" s="193"/>
      <c r="J146" s="197"/>
      <c r="K146" s="146"/>
      <c r="L146" s="14"/>
      <c r="N146" s="111"/>
      <c r="O146" s="111"/>
      <c r="P146" s="111"/>
      <c r="Q146" s="111"/>
      <c r="R146" s="111"/>
      <c r="S146" s="111"/>
      <c r="T146" s="17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</row>
    <row r="147" spans="2:35" ht="18" x14ac:dyDescent="0.35">
      <c r="B147" s="161"/>
      <c r="C147" s="162"/>
      <c r="D147" s="162"/>
      <c r="E147" s="162"/>
      <c r="F147" s="162"/>
      <c r="G147" s="162"/>
      <c r="H147" s="162"/>
      <c r="I147" s="193"/>
      <c r="J147" s="199"/>
      <c r="K147" s="146"/>
      <c r="L147" s="43"/>
      <c r="N147" s="119"/>
      <c r="O147" s="119"/>
      <c r="P147" s="18"/>
      <c r="Q147" s="18"/>
      <c r="R147" s="18"/>
      <c r="S147" s="18"/>
      <c r="T147" s="171"/>
      <c r="U147" s="18"/>
    </row>
    <row r="148" spans="2:35" s="128" customFormat="1" x14ac:dyDescent="0.25">
      <c r="B148" s="144" t="s">
        <v>135</v>
      </c>
      <c r="C148" s="144" t="s">
        <v>5</v>
      </c>
      <c r="D148" s="144" t="s">
        <v>156</v>
      </c>
      <c r="E148" s="144" t="s">
        <v>155</v>
      </c>
      <c r="F148" s="144" t="s">
        <v>117</v>
      </c>
      <c r="G148" s="144" t="s">
        <v>157</v>
      </c>
      <c r="H148" s="144"/>
      <c r="I148" s="143"/>
      <c r="J148" s="200"/>
      <c r="K148" s="143"/>
      <c r="L148" s="119"/>
      <c r="M148" s="119"/>
      <c r="N148" s="119"/>
      <c r="O148" s="119"/>
      <c r="T148" s="171"/>
      <c r="V148" s="44"/>
      <c r="W148" s="44"/>
    </row>
    <row r="149" spans="2:35" s="147" customFormat="1" ht="18" x14ac:dyDescent="0.35">
      <c r="B149" s="162" t="s">
        <v>1546</v>
      </c>
      <c r="C149" s="209">
        <v>43442</v>
      </c>
      <c r="D149" s="162" t="s">
        <v>328</v>
      </c>
      <c r="E149" s="162">
        <v>206.2</v>
      </c>
      <c r="F149" s="166">
        <f>+E149*EERR!$D$2</f>
        <v>140626.33799999999</v>
      </c>
      <c r="G149" s="166"/>
      <c r="H149" s="166"/>
      <c r="I149" s="193" t="s">
        <v>190</v>
      </c>
      <c r="J149" s="196"/>
      <c r="K149" s="146"/>
      <c r="L149" s="14"/>
      <c r="M149" s="210"/>
      <c r="N149" s="119"/>
      <c r="O149" s="119"/>
      <c r="P149" s="111"/>
      <c r="Q149" s="111"/>
      <c r="R149" s="160"/>
      <c r="S149" s="160"/>
      <c r="T149" s="171"/>
      <c r="U149" s="44"/>
      <c r="V149" s="44"/>
      <c r="W149" s="44"/>
      <c r="X149" s="147">
        <v>9.1999999999999993</v>
      </c>
    </row>
    <row r="150" spans="2:35" s="147" customFormat="1" ht="18" x14ac:dyDescent="0.35">
      <c r="B150" s="162" t="s">
        <v>1547</v>
      </c>
      <c r="C150" s="209">
        <v>43460</v>
      </c>
      <c r="D150" s="162" t="s">
        <v>329</v>
      </c>
      <c r="E150" s="162">
        <v>90</v>
      </c>
      <c r="F150" s="166">
        <f>+E150*EERR!$D$2</f>
        <v>61379.1</v>
      </c>
      <c r="G150" s="166"/>
      <c r="H150" s="166"/>
      <c r="I150" s="193" t="s">
        <v>190</v>
      </c>
      <c r="J150" s="201"/>
      <c r="K150" s="146"/>
      <c r="L150" s="119"/>
      <c r="M150" s="119"/>
      <c r="N150" s="119"/>
      <c r="O150" s="119"/>
      <c r="P150" s="111"/>
      <c r="Q150" s="111"/>
      <c r="R150" s="160"/>
      <c r="S150" s="160"/>
      <c r="T150" s="171"/>
      <c r="U150" s="44"/>
      <c r="V150" s="44"/>
      <c r="W150" s="44"/>
      <c r="X150" s="147">
        <v>90</v>
      </c>
    </row>
    <row r="151" spans="2:35" s="210" customFormat="1" ht="18" x14ac:dyDescent="0.35">
      <c r="B151" s="162" t="s">
        <v>1548</v>
      </c>
      <c r="C151" s="209">
        <v>43466</v>
      </c>
      <c r="D151" s="162" t="s">
        <v>330</v>
      </c>
      <c r="E151" s="162">
        <v>55</v>
      </c>
      <c r="F151" s="166">
        <f>+E151*EERR!$D$2</f>
        <v>37509.449999999997</v>
      </c>
      <c r="G151" s="166"/>
      <c r="H151" s="166"/>
      <c r="I151" s="193" t="s">
        <v>190</v>
      </c>
      <c r="J151" s="201"/>
      <c r="K151" s="146"/>
      <c r="L151" s="119"/>
      <c r="M151" s="119"/>
      <c r="N151" s="119"/>
      <c r="O151" s="119"/>
      <c r="P151" s="111"/>
      <c r="Q151" s="111"/>
      <c r="R151" s="160"/>
      <c r="S151" s="160"/>
      <c r="T151" s="171"/>
      <c r="U151" s="44"/>
      <c r="V151" s="44"/>
      <c r="W151" s="44"/>
    </row>
    <row r="152" spans="2:35" s="210" customFormat="1" ht="18" x14ac:dyDescent="0.35">
      <c r="B152" s="162"/>
      <c r="C152" s="209"/>
      <c r="D152" s="162"/>
      <c r="E152" s="162"/>
      <c r="F152" s="166"/>
      <c r="G152" s="166"/>
      <c r="H152" s="166"/>
      <c r="I152" s="193"/>
      <c r="J152" s="201"/>
      <c r="K152" s="146"/>
      <c r="L152" s="119"/>
      <c r="M152" s="119"/>
      <c r="N152" s="119"/>
      <c r="O152" s="119"/>
      <c r="P152" s="111"/>
      <c r="Q152" s="111"/>
      <c r="R152" s="160"/>
      <c r="S152" s="160"/>
      <c r="T152" s="171"/>
      <c r="U152" s="44"/>
      <c r="V152" s="44"/>
      <c r="W152" s="44"/>
    </row>
    <row r="153" spans="2:35" s="128" customFormat="1" ht="18" x14ac:dyDescent="0.35">
      <c r="B153" s="162"/>
      <c r="C153" s="209"/>
      <c r="D153" s="162"/>
      <c r="E153" s="162"/>
      <c r="F153" s="166"/>
      <c r="G153" s="166"/>
      <c r="H153" s="166"/>
      <c r="I153" s="193"/>
      <c r="J153" s="201"/>
      <c r="K153" s="115"/>
      <c r="L153" s="119"/>
      <c r="M153" s="119"/>
      <c r="N153" s="111"/>
      <c r="O153" s="119"/>
      <c r="P153" s="111"/>
      <c r="Q153" s="111"/>
      <c r="R153" s="112"/>
      <c r="S153" s="112"/>
      <c r="T153" s="171"/>
      <c r="U153" s="44"/>
      <c r="V153" s="44"/>
      <c r="W153" s="44"/>
      <c r="X153" s="128">
        <v>50</v>
      </c>
    </row>
    <row r="154" spans="2:35" s="128" customFormat="1" ht="18" x14ac:dyDescent="0.35">
      <c r="B154" s="162"/>
      <c r="C154" s="209"/>
      <c r="D154" s="162"/>
      <c r="E154" s="162"/>
      <c r="F154" s="166"/>
      <c r="G154" s="166"/>
      <c r="H154" s="165"/>
      <c r="I154" s="193"/>
      <c r="J154" s="202"/>
      <c r="K154" s="115"/>
      <c r="L154" s="119"/>
      <c r="M154" s="119"/>
      <c r="N154" s="111"/>
      <c r="O154" s="119"/>
      <c r="P154" s="111"/>
      <c r="Q154" s="111"/>
      <c r="R154" s="112"/>
      <c r="S154" s="112"/>
      <c r="T154" s="171"/>
      <c r="U154" s="44"/>
      <c r="V154" s="44"/>
      <c r="W154" s="44"/>
      <c r="X154" s="128">
        <v>397.7</v>
      </c>
    </row>
    <row r="155" spans="2:35" s="128" customFormat="1" ht="18" x14ac:dyDescent="0.35">
      <c r="B155" s="113"/>
      <c r="C155" s="161"/>
      <c r="D155" s="114"/>
      <c r="E155" s="148"/>
      <c r="F155" s="166"/>
      <c r="G155" s="166"/>
      <c r="H155" s="165"/>
      <c r="I155" s="193"/>
      <c r="J155" s="202"/>
      <c r="K155" s="115"/>
      <c r="L155" s="119"/>
      <c r="M155" s="119"/>
      <c r="N155" s="111"/>
      <c r="O155" s="119"/>
      <c r="P155" s="111"/>
      <c r="Q155" s="111"/>
      <c r="R155" s="112"/>
      <c r="S155" s="112"/>
      <c r="T155" s="171"/>
      <c r="U155" s="44"/>
      <c r="V155" s="44"/>
      <c r="W155" s="44"/>
    </row>
    <row r="156" spans="2:35" s="128" customFormat="1" ht="18" x14ac:dyDescent="0.35">
      <c r="B156" s="161"/>
      <c r="C156" s="161"/>
      <c r="D156" s="162"/>
      <c r="E156" s="148"/>
      <c r="F156" s="166"/>
      <c r="G156" s="162"/>
      <c r="H156" s="165"/>
      <c r="I156" s="193"/>
      <c r="J156" s="197"/>
      <c r="K156" s="115"/>
      <c r="N156" s="111"/>
      <c r="O156" s="119"/>
      <c r="P156" s="111"/>
      <c r="Q156" s="111"/>
      <c r="R156" s="112"/>
      <c r="S156" s="112"/>
      <c r="T156" s="171"/>
      <c r="U156" s="44"/>
      <c r="V156" s="44"/>
      <c r="W156" s="44"/>
    </row>
    <row r="157" spans="2:35" s="128" customFormat="1" x14ac:dyDescent="0.25">
      <c r="B157" s="129"/>
      <c r="C157" s="130"/>
      <c r="D157" s="130"/>
      <c r="E157" s="130"/>
      <c r="F157" s="26"/>
      <c r="G157" s="119"/>
      <c r="H157" s="119"/>
      <c r="I157" s="119"/>
      <c r="J157" s="119"/>
      <c r="K157" s="119"/>
      <c r="N157" s="111"/>
      <c r="O157" s="119"/>
      <c r="P157" s="111"/>
      <c r="Q157" s="111"/>
      <c r="R157" s="112"/>
      <c r="S157" s="112"/>
      <c r="T157" s="171"/>
      <c r="U157" s="44"/>
      <c r="V157" s="44"/>
      <c r="W157" s="44"/>
    </row>
    <row r="158" spans="2:35" s="128" customFormat="1" x14ac:dyDescent="0.25">
      <c r="B158" s="129"/>
      <c r="C158" s="130"/>
      <c r="D158" s="130"/>
      <c r="E158" s="130"/>
      <c r="F158" s="26"/>
      <c r="G158" s="119"/>
      <c r="H158" s="119"/>
      <c r="I158" s="119"/>
      <c r="J158" s="119"/>
      <c r="K158" s="119"/>
      <c r="N158" s="111"/>
      <c r="O158" s="119"/>
      <c r="P158" s="111"/>
      <c r="Q158" s="111"/>
      <c r="R158" s="112"/>
      <c r="S158" s="112"/>
      <c r="T158" s="171"/>
      <c r="U158" s="44"/>
      <c r="V158" s="44"/>
      <c r="W158" s="44"/>
    </row>
    <row r="159" spans="2:35" s="128" customFormat="1" x14ac:dyDescent="0.25">
      <c r="B159" s="129"/>
      <c r="C159" s="130"/>
      <c r="D159" s="130"/>
      <c r="E159" s="130"/>
      <c r="F159" s="171">
        <f>SUBTOTAL(9,F3:F156)</f>
        <v>25828791.888</v>
      </c>
      <c r="G159" s="171">
        <f>SUBTOTAL(9,G3:G156)</f>
        <v>27147223</v>
      </c>
      <c r="H159" s="171"/>
      <c r="I159" s="119"/>
      <c r="J159" s="147"/>
      <c r="K159" s="119"/>
      <c r="L159" s="44"/>
      <c r="M159" s="44"/>
      <c r="N159" s="44"/>
      <c r="O159" s="44"/>
      <c r="P159" s="111"/>
      <c r="Q159" s="111"/>
      <c r="R159" s="112"/>
      <c r="S159" s="112"/>
      <c r="T159" s="171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47"/>
      <c r="L160" s="44"/>
      <c r="M160" s="44"/>
      <c r="N160" s="44"/>
      <c r="O160" s="44"/>
      <c r="P160" s="111"/>
      <c r="Q160" s="111"/>
      <c r="R160" s="112"/>
      <c r="S160" s="112"/>
      <c r="T160" s="171"/>
    </row>
    <row r="161" spans="2:20" ht="18" x14ac:dyDescent="0.35">
      <c r="B161" s="28"/>
      <c r="E161" s="27"/>
      <c r="F161" s="28"/>
      <c r="G161" s="45"/>
      <c r="H161" s="62">
        <f t="shared" ref="H161:H176" si="7">SUMIF($I$3:$I$156,I161,$F$3:$F$156)-SUMIF($I$3:$I$156,I161,$G$3:$G$156)</f>
        <v>6473</v>
      </c>
      <c r="I161" s="193" t="s">
        <v>191</v>
      </c>
      <c r="J161" s="147"/>
      <c r="L161" s="44"/>
      <c r="M161" s="44"/>
      <c r="N161" s="44"/>
      <c r="O161" s="44"/>
      <c r="P161" s="105"/>
      <c r="T161" s="171"/>
    </row>
    <row r="162" spans="2:20" ht="18" x14ac:dyDescent="0.35">
      <c r="B162" s="28"/>
      <c r="E162" s="27"/>
      <c r="F162" s="28"/>
      <c r="G162" s="45"/>
      <c r="H162" s="62">
        <f t="shared" si="7"/>
        <v>3713008</v>
      </c>
      <c r="I162" s="193" t="s">
        <v>34</v>
      </c>
      <c r="J162" s="147"/>
      <c r="L162" s="44"/>
      <c r="M162" s="44"/>
      <c r="N162" s="44"/>
      <c r="O162" s="44"/>
      <c r="P162" s="160"/>
      <c r="Q162" s="111"/>
      <c r="R162" s="112"/>
      <c r="S162" s="112"/>
      <c r="T162" s="171"/>
    </row>
    <row r="163" spans="2:20" ht="18" x14ac:dyDescent="0.35">
      <c r="B163" s="28"/>
      <c r="E163" s="27"/>
      <c r="F163" s="28"/>
      <c r="G163" s="45"/>
      <c r="H163" s="62">
        <f t="shared" si="7"/>
        <v>831520</v>
      </c>
      <c r="I163" s="193" t="s">
        <v>118</v>
      </c>
      <c r="J163" s="147"/>
      <c r="L163" s="44"/>
      <c r="M163" s="44"/>
      <c r="N163" s="44"/>
      <c r="O163" s="44"/>
      <c r="P163" s="160"/>
      <c r="Q163" s="111"/>
      <c r="R163" s="112"/>
      <c r="S163" s="112"/>
      <c r="T163" s="171"/>
    </row>
    <row r="164" spans="2:20" ht="18" x14ac:dyDescent="0.35">
      <c r="B164" s="28"/>
      <c r="E164" s="27"/>
      <c r="F164" s="28"/>
      <c r="G164" s="45"/>
      <c r="H164" s="62">
        <f t="shared" si="7"/>
        <v>239514.88799999998</v>
      </c>
      <c r="I164" s="194" t="s">
        <v>190</v>
      </c>
      <c r="J164" s="147"/>
      <c r="L164" s="44"/>
      <c r="M164" s="44"/>
      <c r="N164" s="44"/>
      <c r="O164" s="44"/>
      <c r="P164" s="160"/>
      <c r="Q164" s="111"/>
      <c r="R164" s="112"/>
      <c r="S164" s="112"/>
      <c r="T164" s="171"/>
    </row>
    <row r="165" spans="2:20" ht="18" x14ac:dyDescent="0.35">
      <c r="F165" s="28"/>
      <c r="G165" s="45"/>
      <c r="H165" s="62">
        <f t="shared" si="7"/>
        <v>1222258</v>
      </c>
      <c r="I165" s="194" t="s">
        <v>9</v>
      </c>
      <c r="J165" s="147"/>
      <c r="L165" s="44"/>
      <c r="M165" s="44"/>
      <c r="N165" s="44"/>
      <c r="O165" s="44"/>
      <c r="P165" s="160"/>
      <c r="Q165" s="111"/>
      <c r="R165" s="112"/>
      <c r="S165" s="112"/>
      <c r="T165" s="171"/>
    </row>
    <row r="166" spans="2:20" ht="18" x14ac:dyDescent="0.35">
      <c r="F166" s="28"/>
      <c r="G166" s="45"/>
      <c r="H166" s="62">
        <f t="shared" si="7"/>
        <v>2500000</v>
      </c>
      <c r="I166" s="195" t="s">
        <v>192</v>
      </c>
      <c r="J166" s="147"/>
      <c r="L166" s="44"/>
      <c r="M166" s="44"/>
      <c r="N166" s="44"/>
      <c r="O166" s="44"/>
      <c r="P166" s="160"/>
      <c r="Q166" s="111"/>
      <c r="R166" s="112"/>
      <c r="S166" s="112"/>
      <c r="T166" s="171"/>
    </row>
    <row r="167" spans="2:20" ht="18" x14ac:dyDescent="0.35">
      <c r="F167" s="28"/>
      <c r="G167" s="45"/>
      <c r="H167" s="62">
        <f t="shared" si="7"/>
        <v>698644</v>
      </c>
      <c r="I167" s="193" t="s">
        <v>194</v>
      </c>
      <c r="J167" s="147"/>
      <c r="L167" s="44"/>
      <c r="M167" s="44"/>
      <c r="N167" s="44"/>
      <c r="O167" s="44"/>
      <c r="P167" s="18"/>
      <c r="Q167" s="18"/>
      <c r="R167" s="18"/>
      <c r="S167" s="18"/>
      <c r="T167" s="171"/>
    </row>
    <row r="168" spans="2:20" ht="18" x14ac:dyDescent="0.35">
      <c r="F168" s="28"/>
      <c r="G168" s="45"/>
      <c r="H168" s="62">
        <f t="shared" si="7"/>
        <v>1866399</v>
      </c>
      <c r="I168" s="193" t="s">
        <v>193</v>
      </c>
      <c r="J168" s="147"/>
      <c r="L168" s="44"/>
      <c r="M168" s="44"/>
      <c r="N168" s="44"/>
      <c r="O168" s="44"/>
      <c r="P168" s="18"/>
      <c r="Q168" s="18"/>
      <c r="R168" s="18"/>
      <c r="S168" s="18"/>
      <c r="T168" s="171"/>
    </row>
    <row r="169" spans="2:20" ht="18" x14ac:dyDescent="0.35">
      <c r="F169" s="28"/>
      <c r="G169" s="45"/>
      <c r="H169" s="62">
        <f t="shared" si="7"/>
        <v>0</v>
      </c>
      <c r="I169" s="195" t="s">
        <v>27</v>
      </c>
      <c r="J169" s="147"/>
      <c r="L169" s="44"/>
      <c r="M169" s="44"/>
      <c r="N169" s="44"/>
      <c r="O169" s="44"/>
      <c r="P169" s="18"/>
      <c r="Q169" s="18"/>
      <c r="R169" s="18"/>
      <c r="S169" s="18"/>
      <c r="T169" s="171"/>
    </row>
    <row r="170" spans="2:20" ht="18" x14ac:dyDescent="0.35">
      <c r="F170" s="28"/>
      <c r="G170" s="45"/>
      <c r="H170" s="62">
        <f t="shared" si="7"/>
        <v>0</v>
      </c>
      <c r="I170" s="193" t="s">
        <v>12</v>
      </c>
      <c r="J170" s="147"/>
      <c r="L170" s="44"/>
      <c r="M170" s="44"/>
      <c r="N170" s="44"/>
      <c r="O170" s="44"/>
      <c r="P170" s="52"/>
      <c r="Q170" s="18"/>
      <c r="R170" s="18"/>
      <c r="S170" s="18"/>
      <c r="T170" s="171"/>
    </row>
    <row r="171" spans="2:20" ht="18" x14ac:dyDescent="0.35">
      <c r="F171" s="28"/>
      <c r="G171" s="45"/>
      <c r="H171" s="62">
        <f t="shared" si="7"/>
        <v>4286832</v>
      </c>
      <c r="I171" s="193" t="s">
        <v>22</v>
      </c>
      <c r="J171" s="147"/>
      <c r="L171" s="44"/>
      <c r="M171" s="44"/>
      <c r="N171" s="44"/>
      <c r="O171" s="44"/>
      <c r="P171" s="18"/>
      <c r="Q171" s="18"/>
      <c r="R171" s="18"/>
      <c r="S171" s="18"/>
      <c r="T171" s="171"/>
    </row>
    <row r="172" spans="2:20" ht="18" x14ac:dyDescent="0.35">
      <c r="F172" s="28"/>
      <c r="G172" s="45"/>
      <c r="H172" s="62">
        <f t="shared" si="7"/>
        <v>2240044</v>
      </c>
      <c r="I172" s="194" t="s">
        <v>195</v>
      </c>
      <c r="J172" s="147"/>
      <c r="L172" s="44"/>
      <c r="M172" s="44"/>
      <c r="N172" s="44"/>
      <c r="O172" s="44"/>
      <c r="P172" s="18"/>
      <c r="Q172" s="18"/>
      <c r="R172" s="18"/>
      <c r="S172" s="18"/>
      <c r="T172" s="171"/>
    </row>
    <row r="173" spans="2:20" ht="18" x14ac:dyDescent="0.35">
      <c r="F173" s="28"/>
      <c r="G173" s="45"/>
      <c r="H173" s="62">
        <f t="shared" si="7"/>
        <v>7820538</v>
      </c>
      <c r="I173" s="193" t="s">
        <v>33</v>
      </c>
      <c r="J173" s="147"/>
      <c r="L173" s="44"/>
      <c r="M173" s="44"/>
      <c r="N173" s="44"/>
      <c r="O173" s="44"/>
      <c r="P173" s="18"/>
      <c r="Q173" s="18"/>
      <c r="R173" s="18"/>
      <c r="S173" s="18"/>
      <c r="T173" s="171"/>
    </row>
    <row r="174" spans="2:20" ht="18" x14ac:dyDescent="0.35">
      <c r="F174" s="28"/>
      <c r="G174" s="45"/>
      <c r="H174" s="62">
        <f t="shared" si="7"/>
        <v>-3000</v>
      </c>
      <c r="I174" s="194" t="s">
        <v>151</v>
      </c>
      <c r="J174" s="147"/>
      <c r="L174" s="44"/>
      <c r="M174" s="44"/>
      <c r="N174" s="44"/>
      <c r="O174" s="44"/>
      <c r="P174" s="52"/>
      <c r="Q174" s="18"/>
      <c r="R174" s="18"/>
      <c r="S174" s="18"/>
      <c r="T174" s="171"/>
    </row>
    <row r="175" spans="2:20" ht="18" x14ac:dyDescent="0.35">
      <c r="F175" s="28"/>
      <c r="G175" s="45"/>
      <c r="H175" s="62">
        <f t="shared" si="7"/>
        <v>-26940420</v>
      </c>
      <c r="I175" s="193" t="s">
        <v>152</v>
      </c>
      <c r="J175" s="210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7"/>
        <v>-205154</v>
      </c>
      <c r="I176" s="193" t="s">
        <v>196</v>
      </c>
      <c r="J176" s="147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-6649</v>
      </c>
      <c r="I177" s="193" t="s">
        <v>197</v>
      </c>
      <c r="J177" s="147"/>
      <c r="L177" s="44"/>
      <c r="M177" s="44"/>
      <c r="N177" s="44"/>
      <c r="O177" s="44"/>
      <c r="P177" s="104"/>
    </row>
    <row r="178" spans="1:23" s="57" customFormat="1" ht="14.4" x14ac:dyDescent="0.3">
      <c r="G178" s="46"/>
      <c r="H178" s="63">
        <f>SUM(H161:H176)</f>
        <v>-1723343.1119999997</v>
      </c>
      <c r="I178" s="61" t="s">
        <v>25</v>
      </c>
      <c r="J178" s="147"/>
      <c r="L178" s="44"/>
      <c r="M178" s="44"/>
      <c r="N178" s="44"/>
      <c r="O178" s="44"/>
      <c r="P178" s="44"/>
      <c r="Q178" s="44"/>
      <c r="R178" s="44"/>
      <c r="S178" s="105"/>
      <c r="T178" s="105"/>
      <c r="U178" s="44"/>
      <c r="V178" s="44"/>
      <c r="W178" s="44"/>
    </row>
    <row r="179" spans="1:23" x14ac:dyDescent="0.25">
      <c r="B179" s="52"/>
      <c r="F179" s="82"/>
      <c r="G179" s="82"/>
      <c r="H179" s="82"/>
      <c r="J179" s="147"/>
      <c r="L179" s="44"/>
      <c r="M179" s="44"/>
      <c r="N179" s="44"/>
      <c r="O179" s="44"/>
    </row>
    <row r="180" spans="1:23" x14ac:dyDescent="0.25">
      <c r="B180" s="52"/>
      <c r="F180" s="82"/>
      <c r="G180" s="82"/>
      <c r="H180" s="82"/>
    </row>
    <row r="181" spans="1:23" x14ac:dyDescent="0.25">
      <c r="B181" s="52"/>
      <c r="F181" s="82"/>
      <c r="G181" s="82"/>
      <c r="H181" s="82"/>
      <c r="P181" s="104"/>
    </row>
    <row r="182" spans="1:23" x14ac:dyDescent="0.25">
      <c r="B182" s="52"/>
      <c r="F182" s="82"/>
      <c r="G182" s="82"/>
      <c r="H182" s="82"/>
    </row>
    <row r="183" spans="1:23" x14ac:dyDescent="0.25">
      <c r="B183" s="52"/>
      <c r="F183" s="82"/>
      <c r="G183" s="82"/>
      <c r="H183" s="82"/>
      <c r="O183" s="120"/>
    </row>
    <row r="184" spans="1:23" x14ac:dyDescent="0.25">
      <c r="B184" s="147"/>
      <c r="C184" s="147"/>
      <c r="D184" s="147"/>
      <c r="E184" s="147"/>
      <c r="F184" s="147"/>
      <c r="G184" s="147"/>
      <c r="H184" s="147"/>
    </row>
    <row r="185" spans="1:23" x14ac:dyDescent="0.25">
      <c r="B185" s="147"/>
      <c r="C185" s="147"/>
      <c r="D185" s="147"/>
      <c r="E185" s="147"/>
      <c r="F185" s="147"/>
      <c r="G185" s="147"/>
      <c r="H185" s="147"/>
      <c r="I185" s="104"/>
      <c r="J185" s="104"/>
      <c r="K185" s="104"/>
      <c r="L185" s="104"/>
      <c r="M185" s="104"/>
      <c r="P185" s="104"/>
    </row>
    <row r="186" spans="1:23" x14ac:dyDescent="0.25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</row>
    <row r="187" spans="1:23" x14ac:dyDescent="0.25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O187" s="120"/>
    </row>
    <row r="188" spans="1:23" x14ac:dyDescent="0.25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</row>
    <row r="189" spans="1:23" x14ac:dyDescent="0.25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P189" s="104"/>
    </row>
    <row r="190" spans="1:23" x14ac:dyDescent="0.25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</row>
    <row r="191" spans="1:23" x14ac:dyDescent="0.25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O191" s="120"/>
    </row>
    <row r="192" spans="1:23" x14ac:dyDescent="0.25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</row>
    <row r="193" spans="1:16" x14ac:dyDescent="0.25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P193" s="104"/>
    </row>
    <row r="194" spans="1:16" x14ac:dyDescent="0.25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</row>
    <row r="195" spans="1:16" x14ac:dyDescent="0.2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O195" s="120"/>
    </row>
    <row r="196" spans="1:16" x14ac:dyDescent="0.25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</row>
    <row r="197" spans="1:16" x14ac:dyDescent="0.25">
      <c r="I197" s="104"/>
      <c r="J197" s="104"/>
      <c r="K197" s="104"/>
      <c r="L197" s="104"/>
      <c r="M197" s="104"/>
      <c r="P197" s="104"/>
    </row>
    <row r="199" spans="1:16" x14ac:dyDescent="0.25">
      <c r="O199" s="120"/>
    </row>
    <row r="201" spans="1:16" x14ac:dyDescent="0.25">
      <c r="P201" s="104"/>
    </row>
    <row r="203" spans="1:16" x14ac:dyDescent="0.25">
      <c r="O203" s="120"/>
    </row>
    <row r="205" spans="1:16" x14ac:dyDescent="0.25">
      <c r="P205" s="104"/>
    </row>
    <row r="207" spans="1:16" x14ac:dyDescent="0.25">
      <c r="O207" s="120"/>
    </row>
    <row r="210" spans="15:15" x14ac:dyDescent="0.25">
      <c r="O210" s="120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I120:I147 I107:I118 I149:I156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43" zoomScale="85" zoomScaleNormal="85" workbookViewId="0">
      <selection activeCell="D11" sqref="D11:D13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91</v>
      </c>
      <c r="G1" s="71" t="s">
        <v>41</v>
      </c>
      <c r="H1" s="72">
        <f>F2</f>
        <v>9375335</v>
      </c>
      <c r="J1" t="s">
        <v>42</v>
      </c>
    </row>
    <row r="2" spans="1:17" ht="18" x14ac:dyDescent="0.35">
      <c r="A2" s="65">
        <v>43802</v>
      </c>
      <c r="B2" s="66" t="s">
        <v>228</v>
      </c>
      <c r="C2" s="224">
        <v>64380219</v>
      </c>
      <c r="D2" s="67">
        <v>544770</v>
      </c>
      <c r="E2" s="67">
        <v>0</v>
      </c>
      <c r="F2" s="225">
        <v>9375335</v>
      </c>
      <c r="G2" s="193" t="s">
        <v>27</v>
      </c>
      <c r="J2" s="2" t="s">
        <v>5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</row>
    <row r="3" spans="1:17" ht="18" x14ac:dyDescent="0.35">
      <c r="A3" s="65">
        <v>43802</v>
      </c>
      <c r="B3" s="66" t="s">
        <v>216</v>
      </c>
      <c r="C3" s="224">
        <v>64508322</v>
      </c>
      <c r="D3" s="67">
        <v>5000000</v>
      </c>
      <c r="E3" s="67">
        <v>0</v>
      </c>
      <c r="F3" s="225">
        <v>4375335</v>
      </c>
      <c r="G3" s="193" t="s">
        <v>151</v>
      </c>
      <c r="J3" s="136"/>
      <c r="K3" s="134"/>
      <c r="L3" s="134"/>
      <c r="M3" s="134"/>
      <c r="N3" s="134"/>
      <c r="O3" s="134"/>
      <c r="P3" s="135"/>
    </row>
    <row r="4" spans="1:17" ht="18" x14ac:dyDescent="0.35">
      <c r="A4" s="65">
        <v>43803</v>
      </c>
      <c r="B4" s="66" t="s">
        <v>213</v>
      </c>
      <c r="C4" s="224">
        <v>0</v>
      </c>
      <c r="D4" s="67">
        <v>0</v>
      </c>
      <c r="E4" s="67">
        <v>195912</v>
      </c>
      <c r="F4" s="225">
        <v>4571247</v>
      </c>
      <c r="G4" s="193" t="s">
        <v>152</v>
      </c>
      <c r="J4" s="136"/>
      <c r="K4" s="134"/>
      <c r="L4" s="134"/>
      <c r="M4" s="134"/>
      <c r="N4" s="134"/>
      <c r="O4" s="134"/>
      <c r="P4" s="135"/>
    </row>
    <row r="5" spans="1:17" ht="18" x14ac:dyDescent="0.35">
      <c r="A5" s="65">
        <v>43804</v>
      </c>
      <c r="B5" s="66" t="s">
        <v>213</v>
      </c>
      <c r="C5" s="224">
        <v>0</v>
      </c>
      <c r="D5" s="67">
        <v>0</v>
      </c>
      <c r="E5" s="67">
        <v>134223</v>
      </c>
      <c r="F5" s="225">
        <v>4705470</v>
      </c>
      <c r="G5" s="193" t="s">
        <v>152</v>
      </c>
      <c r="J5" s="136"/>
      <c r="K5" s="134"/>
      <c r="L5" s="134"/>
      <c r="M5" s="134"/>
      <c r="N5" s="134"/>
      <c r="O5" s="134"/>
      <c r="P5" s="135"/>
    </row>
    <row r="6" spans="1:17" ht="18" x14ac:dyDescent="0.35">
      <c r="A6" s="65">
        <v>43805</v>
      </c>
      <c r="B6" s="66" t="s">
        <v>216</v>
      </c>
      <c r="C6" s="224">
        <v>65104276</v>
      </c>
      <c r="D6" s="67">
        <v>3500000</v>
      </c>
      <c r="E6" s="67">
        <v>0</v>
      </c>
      <c r="F6" s="225">
        <v>1205470</v>
      </c>
      <c r="G6" s="193" t="s">
        <v>151</v>
      </c>
      <c r="J6" s="136"/>
      <c r="K6" s="134"/>
      <c r="L6" s="134"/>
      <c r="M6" s="134"/>
      <c r="N6" s="134"/>
      <c r="O6" s="134"/>
      <c r="P6" s="135"/>
    </row>
    <row r="7" spans="1:17" ht="18" x14ac:dyDescent="0.35">
      <c r="A7" s="65">
        <v>43805</v>
      </c>
      <c r="B7" s="66" t="s">
        <v>1551</v>
      </c>
      <c r="C7" s="224">
        <v>65117532</v>
      </c>
      <c r="D7" s="67">
        <v>0</v>
      </c>
      <c r="E7" s="67">
        <v>33815000</v>
      </c>
      <c r="F7" s="225">
        <v>35020470</v>
      </c>
      <c r="G7" s="193" t="s">
        <v>152</v>
      </c>
      <c r="J7" s="136"/>
      <c r="K7" s="134"/>
      <c r="L7" s="134"/>
      <c r="M7" s="134"/>
      <c r="N7" s="134"/>
      <c r="O7" s="134"/>
      <c r="P7" s="135"/>
      <c r="Q7" s="139"/>
    </row>
    <row r="8" spans="1:17" ht="18" x14ac:dyDescent="0.35">
      <c r="A8" s="65">
        <v>43805</v>
      </c>
      <c r="B8" s="66" t="s">
        <v>214</v>
      </c>
      <c r="C8" s="224">
        <v>0</v>
      </c>
      <c r="D8" s="67">
        <v>1736</v>
      </c>
      <c r="E8" s="67">
        <v>0</v>
      </c>
      <c r="F8" s="225">
        <v>35018734</v>
      </c>
      <c r="G8" s="193" t="s">
        <v>191</v>
      </c>
      <c r="J8" s="136"/>
      <c r="K8" s="134"/>
      <c r="L8" s="134"/>
      <c r="M8" s="134"/>
      <c r="N8" s="134"/>
      <c r="O8" s="134"/>
      <c r="P8" s="135"/>
    </row>
    <row r="9" spans="1:17" ht="18" x14ac:dyDescent="0.35">
      <c r="A9" s="65">
        <v>43805</v>
      </c>
      <c r="B9" s="66" t="s">
        <v>215</v>
      </c>
      <c r="C9" s="224">
        <v>0</v>
      </c>
      <c r="D9" s="67">
        <v>330</v>
      </c>
      <c r="E9" s="67">
        <v>0</v>
      </c>
      <c r="F9" s="225">
        <v>35018404</v>
      </c>
      <c r="G9" s="193" t="s">
        <v>191</v>
      </c>
      <c r="J9" s="136"/>
      <c r="K9" s="134"/>
      <c r="L9" s="134"/>
      <c r="M9" s="134"/>
      <c r="N9" s="134"/>
      <c r="O9" s="134"/>
      <c r="P9" s="135"/>
      <c r="Q9" s="139"/>
    </row>
    <row r="10" spans="1:17" ht="18" x14ac:dyDescent="0.35">
      <c r="A10" s="65">
        <v>43806</v>
      </c>
      <c r="B10" s="66" t="s">
        <v>213</v>
      </c>
      <c r="C10" s="224">
        <v>0</v>
      </c>
      <c r="D10" s="67">
        <v>0</v>
      </c>
      <c r="E10" s="67">
        <v>158988</v>
      </c>
      <c r="F10" s="225">
        <v>35177392</v>
      </c>
      <c r="G10" s="193" t="s">
        <v>152</v>
      </c>
      <c r="J10" s="136"/>
      <c r="K10" s="134"/>
      <c r="L10" s="134"/>
      <c r="M10" s="134"/>
      <c r="N10" s="134"/>
      <c r="O10" s="134"/>
      <c r="P10" s="135"/>
    </row>
    <row r="11" spans="1:17" ht="18" x14ac:dyDescent="0.35">
      <c r="A11" s="65">
        <v>43806</v>
      </c>
      <c r="B11" s="66" t="s">
        <v>1552</v>
      </c>
      <c r="C11" s="224">
        <v>65280066</v>
      </c>
      <c r="D11" s="67">
        <v>5000000</v>
      </c>
      <c r="E11" s="67">
        <v>0</v>
      </c>
      <c r="F11" s="225">
        <v>30177392</v>
      </c>
      <c r="G11" s="193" t="s">
        <v>222</v>
      </c>
      <c r="J11" s="136"/>
      <c r="K11" s="134"/>
      <c r="L11" s="134"/>
      <c r="M11" s="134"/>
      <c r="N11" s="134"/>
      <c r="O11" s="134"/>
      <c r="P11" s="135"/>
    </row>
    <row r="12" spans="1:17" ht="18" x14ac:dyDescent="0.35">
      <c r="A12" s="65">
        <v>43806</v>
      </c>
      <c r="B12" s="66" t="s">
        <v>1552</v>
      </c>
      <c r="C12" s="224">
        <v>65280764</v>
      </c>
      <c r="D12" s="67">
        <v>5000000</v>
      </c>
      <c r="E12" s="67">
        <v>0</v>
      </c>
      <c r="F12" s="225">
        <v>25177392</v>
      </c>
      <c r="G12" s="193" t="s">
        <v>222</v>
      </c>
      <c r="H12" s="211"/>
      <c r="J12" s="136"/>
      <c r="K12" s="134"/>
      <c r="L12" s="134"/>
      <c r="M12" s="134"/>
      <c r="N12" s="134"/>
      <c r="O12" s="134"/>
      <c r="P12" s="135"/>
    </row>
    <row r="13" spans="1:17" ht="18" x14ac:dyDescent="0.35">
      <c r="A13" s="65">
        <v>43806</v>
      </c>
      <c r="B13" s="66" t="s">
        <v>1552</v>
      </c>
      <c r="C13" s="224">
        <v>65281480</v>
      </c>
      <c r="D13" s="67">
        <v>3500000</v>
      </c>
      <c r="E13" s="67">
        <v>0</v>
      </c>
      <c r="F13" s="225">
        <v>21677392</v>
      </c>
      <c r="G13" s="193" t="s">
        <v>222</v>
      </c>
      <c r="H13" s="211"/>
      <c r="J13" s="136"/>
      <c r="K13" s="134"/>
      <c r="L13" s="134"/>
      <c r="M13" s="134"/>
      <c r="N13" s="134"/>
      <c r="O13" s="134"/>
      <c r="P13" s="135"/>
    </row>
    <row r="14" spans="1:17" ht="18" x14ac:dyDescent="0.35">
      <c r="A14" s="65">
        <v>43806</v>
      </c>
      <c r="B14" s="66" t="s">
        <v>788</v>
      </c>
      <c r="C14" s="224">
        <v>65282445</v>
      </c>
      <c r="D14" s="67">
        <v>5000000</v>
      </c>
      <c r="E14" s="67">
        <v>0</v>
      </c>
      <c r="F14" s="225">
        <v>16677392</v>
      </c>
      <c r="G14" s="193" t="s">
        <v>222</v>
      </c>
      <c r="H14" s="145"/>
      <c r="J14" s="136"/>
      <c r="K14" s="134"/>
      <c r="L14" s="134"/>
      <c r="M14" s="134"/>
      <c r="N14" s="134"/>
      <c r="O14" s="134"/>
      <c r="P14" s="135"/>
    </row>
    <row r="15" spans="1:17" ht="18" x14ac:dyDescent="0.35">
      <c r="A15" s="65">
        <v>43806</v>
      </c>
      <c r="B15" s="66" t="s">
        <v>788</v>
      </c>
      <c r="C15" s="224">
        <v>65283120</v>
      </c>
      <c r="D15" s="67">
        <v>5000000</v>
      </c>
      <c r="E15" s="67">
        <v>0</v>
      </c>
      <c r="F15" s="225">
        <v>11677392</v>
      </c>
      <c r="G15" s="193" t="s">
        <v>222</v>
      </c>
      <c r="H15" s="167"/>
      <c r="J15" s="136"/>
      <c r="K15" s="134"/>
      <c r="L15" s="134"/>
      <c r="M15" s="134"/>
      <c r="N15" s="134"/>
      <c r="O15" s="134"/>
      <c r="P15" s="135"/>
    </row>
    <row r="16" spans="1:17" ht="18" x14ac:dyDescent="0.35">
      <c r="A16" s="65">
        <v>43806</v>
      </c>
      <c r="B16" s="66" t="s">
        <v>788</v>
      </c>
      <c r="C16" s="224">
        <v>65283945</v>
      </c>
      <c r="D16" s="67">
        <v>500000</v>
      </c>
      <c r="E16" s="67">
        <v>0</v>
      </c>
      <c r="F16" s="225">
        <v>11177392</v>
      </c>
      <c r="G16" s="193" t="s">
        <v>222</v>
      </c>
      <c r="I16" s="211"/>
      <c r="J16" s="136"/>
      <c r="K16" s="134"/>
      <c r="L16" s="134"/>
      <c r="M16" s="134"/>
      <c r="N16" s="134"/>
      <c r="O16" s="134"/>
      <c r="P16" s="135"/>
    </row>
    <row r="17" spans="1:16" ht="18" x14ac:dyDescent="0.35">
      <c r="A17" s="65">
        <v>43806</v>
      </c>
      <c r="B17" s="66" t="s">
        <v>232</v>
      </c>
      <c r="C17" s="224">
        <v>65304762</v>
      </c>
      <c r="D17" s="67">
        <v>0</v>
      </c>
      <c r="E17" s="67">
        <v>58989</v>
      </c>
      <c r="F17" s="225">
        <v>11236381</v>
      </c>
      <c r="G17" s="193" t="s">
        <v>222</v>
      </c>
      <c r="H17" s="211"/>
      <c r="J17" s="136"/>
      <c r="K17" s="134"/>
      <c r="L17" s="134"/>
      <c r="M17" s="134"/>
      <c r="N17" s="134"/>
      <c r="O17" s="134"/>
      <c r="P17" s="135"/>
    </row>
    <row r="18" spans="1:16" ht="18" x14ac:dyDescent="0.35">
      <c r="A18" s="65">
        <v>43809</v>
      </c>
      <c r="B18" s="66" t="s">
        <v>213</v>
      </c>
      <c r="C18" s="224">
        <v>0</v>
      </c>
      <c r="D18" s="67">
        <v>0</v>
      </c>
      <c r="E18" s="67">
        <v>3896</v>
      </c>
      <c r="F18" s="225">
        <v>11240277</v>
      </c>
      <c r="G18" s="193" t="s">
        <v>152</v>
      </c>
      <c r="H18" s="167"/>
      <c r="J18" s="136"/>
      <c r="K18" s="134"/>
      <c r="L18" s="134"/>
      <c r="M18" s="134"/>
      <c r="N18" s="134"/>
      <c r="O18" s="134"/>
      <c r="P18" s="135"/>
    </row>
    <row r="19" spans="1:16" ht="18" x14ac:dyDescent="0.35">
      <c r="A19" s="65">
        <v>43809</v>
      </c>
      <c r="B19" s="66" t="s">
        <v>173</v>
      </c>
      <c r="C19" s="224">
        <v>65477229</v>
      </c>
      <c r="D19" s="67">
        <v>1699280</v>
      </c>
      <c r="E19" s="67">
        <v>0</v>
      </c>
      <c r="F19" s="225">
        <v>9540997</v>
      </c>
      <c r="G19" s="193" t="s">
        <v>33</v>
      </c>
      <c r="H19" s="211"/>
      <c r="J19" s="136"/>
      <c r="K19" s="134"/>
      <c r="L19" s="134"/>
      <c r="M19" s="134"/>
      <c r="N19" s="134"/>
      <c r="O19" s="134"/>
      <c r="P19" s="135"/>
    </row>
    <row r="20" spans="1:16" ht="18" x14ac:dyDescent="0.35">
      <c r="A20" s="65">
        <v>43809</v>
      </c>
      <c r="B20" s="66" t="s">
        <v>260</v>
      </c>
      <c r="C20" s="224">
        <v>526257</v>
      </c>
      <c r="D20" s="67">
        <v>906768</v>
      </c>
      <c r="E20" s="67">
        <v>0</v>
      </c>
      <c r="F20" s="225">
        <v>8634229</v>
      </c>
      <c r="G20" s="193" t="s">
        <v>22</v>
      </c>
      <c r="H20" s="285"/>
      <c r="J20" s="136"/>
      <c r="K20" s="134"/>
      <c r="L20" s="134"/>
      <c r="M20" s="134"/>
      <c r="N20" s="134"/>
      <c r="O20" s="134"/>
      <c r="P20" s="135"/>
    </row>
    <row r="21" spans="1:16" ht="18" x14ac:dyDescent="0.35">
      <c r="A21" s="65">
        <v>43811</v>
      </c>
      <c r="B21" s="66" t="s">
        <v>213</v>
      </c>
      <c r="C21" s="224">
        <v>0</v>
      </c>
      <c r="D21" s="67">
        <v>0</v>
      </c>
      <c r="E21" s="67">
        <v>751549</v>
      </c>
      <c r="F21" s="225">
        <v>9385778</v>
      </c>
      <c r="G21" s="193" t="s">
        <v>152</v>
      </c>
      <c r="H21" s="285"/>
      <c r="J21" s="136"/>
      <c r="K21" s="134"/>
      <c r="L21" s="134"/>
      <c r="M21" s="134"/>
      <c r="N21" s="134"/>
      <c r="O21" s="134"/>
      <c r="P21" s="135"/>
    </row>
    <row r="22" spans="1:16" ht="18" x14ac:dyDescent="0.35">
      <c r="A22" s="65">
        <v>43812</v>
      </c>
      <c r="B22" s="66" t="s">
        <v>216</v>
      </c>
      <c r="C22" s="224">
        <v>65768879</v>
      </c>
      <c r="D22" s="67">
        <v>5000000</v>
      </c>
      <c r="E22" s="67">
        <v>0</v>
      </c>
      <c r="F22" s="225">
        <v>4385778</v>
      </c>
      <c r="G22" s="193" t="s">
        <v>151</v>
      </c>
    </row>
    <row r="23" spans="1:16" ht="18" x14ac:dyDescent="0.35">
      <c r="A23" s="65">
        <v>43816</v>
      </c>
      <c r="B23" s="66" t="s">
        <v>1553</v>
      </c>
      <c r="C23" s="224">
        <v>66208701</v>
      </c>
      <c r="D23" s="67">
        <v>0</v>
      </c>
      <c r="E23" s="67">
        <v>13600000</v>
      </c>
      <c r="F23" s="225">
        <v>17985778</v>
      </c>
      <c r="G23" s="193" t="s">
        <v>152</v>
      </c>
      <c r="H23" s="167"/>
    </row>
    <row r="24" spans="1:16" ht="18" x14ac:dyDescent="0.35">
      <c r="A24" s="65">
        <v>43817</v>
      </c>
      <c r="B24" s="66" t="s">
        <v>213</v>
      </c>
      <c r="C24" s="224">
        <v>0</v>
      </c>
      <c r="D24" s="67">
        <v>0</v>
      </c>
      <c r="E24" s="67">
        <v>315587</v>
      </c>
      <c r="F24" s="225">
        <v>18301365</v>
      </c>
      <c r="G24" s="193" t="s">
        <v>152</v>
      </c>
      <c r="H24" s="211"/>
    </row>
    <row r="25" spans="1:16" ht="18" x14ac:dyDescent="0.35">
      <c r="A25" s="65">
        <v>43818</v>
      </c>
      <c r="B25" s="66" t="s">
        <v>216</v>
      </c>
      <c r="C25" s="224">
        <v>66386650</v>
      </c>
      <c r="D25" s="67">
        <v>5000000</v>
      </c>
      <c r="E25" s="67">
        <v>0</v>
      </c>
      <c r="F25" s="225">
        <v>13301365</v>
      </c>
      <c r="G25" s="193" t="s">
        <v>151</v>
      </c>
      <c r="H25" s="211"/>
    </row>
    <row r="26" spans="1:16" ht="18" x14ac:dyDescent="0.35">
      <c r="A26" s="65">
        <v>43818</v>
      </c>
      <c r="B26" s="66" t="s">
        <v>789</v>
      </c>
      <c r="C26" s="224">
        <v>66389366</v>
      </c>
      <c r="D26" s="67">
        <v>4879000</v>
      </c>
      <c r="E26" s="67">
        <v>0</v>
      </c>
      <c r="F26" s="225">
        <v>8422365</v>
      </c>
      <c r="G26" s="193" t="s">
        <v>12</v>
      </c>
      <c r="H26" s="211" t="s">
        <v>1565</v>
      </c>
    </row>
    <row r="27" spans="1:16" ht="18" x14ac:dyDescent="0.35">
      <c r="A27" s="65">
        <v>43818</v>
      </c>
      <c r="B27" s="66" t="s">
        <v>228</v>
      </c>
      <c r="C27" s="224">
        <v>66389690</v>
      </c>
      <c r="D27" s="67">
        <v>1921445</v>
      </c>
      <c r="E27" s="67">
        <v>0</v>
      </c>
      <c r="F27" s="225">
        <v>6500920</v>
      </c>
      <c r="G27" s="193" t="s">
        <v>27</v>
      </c>
      <c r="H27" s="211"/>
    </row>
    <row r="28" spans="1:16" ht="18" x14ac:dyDescent="0.35">
      <c r="A28" s="65">
        <v>43818</v>
      </c>
      <c r="B28" s="66" t="s">
        <v>213</v>
      </c>
      <c r="C28" s="224">
        <v>0</v>
      </c>
      <c r="D28" s="67">
        <v>0</v>
      </c>
      <c r="E28" s="67">
        <v>5845</v>
      </c>
      <c r="F28" s="225">
        <v>6506765</v>
      </c>
      <c r="G28" s="193" t="s">
        <v>152</v>
      </c>
      <c r="H28" s="211"/>
    </row>
    <row r="29" spans="1:16" s="167" customFormat="1" ht="18" x14ac:dyDescent="0.35">
      <c r="A29" s="65">
        <v>43819</v>
      </c>
      <c r="B29" s="66" t="s">
        <v>787</v>
      </c>
      <c r="C29" s="66">
        <v>0</v>
      </c>
      <c r="D29" s="67">
        <v>0</v>
      </c>
      <c r="E29" s="67">
        <v>162740</v>
      </c>
      <c r="F29" s="152">
        <v>6669505</v>
      </c>
      <c r="G29" s="193" t="s">
        <v>152</v>
      </c>
      <c r="H29" s="207"/>
    </row>
    <row r="30" spans="1:16" s="167" customFormat="1" ht="18" x14ac:dyDescent="0.35">
      <c r="A30" s="65">
        <v>43826</v>
      </c>
      <c r="B30" s="66" t="s">
        <v>213</v>
      </c>
      <c r="C30" s="66">
        <v>0</v>
      </c>
      <c r="D30" s="67">
        <v>0</v>
      </c>
      <c r="E30" s="67">
        <v>22406</v>
      </c>
      <c r="F30" s="152">
        <v>6691911</v>
      </c>
      <c r="G30" s="193" t="s">
        <v>152</v>
      </c>
    </row>
    <row r="31" spans="1:16" s="167" customFormat="1" ht="18" x14ac:dyDescent="0.35">
      <c r="A31" s="65">
        <v>43826</v>
      </c>
      <c r="B31" s="66" t="s">
        <v>216</v>
      </c>
      <c r="C31" s="66">
        <v>67083796</v>
      </c>
      <c r="D31" s="67">
        <v>5000000</v>
      </c>
      <c r="E31" s="67">
        <v>0</v>
      </c>
      <c r="F31" s="152">
        <v>1691911</v>
      </c>
      <c r="G31" s="193" t="s">
        <v>151</v>
      </c>
    </row>
    <row r="32" spans="1:16" s="167" customFormat="1" ht="18" x14ac:dyDescent="0.35">
      <c r="A32" s="65">
        <v>43826</v>
      </c>
      <c r="B32" s="66" t="s">
        <v>213</v>
      </c>
      <c r="C32" s="66">
        <v>0</v>
      </c>
      <c r="D32" s="67">
        <v>0</v>
      </c>
      <c r="E32" s="67">
        <v>11691</v>
      </c>
      <c r="F32" s="152">
        <v>1703602</v>
      </c>
      <c r="G32" s="193" t="s">
        <v>152</v>
      </c>
    </row>
    <row r="33" spans="1:8" s="167" customFormat="1" ht="18" x14ac:dyDescent="0.35">
      <c r="A33" s="65">
        <v>43827</v>
      </c>
      <c r="B33" s="66" t="s">
        <v>1554</v>
      </c>
      <c r="C33" s="66">
        <v>0</v>
      </c>
      <c r="D33" s="67">
        <v>0</v>
      </c>
      <c r="E33" s="67">
        <v>4951598</v>
      </c>
      <c r="F33" s="152">
        <v>6655200</v>
      </c>
      <c r="G33" s="193" t="s">
        <v>27</v>
      </c>
      <c r="H33" s="167" t="s">
        <v>1566</v>
      </c>
    </row>
    <row r="34" spans="1:8" s="167" customFormat="1" ht="18" x14ac:dyDescent="0.35">
      <c r="A34" s="65">
        <v>43827</v>
      </c>
      <c r="B34" s="66" t="s">
        <v>1555</v>
      </c>
      <c r="C34" s="66">
        <v>67408722</v>
      </c>
      <c r="D34" s="67">
        <v>0</v>
      </c>
      <c r="E34" s="67">
        <v>9646600</v>
      </c>
      <c r="F34" s="152">
        <v>16301800</v>
      </c>
      <c r="G34" s="193" t="s">
        <v>152</v>
      </c>
    </row>
    <row r="35" spans="1:8" s="167" customFormat="1" ht="18" x14ac:dyDescent="0.35">
      <c r="A35" s="65"/>
      <c r="B35" s="66"/>
      <c r="C35" s="66"/>
      <c r="D35" s="67"/>
      <c r="E35" s="67"/>
      <c r="F35" s="152"/>
      <c r="G35" s="193"/>
    </row>
    <row r="36" spans="1:8" s="167" customFormat="1" ht="18" x14ac:dyDescent="0.35">
      <c r="A36" s="65"/>
      <c r="B36" s="66"/>
      <c r="C36" s="66"/>
      <c r="D36" s="67"/>
      <c r="E36" s="67"/>
      <c r="F36" s="152"/>
      <c r="G36" s="193"/>
    </row>
    <row r="37" spans="1:8" s="167" customFormat="1" ht="18" x14ac:dyDescent="0.35">
      <c r="A37" s="65"/>
      <c r="B37" s="66"/>
      <c r="C37" s="66"/>
      <c r="D37" s="67"/>
      <c r="E37" s="67"/>
      <c r="F37" s="152"/>
      <c r="G37" s="193"/>
    </row>
    <row r="38" spans="1:8" s="167" customFormat="1" x14ac:dyDescent="0.3">
      <c r="A38" s="65"/>
      <c r="B38" s="66"/>
      <c r="C38" s="66"/>
      <c r="D38" s="67"/>
      <c r="E38" s="67"/>
      <c r="F38" s="152"/>
      <c r="G38" s="157"/>
    </row>
    <row r="39" spans="1:8" s="167" customFormat="1" x14ac:dyDescent="0.3">
      <c r="A39" s="65"/>
      <c r="B39" s="66"/>
      <c r="C39" s="66"/>
      <c r="D39" s="67"/>
      <c r="E39" s="67"/>
      <c r="F39" s="152"/>
      <c r="G39" s="157"/>
    </row>
    <row r="40" spans="1:8" s="167" customFormat="1" x14ac:dyDescent="0.3">
      <c r="A40" s="65"/>
      <c r="B40" s="66"/>
      <c r="C40" s="66"/>
      <c r="D40" s="67"/>
      <c r="E40" s="67"/>
      <c r="F40" s="152"/>
      <c r="G40" s="157"/>
    </row>
    <row r="41" spans="1:8" s="167" customFormat="1" x14ac:dyDescent="0.3">
      <c r="A41" s="65"/>
      <c r="B41" s="66"/>
      <c r="C41" s="66"/>
      <c r="D41" s="67"/>
      <c r="E41" s="67"/>
      <c r="F41" s="152"/>
      <c r="G41" s="157"/>
    </row>
    <row r="42" spans="1:8" s="167" customFormat="1" x14ac:dyDescent="0.3">
      <c r="A42" s="65"/>
      <c r="B42" s="66"/>
      <c r="C42" s="66"/>
      <c r="D42" s="67"/>
      <c r="E42" s="67"/>
      <c r="F42" s="152"/>
      <c r="G42" s="157"/>
    </row>
    <row r="43" spans="1:8" x14ac:dyDescent="0.3">
      <c r="A43" s="65"/>
      <c r="B43" s="66"/>
      <c r="C43" s="66"/>
      <c r="D43" s="67"/>
      <c r="E43" s="67"/>
      <c r="F43" s="62"/>
      <c r="G43" s="155"/>
    </row>
    <row r="44" spans="1:8" x14ac:dyDescent="0.3">
      <c r="A44" s="65"/>
      <c r="B44" s="66"/>
      <c r="C44" s="66"/>
      <c r="D44" s="67"/>
      <c r="E44" s="67"/>
      <c r="F44" s="152"/>
      <c r="G44" s="157"/>
      <c r="H44" s="125"/>
    </row>
    <row r="45" spans="1:8" s="125" customFormat="1" x14ac:dyDescent="0.3">
      <c r="A45" s="65"/>
      <c r="B45" s="66"/>
      <c r="C45" s="66"/>
      <c r="D45" s="67"/>
      <c r="E45" s="67"/>
      <c r="F45" s="62"/>
      <c r="G45" s="157"/>
      <c r="H45" s="167"/>
    </row>
    <row r="46" spans="1:8" s="125" customFormat="1" x14ac:dyDescent="0.3">
      <c r="A46" s="65"/>
      <c r="B46" s="66"/>
      <c r="C46" s="66"/>
      <c r="D46" s="67"/>
      <c r="E46" s="67"/>
      <c r="F46" s="152"/>
      <c r="G46" s="157"/>
    </row>
    <row r="47" spans="1:8" s="125" customFormat="1" x14ac:dyDescent="0.3">
      <c r="A47" s="65"/>
      <c r="B47" s="66"/>
      <c r="C47" s="66"/>
      <c r="D47" s="67"/>
      <c r="E47" s="67"/>
      <c r="F47" s="62"/>
      <c r="G47" s="64"/>
    </row>
    <row r="48" spans="1:8" s="125" customFormat="1" x14ac:dyDescent="0.3">
      <c r="A48" s="65"/>
      <c r="B48" s="66"/>
      <c r="C48" s="66"/>
      <c r="D48" s="67"/>
      <c r="E48" s="67"/>
      <c r="F48" s="62"/>
      <c r="G48" s="64"/>
    </row>
    <row r="49" spans="1:7" s="125" customFormat="1" x14ac:dyDescent="0.3">
      <c r="A49" s="65"/>
      <c r="B49" s="66"/>
      <c r="C49" s="66"/>
      <c r="D49" s="67"/>
      <c r="E49" s="67"/>
      <c r="F49" s="62"/>
      <c r="G49" s="49"/>
    </row>
    <row r="50" spans="1:7" s="125" customFormat="1" x14ac:dyDescent="0.3">
      <c r="A50" s="65"/>
      <c r="B50" s="66"/>
      <c r="C50" s="66"/>
      <c r="D50" s="67"/>
      <c r="E50" s="67"/>
      <c r="F50" s="62"/>
      <c r="G50" s="49"/>
    </row>
    <row r="51" spans="1:7" x14ac:dyDescent="0.3">
      <c r="A51" s="65"/>
      <c r="B51" s="66"/>
      <c r="C51" s="66"/>
      <c r="D51" s="67"/>
      <c r="E51" s="67"/>
      <c r="F51" s="62"/>
      <c r="G51" s="64"/>
    </row>
    <row r="52" spans="1:7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91</v>
      </c>
      <c r="G52" s="71" t="s">
        <v>41</v>
      </c>
    </row>
    <row r="53" spans="1:7" ht="15" customHeight="1" x14ac:dyDescent="0.35">
      <c r="A53" s="65">
        <v>43803</v>
      </c>
      <c r="B53" s="66" t="s">
        <v>1556</v>
      </c>
      <c r="C53" s="66">
        <v>64788535</v>
      </c>
      <c r="D53" s="67">
        <v>0</v>
      </c>
      <c r="E53" s="67">
        <v>2764.75</v>
      </c>
      <c r="F53" s="152">
        <v>65690.740000000005</v>
      </c>
      <c r="G53" s="193" t="s">
        <v>152</v>
      </c>
    </row>
    <row r="54" spans="1:7" ht="15" customHeight="1" x14ac:dyDescent="0.35">
      <c r="A54" s="65">
        <v>43805</v>
      </c>
      <c r="B54" s="66" t="s">
        <v>1557</v>
      </c>
      <c r="C54" s="66">
        <v>65117518</v>
      </c>
      <c r="D54" s="67">
        <v>50000</v>
      </c>
      <c r="E54" s="67">
        <v>0</v>
      </c>
      <c r="F54" s="152">
        <v>15690.74</v>
      </c>
      <c r="G54" s="193" t="s">
        <v>151</v>
      </c>
    </row>
    <row r="55" spans="1:7" ht="15" customHeight="1" x14ac:dyDescent="0.35">
      <c r="A55" s="65">
        <v>43805</v>
      </c>
      <c r="B55" s="66" t="s">
        <v>1558</v>
      </c>
      <c r="C55" s="66">
        <v>0</v>
      </c>
      <c r="D55" s="67">
        <v>8000</v>
      </c>
      <c r="E55" s="67">
        <v>0</v>
      </c>
      <c r="F55" s="152">
        <v>7690.74</v>
      </c>
      <c r="G55" s="193" t="s">
        <v>151</v>
      </c>
    </row>
    <row r="56" spans="1:7" ht="15" customHeight="1" x14ac:dyDescent="0.35">
      <c r="A56" s="65">
        <v>43809</v>
      </c>
      <c r="B56" s="66" t="s">
        <v>1559</v>
      </c>
      <c r="C56" s="66">
        <v>65520536</v>
      </c>
      <c r="D56" s="67">
        <v>0</v>
      </c>
      <c r="E56" s="67">
        <v>10365.9</v>
      </c>
      <c r="F56" s="152">
        <v>18056.64</v>
      </c>
      <c r="G56" s="193" t="s">
        <v>152</v>
      </c>
    </row>
    <row r="57" spans="1:7" ht="15" customHeight="1" x14ac:dyDescent="0.35">
      <c r="A57" s="65">
        <v>43813</v>
      </c>
      <c r="B57" s="66" t="s">
        <v>1560</v>
      </c>
      <c r="C57" s="66">
        <v>66063326</v>
      </c>
      <c r="D57" s="67">
        <v>0</v>
      </c>
      <c r="E57" s="67">
        <v>6151.31</v>
      </c>
      <c r="F57" s="152">
        <v>24207.95</v>
      </c>
      <c r="G57" s="193" t="s">
        <v>152</v>
      </c>
    </row>
    <row r="58" spans="1:7" ht="15" customHeight="1" x14ac:dyDescent="0.35">
      <c r="A58" s="65">
        <v>43816</v>
      </c>
      <c r="B58" s="66" t="s">
        <v>1561</v>
      </c>
      <c r="C58" s="66">
        <v>66208687</v>
      </c>
      <c r="D58" s="67">
        <v>20000</v>
      </c>
      <c r="E58" s="67">
        <v>0</v>
      </c>
      <c r="F58" s="152">
        <v>4207.95</v>
      </c>
      <c r="G58" s="193" t="s">
        <v>151</v>
      </c>
    </row>
    <row r="59" spans="1:7" ht="15" customHeight="1" x14ac:dyDescent="0.35">
      <c r="A59" s="65">
        <v>43818</v>
      </c>
      <c r="B59" s="66" t="s">
        <v>1562</v>
      </c>
      <c r="C59" s="66">
        <v>66488706</v>
      </c>
      <c r="D59" s="67">
        <v>0</v>
      </c>
      <c r="E59" s="67">
        <v>3770.81</v>
      </c>
      <c r="F59" s="152">
        <v>7978.76</v>
      </c>
      <c r="G59" s="193" t="s">
        <v>152</v>
      </c>
    </row>
    <row r="60" spans="1:7" ht="15" customHeight="1" x14ac:dyDescent="0.35">
      <c r="A60" s="65">
        <v>43823</v>
      </c>
      <c r="B60" s="66" t="s">
        <v>1563</v>
      </c>
      <c r="C60" s="66">
        <v>66915530</v>
      </c>
      <c r="D60" s="67">
        <v>0</v>
      </c>
      <c r="E60" s="67">
        <v>5968.82</v>
      </c>
      <c r="F60" s="62">
        <v>13947.58</v>
      </c>
      <c r="G60" s="193" t="s">
        <v>152</v>
      </c>
    </row>
    <row r="61" spans="1:7" ht="15" customHeight="1" x14ac:dyDescent="0.35">
      <c r="A61" s="90">
        <v>43827</v>
      </c>
      <c r="B61" s="91" t="s">
        <v>1564</v>
      </c>
      <c r="C61" s="91">
        <v>67408695</v>
      </c>
      <c r="D61" s="92">
        <v>13900</v>
      </c>
      <c r="E61" s="92">
        <v>0</v>
      </c>
      <c r="F61" s="92">
        <v>47.58</v>
      </c>
      <c r="G61" s="193" t="s">
        <v>151</v>
      </c>
    </row>
    <row r="64" spans="1:7" x14ac:dyDescent="0.3">
      <c r="D64" s="1">
        <f>SUBTOTAL(9,D2:D61)</f>
        <v>57545229</v>
      </c>
      <c r="E64" s="1">
        <f>SUBTOTAL(9,E2:E61)</f>
        <v>63864045.590000004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2066</v>
      </c>
      <c r="G67" s="193" t="s">
        <v>191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193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193" t="s">
        <v>118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194" t="s">
        <v>190</v>
      </c>
    </row>
    <row r="71" spans="1:10" ht="18" x14ac:dyDescent="0.35">
      <c r="F71" s="62">
        <f t="shared" si="0"/>
        <v>0</v>
      </c>
      <c r="G71" s="194" t="s">
        <v>9</v>
      </c>
    </row>
    <row r="72" spans="1:10" ht="18" x14ac:dyDescent="0.35">
      <c r="F72" s="62">
        <f t="shared" si="0"/>
        <v>0</v>
      </c>
      <c r="G72" s="195" t="s">
        <v>192</v>
      </c>
      <c r="H72" s="96"/>
    </row>
    <row r="73" spans="1:10" ht="18" x14ac:dyDescent="0.35">
      <c r="F73" s="62">
        <f t="shared" si="0"/>
        <v>0</v>
      </c>
      <c r="G73" s="193" t="s">
        <v>194</v>
      </c>
    </row>
    <row r="74" spans="1:10" ht="18" x14ac:dyDescent="0.35">
      <c r="F74" s="62">
        <f t="shared" si="0"/>
        <v>0</v>
      </c>
      <c r="G74" s="193" t="s">
        <v>193</v>
      </c>
    </row>
    <row r="75" spans="1:10" ht="18" x14ac:dyDescent="0.35">
      <c r="F75" s="62">
        <f t="shared" si="0"/>
        <v>-2485383</v>
      </c>
      <c r="G75" s="195" t="s">
        <v>27</v>
      </c>
    </row>
    <row r="76" spans="1:10" ht="18" x14ac:dyDescent="0.35">
      <c r="F76" s="62">
        <f t="shared" si="0"/>
        <v>4879000</v>
      </c>
      <c r="G76" s="193" t="s">
        <v>12</v>
      </c>
      <c r="H76" s="97"/>
      <c r="I76" s="125"/>
      <c r="J76" s="125"/>
    </row>
    <row r="77" spans="1:10" ht="18" x14ac:dyDescent="0.35">
      <c r="F77" s="62">
        <f t="shared" si="0"/>
        <v>906768</v>
      </c>
      <c r="G77" s="193" t="s">
        <v>22</v>
      </c>
      <c r="I77" s="125"/>
      <c r="J77" s="125"/>
    </row>
    <row r="78" spans="1:10" ht="18" x14ac:dyDescent="0.35">
      <c r="F78" s="62">
        <f t="shared" si="0"/>
        <v>0</v>
      </c>
      <c r="G78" s="194" t="s">
        <v>195</v>
      </c>
      <c r="I78" s="125"/>
    </row>
    <row r="79" spans="1:10" ht="18" x14ac:dyDescent="0.35">
      <c r="F79" s="62">
        <f t="shared" si="0"/>
        <v>1699280</v>
      </c>
      <c r="G79" s="193" t="s">
        <v>33</v>
      </c>
      <c r="I79" s="125"/>
      <c r="J79" s="125"/>
    </row>
    <row r="80" spans="1:10" ht="18" x14ac:dyDescent="0.35">
      <c r="F80" s="62">
        <f t="shared" si="0"/>
        <v>23591900</v>
      </c>
      <c r="G80" s="194" t="s">
        <v>151</v>
      </c>
      <c r="I80" s="125"/>
      <c r="J80" s="125"/>
    </row>
    <row r="81" spans="4:10" ht="18" x14ac:dyDescent="0.35">
      <c r="F81" s="62">
        <f t="shared" si="0"/>
        <v>-58853458.590000004</v>
      </c>
      <c r="G81" s="193" t="s">
        <v>152</v>
      </c>
      <c r="I81" s="125"/>
      <c r="J81" s="125"/>
    </row>
    <row r="82" spans="4:10" ht="18" x14ac:dyDescent="0.35">
      <c r="F82" s="62">
        <f t="shared" si="0"/>
        <v>0</v>
      </c>
      <c r="G82" s="193" t="s">
        <v>196</v>
      </c>
      <c r="I82" s="125"/>
      <c r="J82" s="125"/>
    </row>
    <row r="83" spans="4:10" ht="18" x14ac:dyDescent="0.35">
      <c r="F83" s="62">
        <f t="shared" si="0"/>
        <v>0</v>
      </c>
      <c r="G83" s="193" t="s">
        <v>197</v>
      </c>
      <c r="I83" s="125"/>
      <c r="J83" s="125"/>
    </row>
    <row r="84" spans="4:10" s="211" customFormat="1" ht="18" x14ac:dyDescent="0.35">
      <c r="D84" s="1"/>
      <c r="F84" s="62">
        <f>SUMIF($G$2:$G$61,G84,$D$2:$D$61)-SUMIF($G$2:$G$61,G84,$E$2:$E$61)</f>
        <v>23941011</v>
      </c>
      <c r="G84" s="193" t="s">
        <v>222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G2:G30 G32:G34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topLeftCell="A73" zoomScale="70" zoomScaleNormal="70" workbookViewId="0">
      <selection activeCell="G126" sqref="A126:G126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175</v>
      </c>
      <c r="D1" s="47" t="s">
        <v>176</v>
      </c>
      <c r="E1" s="47" t="s">
        <v>177</v>
      </c>
      <c r="F1" s="47" t="s">
        <v>178</v>
      </c>
      <c r="G1" s="86" t="s">
        <v>93</v>
      </c>
      <c r="H1" s="47" t="s">
        <v>179</v>
      </c>
      <c r="I1" s="47" t="s">
        <v>180</v>
      </c>
      <c r="J1" s="87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2" t="s">
        <v>765</v>
      </c>
      <c r="B2" s="176" t="s">
        <v>148</v>
      </c>
      <c r="C2" s="176" t="s">
        <v>149</v>
      </c>
      <c r="D2" s="176" t="s">
        <v>168</v>
      </c>
      <c r="E2" s="177">
        <v>45000</v>
      </c>
      <c r="F2" s="176">
        <v>0</v>
      </c>
      <c r="G2" s="221" t="s">
        <v>158</v>
      </c>
      <c r="H2" s="221">
        <v>59360</v>
      </c>
      <c r="I2" s="221" t="s">
        <v>205</v>
      </c>
      <c r="J2" s="155"/>
      <c r="K2" s="170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27"/>
    </row>
    <row r="3" spans="1:53" x14ac:dyDescent="0.3">
      <c r="A3" s="212" t="s">
        <v>765</v>
      </c>
      <c r="B3" s="176" t="s">
        <v>148</v>
      </c>
      <c r="C3" s="176" t="s">
        <v>149</v>
      </c>
      <c r="D3" s="177" t="s">
        <v>168</v>
      </c>
      <c r="E3" s="177">
        <v>83409</v>
      </c>
      <c r="F3" s="176">
        <v>0</v>
      </c>
      <c r="G3" s="221" t="s">
        <v>316</v>
      </c>
      <c r="H3" s="221">
        <v>92834756</v>
      </c>
      <c r="I3" s="221" t="s">
        <v>65</v>
      </c>
      <c r="J3" s="150"/>
      <c r="K3" s="170"/>
      <c r="L3" s="19"/>
      <c r="M3" s="88">
        <v>41791</v>
      </c>
      <c r="N3" s="88">
        <v>41821</v>
      </c>
      <c r="O3" s="88">
        <v>41852</v>
      </c>
      <c r="P3" s="88">
        <v>41883</v>
      </c>
      <c r="Q3" s="88">
        <v>41913</v>
      </c>
      <c r="R3" s="88">
        <v>41944</v>
      </c>
      <c r="S3" s="88">
        <v>41974</v>
      </c>
      <c r="T3" s="88">
        <v>42005</v>
      </c>
      <c r="U3" s="88">
        <v>42036</v>
      </c>
      <c r="V3" s="88">
        <v>42064</v>
      </c>
      <c r="W3" s="88">
        <v>42095</v>
      </c>
      <c r="X3" s="88"/>
      <c r="Y3" s="88">
        <v>42156</v>
      </c>
      <c r="Z3" s="88">
        <v>42186</v>
      </c>
      <c r="AA3" s="88">
        <v>42217</v>
      </c>
      <c r="AB3" s="88">
        <v>42248</v>
      </c>
      <c r="AC3" s="88">
        <v>42278</v>
      </c>
      <c r="AD3" s="88">
        <v>42309</v>
      </c>
      <c r="AE3" s="88">
        <v>42339</v>
      </c>
      <c r="AF3" s="88">
        <v>42370</v>
      </c>
      <c r="AG3" s="88">
        <v>42401</v>
      </c>
      <c r="AH3" s="88">
        <v>42430</v>
      </c>
      <c r="AI3" s="88">
        <v>42461</v>
      </c>
      <c r="AJ3" s="88">
        <v>42491</v>
      </c>
      <c r="AK3" s="88">
        <v>42522</v>
      </c>
      <c r="AL3" s="88">
        <v>42552</v>
      </c>
      <c r="AM3" s="88">
        <v>42583</v>
      </c>
      <c r="AN3" s="88">
        <v>42614</v>
      </c>
      <c r="AO3" s="88">
        <v>42644</v>
      </c>
      <c r="AP3" s="88">
        <v>42675</v>
      </c>
      <c r="AQ3" s="88">
        <v>42705</v>
      </c>
      <c r="AR3" s="88">
        <v>42736</v>
      </c>
      <c r="AS3" s="88">
        <v>42767</v>
      </c>
      <c r="AT3" s="88">
        <v>42795</v>
      </c>
      <c r="AU3" s="88">
        <v>42826</v>
      </c>
      <c r="AV3" s="88">
        <v>42856</v>
      </c>
      <c r="AW3" s="88">
        <v>42887</v>
      </c>
      <c r="AX3" s="88">
        <v>42917</v>
      </c>
      <c r="AY3" s="88">
        <v>42948</v>
      </c>
      <c r="AZ3" s="88">
        <v>42979</v>
      </c>
      <c r="BA3" s="88">
        <v>43009</v>
      </c>
    </row>
    <row r="4" spans="1:53" x14ac:dyDescent="0.3">
      <c r="A4" s="212" t="s">
        <v>765</v>
      </c>
      <c r="B4" s="176" t="s">
        <v>148</v>
      </c>
      <c r="C4" s="176" t="s">
        <v>149</v>
      </c>
      <c r="D4" s="177" t="s">
        <v>168</v>
      </c>
      <c r="E4" s="177">
        <v>9590</v>
      </c>
      <c r="F4" s="176">
        <v>0</v>
      </c>
      <c r="G4" s="221" t="s">
        <v>368</v>
      </c>
      <c r="H4" s="221">
        <v>456235</v>
      </c>
      <c r="I4" s="221" t="s">
        <v>210</v>
      </c>
      <c r="J4" s="150"/>
      <c r="K4" s="170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229</v>
      </c>
      <c r="AQ4" s="56" t="s">
        <v>229</v>
      </c>
      <c r="AR4" s="56" t="s">
        <v>229</v>
      </c>
      <c r="AS4" s="56" t="s">
        <v>229</v>
      </c>
      <c r="AT4" s="56" t="s">
        <v>229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2" t="s">
        <v>765</v>
      </c>
      <c r="B5" s="176" t="s">
        <v>148</v>
      </c>
      <c r="C5" s="176" t="s">
        <v>149</v>
      </c>
      <c r="D5" s="177" t="s">
        <v>168</v>
      </c>
      <c r="E5" s="177">
        <v>18990</v>
      </c>
      <c r="F5" s="176">
        <v>0</v>
      </c>
      <c r="G5" s="221" t="s">
        <v>286</v>
      </c>
      <c r="H5" s="221">
        <v>68114924</v>
      </c>
      <c r="I5" s="221" t="s">
        <v>206</v>
      </c>
      <c r="J5" s="150"/>
      <c r="K5" s="170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2" t="s">
        <v>765</v>
      </c>
      <c r="B6" s="176" t="s">
        <v>148</v>
      </c>
      <c r="C6" s="176" t="s">
        <v>149</v>
      </c>
      <c r="D6" s="176" t="s">
        <v>168</v>
      </c>
      <c r="E6" s="177">
        <v>33510</v>
      </c>
      <c r="F6" s="176">
        <v>0</v>
      </c>
      <c r="G6" s="221" t="s">
        <v>286</v>
      </c>
      <c r="H6" s="221">
        <v>68114923</v>
      </c>
      <c r="I6" s="221" t="s">
        <v>167</v>
      </c>
      <c r="J6" s="150"/>
      <c r="K6" s="170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2" t="s">
        <v>765</v>
      </c>
      <c r="B7" s="176" t="s">
        <v>148</v>
      </c>
      <c r="C7" s="176" t="s">
        <v>149</v>
      </c>
      <c r="D7" s="176" t="s">
        <v>168</v>
      </c>
      <c r="E7" s="177">
        <v>37117</v>
      </c>
      <c r="F7" s="176">
        <v>0</v>
      </c>
      <c r="G7" s="221" t="s">
        <v>286</v>
      </c>
      <c r="H7" s="221">
        <v>68114922</v>
      </c>
      <c r="I7" s="221" t="s">
        <v>208</v>
      </c>
      <c r="J7" s="150"/>
      <c r="K7" s="170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230</v>
      </c>
      <c r="AQ7" s="22" t="s">
        <v>230</v>
      </c>
      <c r="AR7" s="22" t="s">
        <v>230</v>
      </c>
      <c r="AS7" s="22" t="s">
        <v>230</v>
      </c>
      <c r="AT7" s="22" t="s">
        <v>230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2" t="s">
        <v>765</v>
      </c>
      <c r="B8" s="176" t="s">
        <v>148</v>
      </c>
      <c r="C8" s="176" t="s">
        <v>149</v>
      </c>
      <c r="D8" s="177" t="s">
        <v>168</v>
      </c>
      <c r="E8" s="177">
        <v>178984</v>
      </c>
      <c r="F8" s="176">
        <v>0</v>
      </c>
      <c r="G8" s="221" t="s">
        <v>286</v>
      </c>
      <c r="H8" s="221">
        <v>68114921</v>
      </c>
      <c r="I8" s="221" t="s">
        <v>207</v>
      </c>
      <c r="J8" s="150"/>
      <c r="K8" s="170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2" t="s">
        <v>765</v>
      </c>
      <c r="B9" s="176" t="s">
        <v>148</v>
      </c>
      <c r="C9" s="176" t="s">
        <v>149</v>
      </c>
      <c r="D9" s="177" t="s">
        <v>168</v>
      </c>
      <c r="E9" s="177">
        <v>77790</v>
      </c>
      <c r="F9" s="176">
        <v>0</v>
      </c>
      <c r="G9" s="221" t="s">
        <v>368</v>
      </c>
      <c r="H9" s="221">
        <v>3153054</v>
      </c>
      <c r="I9" s="221" t="s">
        <v>210</v>
      </c>
      <c r="J9" s="150"/>
      <c r="K9" s="170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2" t="s">
        <v>765</v>
      </c>
      <c r="B10" s="176" t="s">
        <v>148</v>
      </c>
      <c r="C10" s="176" t="s">
        <v>149</v>
      </c>
      <c r="D10" s="177" t="s">
        <v>168</v>
      </c>
      <c r="E10" s="177">
        <v>24750</v>
      </c>
      <c r="F10" s="176">
        <v>0</v>
      </c>
      <c r="G10" s="221" t="s">
        <v>320</v>
      </c>
      <c r="H10" s="221">
        <v>24984</v>
      </c>
      <c r="I10" s="221" t="s">
        <v>208</v>
      </c>
      <c r="J10" s="150"/>
      <c r="K10" s="170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2" t="s">
        <v>765</v>
      </c>
      <c r="B11" s="176" t="s">
        <v>148</v>
      </c>
      <c r="C11" s="176" t="s">
        <v>149</v>
      </c>
      <c r="D11" s="177" t="s">
        <v>168</v>
      </c>
      <c r="E11" s="177">
        <v>96250</v>
      </c>
      <c r="F11" s="176">
        <v>0</v>
      </c>
      <c r="G11" s="221" t="s">
        <v>320</v>
      </c>
      <c r="H11" s="221">
        <v>24983</v>
      </c>
      <c r="I11" s="221" t="s">
        <v>207</v>
      </c>
      <c r="J11" s="150"/>
      <c r="K11" s="170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2" t="s">
        <v>765</v>
      </c>
      <c r="B12" s="176" t="s">
        <v>148</v>
      </c>
      <c r="C12" s="176" t="s">
        <v>149</v>
      </c>
      <c r="D12" s="177" t="s">
        <v>168</v>
      </c>
      <c r="E12" s="177">
        <v>6400</v>
      </c>
      <c r="F12" s="176">
        <v>0</v>
      </c>
      <c r="G12" s="221" t="s">
        <v>370</v>
      </c>
      <c r="H12" s="221">
        <v>11710</v>
      </c>
      <c r="I12" s="221" t="s">
        <v>207</v>
      </c>
      <c r="J12" s="150"/>
      <c r="K12" s="170"/>
      <c r="L12" s="54" t="s">
        <v>85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230</v>
      </c>
      <c r="AQ12" s="22">
        <v>30000</v>
      </c>
      <c r="AR12" s="22">
        <v>90000</v>
      </c>
      <c r="AS12" s="22">
        <v>90000</v>
      </c>
      <c r="AT12" s="22" t="s">
        <v>230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2" t="s">
        <v>765</v>
      </c>
      <c r="B13" s="176" t="s">
        <v>148</v>
      </c>
      <c r="C13" s="176" t="s">
        <v>149</v>
      </c>
      <c r="D13" s="177" t="s">
        <v>168</v>
      </c>
      <c r="E13" s="177">
        <v>20000</v>
      </c>
      <c r="F13" s="176">
        <v>0</v>
      </c>
      <c r="G13" s="221" t="s">
        <v>369</v>
      </c>
      <c r="H13" s="221">
        <v>5920</v>
      </c>
      <c r="I13" s="221" t="s">
        <v>205</v>
      </c>
      <c r="J13" s="150"/>
      <c r="K13" s="170"/>
      <c r="L13" s="54" t="s">
        <v>167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2" t="s">
        <v>766</v>
      </c>
      <c r="B14" s="176" t="s">
        <v>148</v>
      </c>
      <c r="C14" s="176" t="s">
        <v>149</v>
      </c>
      <c r="D14" s="177" t="s">
        <v>168</v>
      </c>
      <c r="E14" s="177">
        <v>20190</v>
      </c>
      <c r="F14" s="176">
        <v>0</v>
      </c>
      <c r="G14" s="221" t="s">
        <v>209</v>
      </c>
      <c r="H14" s="221">
        <v>10127024</v>
      </c>
      <c r="I14" s="221" t="s">
        <v>167</v>
      </c>
      <c r="J14" s="150"/>
      <c r="K14" s="170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2" t="s">
        <v>766</v>
      </c>
      <c r="B15" s="176" t="s">
        <v>148</v>
      </c>
      <c r="C15" s="176" t="s">
        <v>149</v>
      </c>
      <c r="D15" s="177" t="s">
        <v>168</v>
      </c>
      <c r="E15" s="177">
        <v>7186</v>
      </c>
      <c r="F15" s="176">
        <v>0</v>
      </c>
      <c r="G15" s="221" t="s">
        <v>209</v>
      </c>
      <c r="H15" s="221">
        <v>10127023</v>
      </c>
      <c r="I15" s="221" t="s">
        <v>207</v>
      </c>
      <c r="J15" s="150"/>
      <c r="K15" s="170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2" t="s">
        <v>766</v>
      </c>
      <c r="B16" s="176" t="s">
        <v>148</v>
      </c>
      <c r="C16" s="176" t="s">
        <v>149</v>
      </c>
      <c r="D16" s="177" t="s">
        <v>168</v>
      </c>
      <c r="E16" s="177">
        <v>3800</v>
      </c>
      <c r="F16" s="176">
        <v>0</v>
      </c>
      <c r="G16" s="221" t="s">
        <v>368</v>
      </c>
      <c r="H16" s="221">
        <v>3153120</v>
      </c>
      <c r="I16" s="221" t="s">
        <v>210</v>
      </c>
      <c r="J16" s="150"/>
      <c r="K16" s="170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2" t="s">
        <v>767</v>
      </c>
      <c r="B17" s="176" t="s">
        <v>148</v>
      </c>
      <c r="C17" s="176" t="s">
        <v>149</v>
      </c>
      <c r="D17" s="177" t="s">
        <v>168</v>
      </c>
      <c r="E17" s="177">
        <v>25600</v>
      </c>
      <c r="F17" s="176">
        <v>0</v>
      </c>
      <c r="G17" s="221" t="s">
        <v>286</v>
      </c>
      <c r="H17" s="221">
        <v>68138613</v>
      </c>
      <c r="I17" s="221" t="s">
        <v>206</v>
      </c>
      <c r="J17" s="150"/>
      <c r="K17" s="170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2" t="s">
        <v>767</v>
      </c>
      <c r="B18" s="176" t="s">
        <v>148</v>
      </c>
      <c r="C18" s="176" t="s">
        <v>149</v>
      </c>
      <c r="D18" s="176" t="s">
        <v>168</v>
      </c>
      <c r="E18" s="177">
        <v>38046</v>
      </c>
      <c r="F18" s="176">
        <v>0</v>
      </c>
      <c r="G18" s="221" t="s">
        <v>286</v>
      </c>
      <c r="H18" s="221">
        <v>68138612</v>
      </c>
      <c r="I18" s="221" t="s">
        <v>208</v>
      </c>
      <c r="J18" s="150"/>
      <c r="K18" s="170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2" t="s">
        <v>767</v>
      </c>
      <c r="B19" s="176" t="s">
        <v>148</v>
      </c>
      <c r="C19" s="176" t="s">
        <v>149</v>
      </c>
      <c r="D19" s="176" t="s">
        <v>168</v>
      </c>
      <c r="E19" s="177">
        <v>210486</v>
      </c>
      <c r="F19" s="176">
        <v>0</v>
      </c>
      <c r="G19" s="221" t="s">
        <v>286</v>
      </c>
      <c r="H19" s="221">
        <v>68138611</v>
      </c>
      <c r="I19" s="221" t="s">
        <v>207</v>
      </c>
      <c r="J19" s="150"/>
      <c r="K19" s="54" t="s">
        <v>208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2" t="s">
        <v>767</v>
      </c>
      <c r="B20" s="176" t="s">
        <v>148</v>
      </c>
      <c r="C20" s="176" t="s">
        <v>149</v>
      </c>
      <c r="D20" s="176" t="s">
        <v>168</v>
      </c>
      <c r="E20" s="177">
        <v>16760</v>
      </c>
      <c r="F20" s="176">
        <v>0</v>
      </c>
      <c r="G20" s="221" t="s">
        <v>316</v>
      </c>
      <c r="H20" s="221">
        <v>94109397</v>
      </c>
      <c r="I20" s="221" t="s">
        <v>65</v>
      </c>
      <c r="J20" s="150"/>
      <c r="K20" s="54" t="s">
        <v>206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2" t="s">
        <v>767</v>
      </c>
      <c r="B21" s="176" t="s">
        <v>148</v>
      </c>
      <c r="C21" s="176" t="s">
        <v>149</v>
      </c>
      <c r="D21" s="177" t="s">
        <v>168</v>
      </c>
      <c r="E21" s="177">
        <v>16000</v>
      </c>
      <c r="F21" s="176">
        <v>0</v>
      </c>
      <c r="G21" s="221" t="s">
        <v>320</v>
      </c>
      <c r="H21" s="221">
        <v>25184</v>
      </c>
      <c r="I21" s="221" t="s">
        <v>208</v>
      </c>
      <c r="J21" s="150"/>
      <c r="K21" s="54" t="s">
        <v>217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2" t="s">
        <v>767</v>
      </c>
      <c r="B22" s="176" t="s">
        <v>148</v>
      </c>
      <c r="C22" s="176" t="s">
        <v>149</v>
      </c>
      <c r="D22" s="177" t="s">
        <v>168</v>
      </c>
      <c r="E22" s="177">
        <v>96000</v>
      </c>
      <c r="F22" s="176">
        <v>0</v>
      </c>
      <c r="G22" s="221" t="s">
        <v>320</v>
      </c>
      <c r="H22" s="221">
        <v>25185</v>
      </c>
      <c r="I22" s="221" t="s">
        <v>207</v>
      </c>
      <c r="J22" s="150"/>
      <c r="K22" s="54" t="s">
        <v>205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2" t="s">
        <v>768</v>
      </c>
      <c r="B23" s="176" t="s">
        <v>148</v>
      </c>
      <c r="C23" s="176" t="s">
        <v>149</v>
      </c>
      <c r="D23" s="177" t="s">
        <v>168</v>
      </c>
      <c r="E23" s="177">
        <v>9000</v>
      </c>
      <c r="F23" s="176">
        <v>0</v>
      </c>
      <c r="G23" s="221" t="s">
        <v>790</v>
      </c>
      <c r="H23" s="221">
        <v>1377</v>
      </c>
      <c r="I23" s="221" t="s">
        <v>65</v>
      </c>
      <c r="J23" s="150"/>
      <c r="K23" s="54" t="s">
        <v>207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2" t="s">
        <v>768</v>
      </c>
      <c r="B24" s="176" t="s">
        <v>148</v>
      </c>
      <c r="C24" s="176" t="s">
        <v>149</v>
      </c>
      <c r="D24" s="177" t="s">
        <v>168</v>
      </c>
      <c r="E24" s="177">
        <v>34631</v>
      </c>
      <c r="F24" s="176">
        <v>0</v>
      </c>
      <c r="G24" s="221" t="s">
        <v>158</v>
      </c>
      <c r="H24" s="221">
        <v>60366</v>
      </c>
      <c r="I24" s="221" t="s">
        <v>205</v>
      </c>
      <c r="J24" s="150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2" t="s">
        <v>769</v>
      </c>
      <c r="B25" s="176" t="s">
        <v>148</v>
      </c>
      <c r="C25" s="176" t="s">
        <v>149</v>
      </c>
      <c r="D25" s="177" t="s">
        <v>168</v>
      </c>
      <c r="E25" s="177">
        <v>19380</v>
      </c>
      <c r="F25" s="176">
        <v>0</v>
      </c>
      <c r="G25" s="221" t="s">
        <v>286</v>
      </c>
      <c r="H25" s="221">
        <v>68185404</v>
      </c>
      <c r="I25" s="221" t="s">
        <v>207</v>
      </c>
      <c r="J25" s="150"/>
      <c r="K25" s="54" t="s">
        <v>210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2" t="s">
        <v>769</v>
      </c>
      <c r="B26" s="176" t="s">
        <v>148</v>
      </c>
      <c r="C26" s="176" t="s">
        <v>149</v>
      </c>
      <c r="D26" s="177" t="s">
        <v>168</v>
      </c>
      <c r="E26" s="177">
        <v>20600</v>
      </c>
      <c r="F26" s="176">
        <v>0</v>
      </c>
      <c r="G26" s="221" t="s">
        <v>316</v>
      </c>
      <c r="H26" s="221">
        <v>94208193</v>
      </c>
      <c r="I26" s="221" t="s">
        <v>206</v>
      </c>
      <c r="J26" s="150"/>
      <c r="K26" s="54" t="s">
        <v>85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2" t="s">
        <v>770</v>
      </c>
      <c r="B27" s="176" t="s">
        <v>148</v>
      </c>
      <c r="C27" s="176" t="s">
        <v>149</v>
      </c>
      <c r="D27" s="177" t="s">
        <v>168</v>
      </c>
      <c r="E27" s="177">
        <v>6970</v>
      </c>
      <c r="F27" s="176">
        <v>0</v>
      </c>
      <c r="G27" s="221" t="s">
        <v>286</v>
      </c>
      <c r="H27" s="221">
        <v>68185524</v>
      </c>
      <c r="I27" s="221" t="s">
        <v>210</v>
      </c>
      <c r="J27" s="150"/>
      <c r="K27" s="54" t="s">
        <v>167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2" t="s">
        <v>770</v>
      </c>
      <c r="B28" s="176" t="s">
        <v>148</v>
      </c>
      <c r="C28" s="176" t="s">
        <v>149</v>
      </c>
      <c r="D28" s="177" t="s">
        <v>168</v>
      </c>
      <c r="E28" s="177">
        <v>13740</v>
      </c>
      <c r="F28" s="176">
        <v>0</v>
      </c>
      <c r="G28" s="221" t="s">
        <v>286</v>
      </c>
      <c r="H28" s="221">
        <v>68185523</v>
      </c>
      <c r="I28" s="221" t="s">
        <v>167</v>
      </c>
      <c r="J28" s="150"/>
      <c r="K28" s="170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2" t="s">
        <v>770</v>
      </c>
      <c r="B29" s="176" t="s">
        <v>148</v>
      </c>
      <c r="C29" s="176" t="s">
        <v>149</v>
      </c>
      <c r="D29" s="177" t="s">
        <v>168</v>
      </c>
      <c r="E29" s="177">
        <v>5660</v>
      </c>
      <c r="F29" s="176">
        <v>0</v>
      </c>
      <c r="G29" s="221" t="s">
        <v>286</v>
      </c>
      <c r="H29" s="221">
        <v>68185522</v>
      </c>
      <c r="I29" s="221" t="s">
        <v>206</v>
      </c>
      <c r="J29" s="150"/>
      <c r="K29" s="170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2" t="s">
        <v>770</v>
      </c>
      <c r="B30" s="176" t="s">
        <v>148</v>
      </c>
      <c r="C30" s="176" t="s">
        <v>149</v>
      </c>
      <c r="D30" s="176" t="s">
        <v>168</v>
      </c>
      <c r="E30" s="177">
        <v>54200</v>
      </c>
      <c r="F30" s="176">
        <v>0</v>
      </c>
      <c r="G30" s="221" t="s">
        <v>286</v>
      </c>
      <c r="H30" s="221">
        <v>68185521</v>
      </c>
      <c r="I30" s="221" t="s">
        <v>208</v>
      </c>
      <c r="J30" s="150"/>
      <c r="K30" s="170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2" t="s">
        <v>770</v>
      </c>
      <c r="B31" s="176" t="s">
        <v>148</v>
      </c>
      <c r="C31" s="176" t="s">
        <v>149</v>
      </c>
      <c r="D31" s="176" t="s">
        <v>168</v>
      </c>
      <c r="E31" s="177">
        <v>172954</v>
      </c>
      <c r="F31" s="176">
        <v>0</v>
      </c>
      <c r="G31" s="221" t="s">
        <v>286</v>
      </c>
      <c r="H31" s="221">
        <v>68185520</v>
      </c>
      <c r="I31" s="221" t="s">
        <v>207</v>
      </c>
      <c r="J31" s="150"/>
      <c r="K31" s="170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27" customFormat="1" x14ac:dyDescent="0.3">
      <c r="A32" s="212" t="s">
        <v>770</v>
      </c>
      <c r="B32" s="176" t="s">
        <v>148</v>
      </c>
      <c r="C32" s="176" t="s">
        <v>149</v>
      </c>
      <c r="D32" s="176" t="s">
        <v>168</v>
      </c>
      <c r="E32" s="177">
        <v>87700</v>
      </c>
      <c r="F32" s="176">
        <v>0</v>
      </c>
      <c r="G32" s="221" t="s">
        <v>320</v>
      </c>
      <c r="H32" s="221">
        <v>25441</v>
      </c>
      <c r="I32" s="221" t="s">
        <v>207</v>
      </c>
      <c r="J32" s="150"/>
      <c r="K32" s="170"/>
      <c r="M32" s="5"/>
      <c r="S32" s="58"/>
      <c r="T32" s="58"/>
      <c r="U32" s="58"/>
      <c r="V32" s="58"/>
    </row>
    <row r="33" spans="1:22" s="127" customFormat="1" x14ac:dyDescent="0.3">
      <c r="A33" s="212" t="s">
        <v>770</v>
      </c>
      <c r="B33" s="153" t="s">
        <v>148</v>
      </c>
      <c r="C33" s="179" t="s">
        <v>149</v>
      </c>
      <c r="D33" s="180" t="s">
        <v>168</v>
      </c>
      <c r="E33" s="177">
        <v>20900</v>
      </c>
      <c r="F33" s="176">
        <v>0</v>
      </c>
      <c r="G33" s="221" t="s">
        <v>320</v>
      </c>
      <c r="H33" s="221">
        <v>25440</v>
      </c>
      <c r="I33" s="221" t="s">
        <v>208</v>
      </c>
      <c r="J33" s="150"/>
      <c r="K33" s="170"/>
      <c r="M33" s="5"/>
      <c r="S33" s="58"/>
      <c r="T33" s="58"/>
      <c r="U33" s="58"/>
      <c r="V33" s="58"/>
    </row>
    <row r="34" spans="1:22" s="127" customFormat="1" x14ac:dyDescent="0.3">
      <c r="A34" s="212" t="s">
        <v>770</v>
      </c>
      <c r="B34" s="153" t="s">
        <v>148</v>
      </c>
      <c r="C34" s="179" t="s">
        <v>149</v>
      </c>
      <c r="D34" s="180" t="s">
        <v>168</v>
      </c>
      <c r="E34" s="177">
        <v>4036</v>
      </c>
      <c r="F34" s="176">
        <v>0</v>
      </c>
      <c r="G34" s="221" t="s">
        <v>317</v>
      </c>
      <c r="H34" s="221">
        <v>4307</v>
      </c>
      <c r="I34" s="221" t="s">
        <v>207</v>
      </c>
      <c r="J34" s="150"/>
      <c r="K34" s="170"/>
      <c r="M34" s="5"/>
      <c r="S34" s="58"/>
      <c r="T34" s="58"/>
      <c r="U34" s="58"/>
      <c r="V34" s="58"/>
    </row>
    <row r="35" spans="1:22" s="127" customFormat="1" x14ac:dyDescent="0.3">
      <c r="A35" s="212" t="s">
        <v>771</v>
      </c>
      <c r="B35" s="153" t="s">
        <v>148</v>
      </c>
      <c r="C35" s="179" t="s">
        <v>149</v>
      </c>
      <c r="D35" s="168" t="s">
        <v>168</v>
      </c>
      <c r="E35" s="177">
        <v>36002</v>
      </c>
      <c r="F35" s="176">
        <v>0</v>
      </c>
      <c r="G35" s="221" t="s">
        <v>158</v>
      </c>
      <c r="H35" s="221">
        <v>91922</v>
      </c>
      <c r="I35" s="221" t="s">
        <v>205</v>
      </c>
      <c r="J35" s="150"/>
      <c r="K35" s="170"/>
      <c r="M35" s="5"/>
      <c r="S35" s="58"/>
      <c r="T35" s="58"/>
      <c r="U35" s="58"/>
      <c r="V35" s="58"/>
    </row>
    <row r="36" spans="1:22" s="127" customFormat="1" x14ac:dyDescent="0.3">
      <c r="A36" s="212" t="s">
        <v>772</v>
      </c>
      <c r="B36" s="153" t="s">
        <v>148</v>
      </c>
      <c r="C36" s="179" t="s">
        <v>149</v>
      </c>
      <c r="D36" s="168" t="s">
        <v>168</v>
      </c>
      <c r="E36" s="177">
        <v>16080</v>
      </c>
      <c r="F36" s="176">
        <v>0</v>
      </c>
      <c r="G36" s="221" t="s">
        <v>317</v>
      </c>
      <c r="H36" s="221">
        <v>1316</v>
      </c>
      <c r="I36" s="221" t="s">
        <v>206</v>
      </c>
      <c r="J36" s="150"/>
      <c r="K36" s="170"/>
      <c r="M36" s="5"/>
      <c r="S36" s="58"/>
      <c r="T36" s="58"/>
      <c r="U36" s="58"/>
      <c r="V36" s="58"/>
    </row>
    <row r="37" spans="1:22" s="127" customFormat="1" x14ac:dyDescent="0.3">
      <c r="A37" s="212" t="s">
        <v>791</v>
      </c>
      <c r="B37" s="153" t="s">
        <v>148</v>
      </c>
      <c r="C37" s="179" t="s">
        <v>149</v>
      </c>
      <c r="D37" s="168" t="s">
        <v>168</v>
      </c>
      <c r="E37" s="177">
        <v>10720</v>
      </c>
      <c r="F37" s="176">
        <v>0</v>
      </c>
      <c r="G37" s="221" t="s">
        <v>286</v>
      </c>
      <c r="H37" s="221">
        <v>68226477</v>
      </c>
      <c r="I37" s="221" t="s">
        <v>206</v>
      </c>
      <c r="J37" s="150"/>
      <c r="K37" s="170"/>
      <c r="M37" s="5"/>
      <c r="S37" s="58"/>
      <c r="T37" s="58"/>
      <c r="U37" s="58"/>
      <c r="V37" s="58"/>
    </row>
    <row r="38" spans="1:22" s="127" customFormat="1" x14ac:dyDescent="0.3">
      <c r="A38" s="212" t="s">
        <v>791</v>
      </c>
      <c r="B38" s="153" t="s">
        <v>148</v>
      </c>
      <c r="C38" s="179" t="s">
        <v>149</v>
      </c>
      <c r="D38" s="168" t="s">
        <v>168</v>
      </c>
      <c r="E38" s="177">
        <v>34703</v>
      </c>
      <c r="F38" s="176">
        <v>0</v>
      </c>
      <c r="G38" s="221" t="s">
        <v>286</v>
      </c>
      <c r="H38" s="221">
        <v>68226476</v>
      </c>
      <c r="I38" s="221" t="s">
        <v>208</v>
      </c>
      <c r="J38" s="150"/>
      <c r="K38" s="170"/>
      <c r="M38" s="5"/>
      <c r="S38" s="58"/>
      <c r="T38" s="58"/>
      <c r="U38" s="58"/>
      <c r="V38" s="58"/>
    </row>
    <row r="39" spans="1:22" s="127" customFormat="1" x14ac:dyDescent="0.3">
      <c r="A39" s="212" t="s">
        <v>791</v>
      </c>
      <c r="B39" s="153" t="s">
        <v>148</v>
      </c>
      <c r="C39" s="179" t="s">
        <v>149</v>
      </c>
      <c r="D39" s="168" t="s">
        <v>168</v>
      </c>
      <c r="E39" s="177">
        <v>150947</v>
      </c>
      <c r="F39" s="176">
        <v>0</v>
      </c>
      <c r="G39" s="221" t="s">
        <v>286</v>
      </c>
      <c r="H39" s="221">
        <v>68226475</v>
      </c>
      <c r="I39" s="221" t="s">
        <v>207</v>
      </c>
      <c r="J39" s="150"/>
      <c r="K39" s="170"/>
      <c r="M39" s="5"/>
      <c r="S39" s="58"/>
      <c r="T39" s="58"/>
      <c r="U39" s="58"/>
      <c r="V39" s="58"/>
    </row>
    <row r="40" spans="1:22" s="127" customFormat="1" x14ac:dyDescent="0.3">
      <c r="A40" s="212" t="s">
        <v>791</v>
      </c>
      <c r="B40" s="153" t="s">
        <v>148</v>
      </c>
      <c r="C40" s="179" t="s">
        <v>149</v>
      </c>
      <c r="D40" s="168" t="s">
        <v>168</v>
      </c>
      <c r="E40" s="177">
        <v>34379</v>
      </c>
      <c r="F40" s="176">
        <v>0</v>
      </c>
      <c r="G40" s="221" t="s">
        <v>316</v>
      </c>
      <c r="H40" s="221">
        <v>94446016</v>
      </c>
      <c r="I40" s="221" t="s">
        <v>65</v>
      </c>
      <c r="J40" s="150"/>
      <c r="K40" s="170"/>
      <c r="M40" s="5"/>
      <c r="S40" s="58"/>
      <c r="T40" s="58"/>
      <c r="U40" s="58"/>
      <c r="V40" s="58"/>
    </row>
    <row r="41" spans="1:22" s="127" customFormat="1" x14ac:dyDescent="0.3">
      <c r="A41" s="212" t="s">
        <v>791</v>
      </c>
      <c r="B41" s="153" t="s">
        <v>148</v>
      </c>
      <c r="C41" s="179" t="s">
        <v>149</v>
      </c>
      <c r="D41" s="168" t="s">
        <v>168</v>
      </c>
      <c r="E41" s="177">
        <v>8610</v>
      </c>
      <c r="F41" s="176">
        <v>0</v>
      </c>
      <c r="G41" s="221" t="s">
        <v>792</v>
      </c>
      <c r="H41" s="221">
        <v>9358</v>
      </c>
      <c r="I41" s="221" t="s">
        <v>65</v>
      </c>
      <c r="J41" s="150"/>
      <c r="K41" s="170"/>
      <c r="M41" s="5"/>
      <c r="S41" s="58"/>
      <c r="T41" s="58"/>
      <c r="U41" s="58"/>
      <c r="V41" s="58"/>
    </row>
    <row r="42" spans="1:22" s="127" customFormat="1" x14ac:dyDescent="0.3">
      <c r="A42" s="212" t="s">
        <v>791</v>
      </c>
      <c r="B42" s="153" t="s">
        <v>148</v>
      </c>
      <c r="C42" s="179" t="s">
        <v>149</v>
      </c>
      <c r="D42" s="168" t="s">
        <v>168</v>
      </c>
      <c r="E42" s="177">
        <v>98800</v>
      </c>
      <c r="F42" s="153">
        <v>0</v>
      </c>
      <c r="G42" s="221" t="s">
        <v>320</v>
      </c>
      <c r="H42" s="221">
        <v>25618</v>
      </c>
      <c r="I42" s="221" t="s">
        <v>207</v>
      </c>
      <c r="J42" s="150"/>
      <c r="K42" s="170"/>
      <c r="M42" s="5"/>
      <c r="S42" s="58"/>
      <c r="T42" s="58"/>
      <c r="U42" s="58"/>
      <c r="V42" s="58"/>
    </row>
    <row r="43" spans="1:22" s="127" customFormat="1" x14ac:dyDescent="0.3">
      <c r="A43" s="212" t="s">
        <v>791</v>
      </c>
      <c r="B43" s="153" t="s">
        <v>148</v>
      </c>
      <c r="C43" s="179" t="s">
        <v>149</v>
      </c>
      <c r="D43" s="168" t="s">
        <v>168</v>
      </c>
      <c r="E43" s="177">
        <v>16500</v>
      </c>
      <c r="F43" s="153">
        <v>0</v>
      </c>
      <c r="G43" s="221" t="s">
        <v>320</v>
      </c>
      <c r="H43" s="221">
        <v>25619</v>
      </c>
      <c r="I43" s="221" t="s">
        <v>208</v>
      </c>
      <c r="J43" s="150"/>
      <c r="K43" s="170"/>
      <c r="M43" s="5"/>
      <c r="S43" s="58"/>
      <c r="T43" s="58"/>
      <c r="U43" s="58"/>
      <c r="V43" s="58"/>
    </row>
    <row r="44" spans="1:22" s="127" customFormat="1" x14ac:dyDescent="0.3">
      <c r="A44" s="212" t="s">
        <v>793</v>
      </c>
      <c r="B44" s="153" t="s">
        <v>148</v>
      </c>
      <c r="C44" s="179" t="s">
        <v>149</v>
      </c>
      <c r="D44" s="168" t="s">
        <v>168</v>
      </c>
      <c r="E44" s="180">
        <v>33006</v>
      </c>
      <c r="F44" s="153">
        <v>0</v>
      </c>
      <c r="G44" s="221" t="s">
        <v>158</v>
      </c>
      <c r="H44" s="221">
        <v>92564</v>
      </c>
      <c r="I44" s="221" t="s">
        <v>205</v>
      </c>
      <c r="J44" s="150"/>
      <c r="K44" s="170"/>
      <c r="M44" s="5"/>
      <c r="S44" s="58"/>
      <c r="T44" s="58"/>
      <c r="U44" s="58"/>
      <c r="V44" s="58"/>
    </row>
    <row r="45" spans="1:22" s="127" customFormat="1" x14ac:dyDescent="0.3">
      <c r="A45" s="212" t="s">
        <v>794</v>
      </c>
      <c r="B45" s="153" t="s">
        <v>148</v>
      </c>
      <c r="C45" s="179" t="s">
        <v>149</v>
      </c>
      <c r="D45" s="168" t="s">
        <v>168</v>
      </c>
      <c r="E45" s="180">
        <v>4050</v>
      </c>
      <c r="F45" s="153">
        <v>0</v>
      </c>
      <c r="G45" s="221" t="s">
        <v>286</v>
      </c>
      <c r="H45" s="221">
        <v>68242835</v>
      </c>
      <c r="I45" s="221" t="s">
        <v>206</v>
      </c>
      <c r="J45" s="150"/>
      <c r="K45" s="170"/>
      <c r="M45" s="5"/>
      <c r="S45" s="58"/>
      <c r="T45" s="58"/>
      <c r="U45" s="58"/>
      <c r="V45" s="58"/>
    </row>
    <row r="46" spans="1:22" s="127" customFormat="1" x14ac:dyDescent="0.3">
      <c r="A46" s="212" t="s">
        <v>794</v>
      </c>
      <c r="B46" s="153" t="s">
        <v>148</v>
      </c>
      <c r="C46" s="179" t="s">
        <v>149</v>
      </c>
      <c r="D46" s="168" t="s">
        <v>168</v>
      </c>
      <c r="E46" s="180">
        <v>15510</v>
      </c>
      <c r="F46" s="153">
        <v>0</v>
      </c>
      <c r="G46" s="221" t="s">
        <v>286</v>
      </c>
      <c r="H46" s="221">
        <v>68242834</v>
      </c>
      <c r="I46" s="221" t="s">
        <v>207</v>
      </c>
      <c r="J46" s="150"/>
      <c r="K46" s="170"/>
      <c r="M46" s="5"/>
      <c r="S46" s="58"/>
      <c r="T46" s="58"/>
      <c r="U46" s="58"/>
      <c r="V46" s="58"/>
    </row>
    <row r="47" spans="1:22" s="127" customFormat="1" x14ac:dyDescent="0.3">
      <c r="A47" s="212" t="s">
        <v>794</v>
      </c>
      <c r="B47" s="176" t="s">
        <v>148</v>
      </c>
      <c r="C47" s="176" t="s">
        <v>149</v>
      </c>
      <c r="D47" s="177" t="s">
        <v>168</v>
      </c>
      <c r="E47" s="177">
        <v>33000</v>
      </c>
      <c r="F47" s="176">
        <v>0</v>
      </c>
      <c r="G47" s="221" t="s">
        <v>795</v>
      </c>
      <c r="H47" s="221">
        <v>13094</v>
      </c>
      <c r="I47" s="221" t="s">
        <v>65</v>
      </c>
      <c r="J47" s="150"/>
      <c r="M47" s="5"/>
      <c r="S47" s="58"/>
      <c r="T47" s="58"/>
      <c r="U47" s="58"/>
      <c r="V47" s="58"/>
    </row>
    <row r="48" spans="1:22" s="127" customFormat="1" x14ac:dyDescent="0.3">
      <c r="A48" s="212" t="s">
        <v>775</v>
      </c>
      <c r="B48" s="176" t="s">
        <v>148</v>
      </c>
      <c r="C48" s="176" t="s">
        <v>149</v>
      </c>
      <c r="D48" s="177" t="s">
        <v>168</v>
      </c>
      <c r="E48" s="177">
        <v>32003</v>
      </c>
      <c r="F48" s="176">
        <v>0</v>
      </c>
      <c r="G48" s="221" t="s">
        <v>158</v>
      </c>
      <c r="H48" s="221">
        <v>62287</v>
      </c>
      <c r="I48" s="221" t="s">
        <v>205</v>
      </c>
      <c r="J48" s="150"/>
      <c r="M48" s="5"/>
      <c r="S48" s="58"/>
      <c r="T48" s="58"/>
      <c r="U48" s="58"/>
      <c r="V48" s="58"/>
    </row>
    <row r="49" spans="1:22" s="127" customFormat="1" x14ac:dyDescent="0.3">
      <c r="A49" s="212" t="s">
        <v>775</v>
      </c>
      <c r="B49" s="176" t="s">
        <v>148</v>
      </c>
      <c r="C49" s="176" t="s">
        <v>149</v>
      </c>
      <c r="D49" s="177" t="s">
        <v>168</v>
      </c>
      <c r="E49" s="177">
        <v>2853</v>
      </c>
      <c r="F49" s="176">
        <v>0</v>
      </c>
      <c r="G49" s="221" t="s">
        <v>317</v>
      </c>
      <c r="H49" s="221">
        <v>9888</v>
      </c>
      <c r="I49" s="221" t="s">
        <v>206</v>
      </c>
      <c r="J49" s="150"/>
      <c r="M49" s="5"/>
      <c r="S49" s="58"/>
      <c r="T49" s="58"/>
      <c r="U49" s="58"/>
      <c r="V49" s="58"/>
    </row>
    <row r="50" spans="1:22" s="127" customFormat="1" x14ac:dyDescent="0.3">
      <c r="A50" s="212" t="s">
        <v>776</v>
      </c>
      <c r="B50" s="176" t="s">
        <v>148</v>
      </c>
      <c r="C50" s="176" t="s">
        <v>149</v>
      </c>
      <c r="D50" s="177" t="s">
        <v>168</v>
      </c>
      <c r="E50" s="177">
        <v>6590</v>
      </c>
      <c r="F50" s="176">
        <v>0</v>
      </c>
      <c r="G50" s="221" t="s">
        <v>286</v>
      </c>
      <c r="H50" s="221">
        <v>68259884</v>
      </c>
      <c r="I50" s="221" t="s">
        <v>167</v>
      </c>
      <c r="J50" s="150"/>
      <c r="M50" s="5"/>
      <c r="S50" s="58"/>
      <c r="T50" s="58"/>
      <c r="U50" s="58"/>
      <c r="V50" s="58"/>
    </row>
    <row r="51" spans="1:22" s="127" customFormat="1" x14ac:dyDescent="0.3">
      <c r="A51" s="212" t="s">
        <v>776</v>
      </c>
      <c r="B51" s="153" t="s">
        <v>148</v>
      </c>
      <c r="C51" s="179" t="s">
        <v>149</v>
      </c>
      <c r="D51" s="180" t="s">
        <v>168</v>
      </c>
      <c r="E51" s="180">
        <v>24700</v>
      </c>
      <c r="F51" s="153">
        <v>0</v>
      </c>
      <c r="G51" s="221" t="s">
        <v>286</v>
      </c>
      <c r="H51" s="221">
        <v>68243263</v>
      </c>
      <c r="I51" s="221" t="s">
        <v>206</v>
      </c>
      <c r="J51" s="150"/>
      <c r="M51" s="5"/>
      <c r="S51" s="58"/>
      <c r="T51" s="58"/>
      <c r="U51" s="58"/>
      <c r="V51" s="58"/>
    </row>
    <row r="52" spans="1:22" s="127" customFormat="1" x14ac:dyDescent="0.3">
      <c r="A52" s="212" t="s">
        <v>776</v>
      </c>
      <c r="B52" s="153" t="s">
        <v>148</v>
      </c>
      <c r="C52" s="179" t="s">
        <v>149</v>
      </c>
      <c r="D52" s="180" t="s">
        <v>168</v>
      </c>
      <c r="E52" s="180">
        <v>50589</v>
      </c>
      <c r="F52" s="153">
        <v>0</v>
      </c>
      <c r="G52" s="221" t="s">
        <v>286</v>
      </c>
      <c r="H52" s="221">
        <v>68243262</v>
      </c>
      <c r="I52" s="221" t="s">
        <v>208</v>
      </c>
      <c r="J52" s="150"/>
      <c r="M52" s="5"/>
      <c r="S52" s="58"/>
      <c r="T52" s="58"/>
      <c r="U52" s="58"/>
      <c r="V52" s="58"/>
    </row>
    <row r="53" spans="1:22" s="127" customFormat="1" x14ac:dyDescent="0.3">
      <c r="A53" s="212" t="s">
        <v>776</v>
      </c>
      <c r="B53" s="153" t="s">
        <v>148</v>
      </c>
      <c r="C53" s="179" t="s">
        <v>149</v>
      </c>
      <c r="D53" s="67" t="s">
        <v>168</v>
      </c>
      <c r="E53" s="180">
        <v>164360</v>
      </c>
      <c r="F53" s="153">
        <v>0</v>
      </c>
      <c r="G53" s="221" t="s">
        <v>286</v>
      </c>
      <c r="H53" s="221">
        <v>68243261</v>
      </c>
      <c r="I53" s="221" t="s">
        <v>207</v>
      </c>
      <c r="J53" s="150"/>
      <c r="M53" s="5"/>
      <c r="S53" s="58"/>
      <c r="T53" s="58"/>
      <c r="U53" s="58"/>
      <c r="V53" s="58"/>
    </row>
    <row r="54" spans="1:22" s="127" customFormat="1" x14ac:dyDescent="0.3">
      <c r="A54" s="212" t="s">
        <v>776</v>
      </c>
      <c r="B54" s="153" t="s">
        <v>148</v>
      </c>
      <c r="C54" s="179" t="s">
        <v>149</v>
      </c>
      <c r="D54" s="67" t="s">
        <v>168</v>
      </c>
      <c r="E54" s="180">
        <v>78000</v>
      </c>
      <c r="F54" s="153">
        <v>0</v>
      </c>
      <c r="G54" s="221" t="s">
        <v>320</v>
      </c>
      <c r="H54" s="221">
        <v>25874</v>
      </c>
      <c r="I54" s="221" t="s">
        <v>207</v>
      </c>
      <c r="J54" s="150"/>
      <c r="M54" s="5"/>
      <c r="S54" s="58"/>
      <c r="T54" s="58"/>
      <c r="U54" s="58"/>
      <c r="V54" s="58"/>
    </row>
    <row r="55" spans="1:22" s="127" customFormat="1" x14ac:dyDescent="0.3">
      <c r="A55" s="212" t="s">
        <v>776</v>
      </c>
      <c r="B55" s="153" t="s">
        <v>148</v>
      </c>
      <c r="C55" s="179" t="s">
        <v>149</v>
      </c>
      <c r="D55" s="67" t="s">
        <v>168</v>
      </c>
      <c r="E55" s="180">
        <v>17300</v>
      </c>
      <c r="F55" s="153">
        <v>0</v>
      </c>
      <c r="G55" s="221" t="s">
        <v>320</v>
      </c>
      <c r="H55" s="221">
        <v>25875</v>
      </c>
      <c r="I55" s="221" t="s">
        <v>208</v>
      </c>
      <c r="J55" s="150"/>
      <c r="M55" s="5"/>
      <c r="S55" s="58"/>
      <c r="T55" s="58"/>
      <c r="U55" s="58"/>
      <c r="V55" s="58"/>
    </row>
    <row r="56" spans="1:22" s="127" customFormat="1" x14ac:dyDescent="0.3">
      <c r="A56" s="212"/>
      <c r="B56" s="153"/>
      <c r="C56" s="179"/>
      <c r="D56" s="67"/>
      <c r="E56" s="180"/>
      <c r="F56" s="153"/>
      <c r="G56" s="221"/>
      <c r="H56" s="221"/>
      <c r="I56" s="221"/>
      <c r="J56" s="150"/>
      <c r="M56" s="5"/>
      <c r="S56" s="58"/>
      <c r="T56" s="58"/>
      <c r="U56" s="58"/>
      <c r="V56" s="58"/>
    </row>
    <row r="57" spans="1:22" s="127" customFormat="1" x14ac:dyDescent="0.3">
      <c r="A57" s="212" t="s">
        <v>765</v>
      </c>
      <c r="B57" s="153" t="s">
        <v>140</v>
      </c>
      <c r="C57" s="179" t="s">
        <v>371</v>
      </c>
      <c r="D57" s="67" t="s">
        <v>168</v>
      </c>
      <c r="E57" s="180">
        <v>0</v>
      </c>
      <c r="F57" s="153">
        <v>2500000</v>
      </c>
      <c r="G57" s="221"/>
      <c r="H57" s="221"/>
      <c r="I57" s="221"/>
      <c r="J57" s="150"/>
      <c r="M57" s="5"/>
      <c r="S57" s="58"/>
      <c r="T57" s="58"/>
      <c r="U57" s="58"/>
      <c r="V57" s="58"/>
    </row>
    <row r="58" spans="1:22" s="127" customFormat="1" x14ac:dyDescent="0.3">
      <c r="A58" s="212" t="s">
        <v>775</v>
      </c>
      <c r="B58" s="153" t="s">
        <v>140</v>
      </c>
      <c r="C58" s="179" t="s">
        <v>371</v>
      </c>
      <c r="D58" s="67" t="s">
        <v>168</v>
      </c>
      <c r="E58" s="180">
        <v>0</v>
      </c>
      <c r="F58" s="153">
        <v>400000</v>
      </c>
      <c r="G58" s="221"/>
      <c r="H58" s="221"/>
      <c r="I58" s="221"/>
      <c r="J58" s="150"/>
      <c r="M58" s="5"/>
      <c r="S58" s="58"/>
      <c r="T58" s="58"/>
      <c r="U58" s="58"/>
      <c r="V58" s="58"/>
    </row>
    <row r="59" spans="1:22" s="127" customFormat="1" x14ac:dyDescent="0.3">
      <c r="A59" s="212"/>
      <c r="B59" s="153"/>
      <c r="C59" s="179"/>
      <c r="D59" s="168"/>
      <c r="E59" s="180"/>
      <c r="F59" s="153"/>
      <c r="G59" s="221"/>
      <c r="H59" s="221"/>
      <c r="I59" s="221"/>
      <c r="J59" s="150"/>
      <c r="M59" s="5"/>
      <c r="S59" s="58"/>
      <c r="T59" s="58"/>
      <c r="U59" s="58"/>
      <c r="V59" s="58"/>
    </row>
    <row r="60" spans="1:22" s="127" customFormat="1" x14ac:dyDescent="0.3">
      <c r="A60" s="212"/>
      <c r="B60" s="153"/>
      <c r="C60" s="179"/>
      <c r="D60" s="67"/>
      <c r="E60" s="180"/>
      <c r="F60" s="153"/>
      <c r="G60" s="221"/>
      <c r="H60" s="221"/>
      <c r="I60" s="221"/>
      <c r="J60" s="150"/>
      <c r="M60" s="5"/>
      <c r="S60" s="58"/>
      <c r="T60" s="58"/>
      <c r="U60" s="58"/>
      <c r="V60" s="58"/>
    </row>
    <row r="61" spans="1:22" s="127" customFormat="1" x14ac:dyDescent="0.3">
      <c r="A61" s="153"/>
      <c r="B61" s="153"/>
      <c r="C61" s="179"/>
      <c r="D61" s="67"/>
      <c r="E61" s="180"/>
      <c r="F61" s="153"/>
      <c r="G61" s="221"/>
      <c r="H61" s="221"/>
      <c r="I61" s="221"/>
      <c r="J61" s="150"/>
      <c r="M61" s="5"/>
      <c r="S61" s="58"/>
      <c r="T61" s="58"/>
      <c r="U61" s="58"/>
      <c r="V61" s="58"/>
    </row>
    <row r="62" spans="1:22" s="127" customFormat="1" x14ac:dyDescent="0.3">
      <c r="A62" s="179" t="s">
        <v>765</v>
      </c>
      <c r="B62" s="153" t="s">
        <v>148</v>
      </c>
      <c r="C62" s="179" t="s">
        <v>169</v>
      </c>
      <c r="D62" s="180" t="s">
        <v>168</v>
      </c>
      <c r="E62" s="180">
        <v>30000</v>
      </c>
      <c r="F62" s="153">
        <v>0</v>
      </c>
      <c r="G62" s="221"/>
      <c r="H62" s="221"/>
      <c r="I62" s="221"/>
      <c r="J62" s="150"/>
      <c r="M62" s="5"/>
      <c r="S62" s="58"/>
      <c r="T62" s="58"/>
      <c r="U62" s="58"/>
      <c r="V62" s="58"/>
    </row>
    <row r="63" spans="1:22" s="127" customFormat="1" x14ac:dyDescent="0.3">
      <c r="A63" s="179" t="s">
        <v>765</v>
      </c>
      <c r="B63" s="153" t="s">
        <v>148</v>
      </c>
      <c r="C63" s="179" t="s">
        <v>169</v>
      </c>
      <c r="D63" s="180" t="s">
        <v>168</v>
      </c>
      <c r="E63" s="180">
        <v>30000</v>
      </c>
      <c r="F63" s="153">
        <v>0</v>
      </c>
      <c r="G63" s="221"/>
      <c r="H63" s="221"/>
      <c r="I63" s="221"/>
      <c r="J63" s="150"/>
      <c r="M63" s="5"/>
      <c r="S63" s="58"/>
      <c r="T63" s="58"/>
      <c r="U63" s="58"/>
      <c r="V63" s="58"/>
    </row>
    <row r="64" spans="1:22" s="127" customFormat="1" x14ac:dyDescent="0.3">
      <c r="A64" s="179" t="s">
        <v>765</v>
      </c>
      <c r="B64" s="153" t="s">
        <v>148</v>
      </c>
      <c r="C64" s="179" t="s">
        <v>169</v>
      </c>
      <c r="D64" s="180" t="s">
        <v>168</v>
      </c>
      <c r="E64" s="180">
        <v>50000</v>
      </c>
      <c r="F64" s="153">
        <v>0</v>
      </c>
      <c r="G64" s="221"/>
      <c r="H64" s="221"/>
      <c r="I64" s="221"/>
      <c r="J64" s="150"/>
      <c r="M64" s="5"/>
      <c r="S64" s="58"/>
      <c r="T64" s="58"/>
      <c r="U64" s="58"/>
      <c r="V64" s="58"/>
    </row>
    <row r="65" spans="1:22" s="127" customFormat="1" x14ac:dyDescent="0.3">
      <c r="A65" s="179" t="s">
        <v>765</v>
      </c>
      <c r="B65" s="153" t="s">
        <v>148</v>
      </c>
      <c r="C65" s="179" t="s">
        <v>169</v>
      </c>
      <c r="D65" s="180" t="s">
        <v>168</v>
      </c>
      <c r="E65" s="180">
        <v>25000</v>
      </c>
      <c r="F65" s="153">
        <v>0</v>
      </c>
      <c r="G65" s="221"/>
      <c r="H65" s="221"/>
      <c r="I65" s="221"/>
      <c r="J65" s="150"/>
      <c r="M65" s="5"/>
      <c r="S65" s="58"/>
      <c r="T65" s="58"/>
      <c r="U65" s="58"/>
      <c r="V65" s="58"/>
    </row>
    <row r="66" spans="1:22" s="127" customFormat="1" x14ac:dyDescent="0.3">
      <c r="A66" s="179" t="s">
        <v>767</v>
      </c>
      <c r="B66" s="153" t="s">
        <v>148</v>
      </c>
      <c r="C66" s="179" t="s">
        <v>169</v>
      </c>
      <c r="D66" s="180" t="s">
        <v>168</v>
      </c>
      <c r="E66" s="180">
        <v>50000</v>
      </c>
      <c r="F66" s="153">
        <v>0</v>
      </c>
      <c r="G66" s="221"/>
      <c r="H66" s="221"/>
      <c r="I66" s="221"/>
      <c r="J66" s="150"/>
      <c r="M66" s="5"/>
      <c r="S66" s="58"/>
      <c r="T66" s="58"/>
      <c r="U66" s="58"/>
      <c r="V66" s="58"/>
    </row>
    <row r="67" spans="1:22" s="127" customFormat="1" x14ac:dyDescent="0.3">
      <c r="A67" s="179" t="s">
        <v>796</v>
      </c>
      <c r="B67" s="153" t="s">
        <v>148</v>
      </c>
      <c r="C67" s="179" t="s">
        <v>169</v>
      </c>
      <c r="D67" s="180" t="s">
        <v>168</v>
      </c>
      <c r="E67" s="180">
        <v>40000</v>
      </c>
      <c r="F67" s="153">
        <v>0</v>
      </c>
      <c r="G67" s="221"/>
      <c r="H67" s="221"/>
      <c r="I67" s="221"/>
      <c r="J67" s="150"/>
      <c r="M67" s="5"/>
      <c r="S67" s="58"/>
      <c r="T67" s="58"/>
      <c r="U67" s="58"/>
      <c r="V67" s="58"/>
    </row>
    <row r="68" spans="1:22" s="127" customFormat="1" x14ac:dyDescent="0.3">
      <c r="A68" s="179" t="s">
        <v>768</v>
      </c>
      <c r="B68" s="153" t="s">
        <v>148</v>
      </c>
      <c r="C68" s="179" t="s">
        <v>169</v>
      </c>
      <c r="D68" s="180" t="s">
        <v>168</v>
      </c>
      <c r="E68" s="180">
        <v>30000</v>
      </c>
      <c r="F68" s="153">
        <v>0</v>
      </c>
      <c r="G68" s="221"/>
      <c r="H68" s="221"/>
      <c r="I68" s="221"/>
      <c r="J68" s="150"/>
      <c r="M68" s="5"/>
      <c r="S68" s="58"/>
      <c r="T68" s="58"/>
      <c r="U68" s="58"/>
      <c r="V68" s="58"/>
    </row>
    <row r="69" spans="1:22" s="127" customFormat="1" x14ac:dyDescent="0.3">
      <c r="A69" s="153" t="s">
        <v>770</v>
      </c>
      <c r="B69" s="153" t="s">
        <v>148</v>
      </c>
      <c r="C69" s="179" t="s">
        <v>169</v>
      </c>
      <c r="D69" s="168" t="s">
        <v>168</v>
      </c>
      <c r="E69" s="180">
        <v>30000</v>
      </c>
      <c r="F69" s="153">
        <v>0</v>
      </c>
      <c r="G69" s="221"/>
      <c r="H69" s="221"/>
      <c r="I69" s="221"/>
      <c r="J69" s="150"/>
      <c r="M69" s="5"/>
      <c r="S69" s="58"/>
      <c r="T69" s="58"/>
      <c r="U69" s="58"/>
      <c r="V69" s="58"/>
    </row>
    <row r="70" spans="1:22" s="127" customFormat="1" x14ac:dyDescent="0.3">
      <c r="A70" s="153" t="s">
        <v>770</v>
      </c>
      <c r="B70" s="153" t="s">
        <v>148</v>
      </c>
      <c r="C70" s="179" t="s">
        <v>169</v>
      </c>
      <c r="D70" s="168" t="s">
        <v>168</v>
      </c>
      <c r="E70" s="180">
        <v>30000</v>
      </c>
      <c r="F70" s="153"/>
      <c r="G70" s="221"/>
      <c r="H70" s="221"/>
      <c r="I70" s="221"/>
      <c r="J70" s="150"/>
      <c r="M70" s="5"/>
      <c r="S70" s="58"/>
      <c r="T70" s="58"/>
      <c r="U70" s="58"/>
      <c r="V70" s="58"/>
    </row>
    <row r="71" spans="1:22" s="127" customFormat="1" x14ac:dyDescent="0.3">
      <c r="A71" s="153" t="s">
        <v>771</v>
      </c>
      <c r="B71" s="153" t="s">
        <v>148</v>
      </c>
      <c r="C71" s="179" t="s">
        <v>169</v>
      </c>
      <c r="D71" s="168" t="s">
        <v>168</v>
      </c>
      <c r="E71" s="180">
        <v>100000</v>
      </c>
      <c r="F71" s="153"/>
      <c r="G71" s="221"/>
      <c r="H71" s="221"/>
      <c r="I71" s="221"/>
      <c r="J71" s="150"/>
      <c r="M71" s="5"/>
      <c r="S71" s="58"/>
      <c r="T71" s="58"/>
      <c r="U71" s="58"/>
      <c r="V71" s="58"/>
    </row>
    <row r="72" spans="1:22" s="127" customFormat="1" x14ac:dyDescent="0.3">
      <c r="A72" s="153" t="s">
        <v>791</v>
      </c>
      <c r="B72" s="153" t="s">
        <v>148</v>
      </c>
      <c r="C72" s="179" t="s">
        <v>169</v>
      </c>
      <c r="D72" s="168" t="s">
        <v>168</v>
      </c>
      <c r="E72" s="180">
        <v>40000</v>
      </c>
      <c r="F72" s="153"/>
      <c r="G72" s="221"/>
      <c r="H72" s="221"/>
      <c r="I72" s="221"/>
      <c r="J72" s="150"/>
      <c r="M72" s="5"/>
      <c r="S72" s="58"/>
      <c r="T72" s="58"/>
      <c r="U72" s="58"/>
      <c r="V72" s="58"/>
    </row>
    <row r="73" spans="1:22" s="127" customFormat="1" x14ac:dyDescent="0.3">
      <c r="A73" s="153" t="s">
        <v>794</v>
      </c>
      <c r="B73" s="153" t="s">
        <v>148</v>
      </c>
      <c r="C73" s="179" t="s">
        <v>169</v>
      </c>
      <c r="D73" s="168" t="s">
        <v>168</v>
      </c>
      <c r="E73" s="180">
        <v>30000</v>
      </c>
      <c r="F73" s="153"/>
      <c r="G73" s="221"/>
      <c r="H73" s="221"/>
      <c r="I73" s="221"/>
      <c r="J73" s="150"/>
      <c r="K73" s="5"/>
      <c r="M73" s="5"/>
      <c r="S73" s="58"/>
      <c r="T73" s="58"/>
      <c r="U73" s="58"/>
      <c r="V73" s="58"/>
    </row>
    <row r="74" spans="1:22" s="127" customFormat="1" x14ac:dyDescent="0.3">
      <c r="A74" s="153" t="s">
        <v>774</v>
      </c>
      <c r="B74" s="153" t="s">
        <v>148</v>
      </c>
      <c r="C74" s="179" t="s">
        <v>169</v>
      </c>
      <c r="D74" s="168" t="s">
        <v>168</v>
      </c>
      <c r="E74" s="180">
        <v>20000</v>
      </c>
      <c r="F74" s="153"/>
      <c r="G74" s="221"/>
      <c r="H74" s="221"/>
      <c r="I74" s="221"/>
      <c r="J74" s="150"/>
      <c r="K74" s="5"/>
      <c r="M74" s="5"/>
      <c r="S74" s="58"/>
      <c r="T74" s="58"/>
      <c r="U74" s="58"/>
      <c r="V74" s="58"/>
    </row>
    <row r="75" spans="1:22" s="127" customFormat="1" x14ac:dyDescent="0.3">
      <c r="A75" s="153" t="s">
        <v>776</v>
      </c>
      <c r="B75" s="153" t="s">
        <v>148</v>
      </c>
      <c r="C75" s="179" t="s">
        <v>169</v>
      </c>
      <c r="D75" s="168" t="s">
        <v>168</v>
      </c>
      <c r="E75" s="180">
        <v>50000</v>
      </c>
      <c r="F75" s="153"/>
      <c r="G75" s="221"/>
      <c r="H75" s="221"/>
      <c r="I75" s="221"/>
      <c r="J75" s="150"/>
      <c r="K75" s="5"/>
      <c r="M75" s="5"/>
      <c r="S75" s="58"/>
      <c r="T75" s="58"/>
      <c r="U75" s="58"/>
      <c r="V75" s="58"/>
    </row>
    <row r="76" spans="1:22" s="127" customFormat="1" x14ac:dyDescent="0.3">
      <c r="A76" s="296"/>
      <c r="B76" s="296"/>
      <c r="C76" s="297"/>
      <c r="D76" s="298">
        <f>SUM(D62:D75)</f>
        <v>0</v>
      </c>
      <c r="E76" s="299">
        <f>SUM(E2:E75)</f>
        <v>2939331</v>
      </c>
      <c r="F76" s="299">
        <f>SUM(F2:F75)</f>
        <v>2900000</v>
      </c>
      <c r="G76" s="300"/>
      <c r="H76" s="300"/>
      <c r="I76" s="300"/>
      <c r="J76" s="301"/>
      <c r="K76" s="5"/>
      <c r="M76" s="5"/>
      <c r="S76" s="58"/>
      <c r="T76" s="58"/>
      <c r="U76" s="58"/>
      <c r="V76" s="58"/>
    </row>
    <row r="77" spans="1:22" s="127" customFormat="1" x14ac:dyDescent="0.3">
      <c r="A77" s="153"/>
      <c r="B77" s="153"/>
      <c r="C77" s="179"/>
      <c r="D77" s="168"/>
      <c r="E77" s="180"/>
      <c r="F77" s="153"/>
      <c r="G77" s="221"/>
      <c r="H77" s="221"/>
      <c r="I77" s="221"/>
      <c r="J77" s="150"/>
      <c r="K77" s="5"/>
      <c r="M77" s="5"/>
      <c r="S77" s="58"/>
      <c r="T77" s="58"/>
      <c r="U77" s="58"/>
      <c r="V77" s="58"/>
    </row>
    <row r="78" spans="1:22" s="127" customFormat="1" x14ac:dyDescent="0.3">
      <c r="A78" s="153"/>
      <c r="B78" s="153"/>
      <c r="C78" s="179"/>
      <c r="D78" s="168"/>
      <c r="E78" s="180"/>
      <c r="F78" s="153"/>
      <c r="G78" s="221"/>
      <c r="H78" s="221"/>
      <c r="I78" s="221"/>
      <c r="J78" s="150"/>
      <c r="K78" s="5"/>
      <c r="M78" s="5"/>
      <c r="S78" s="58"/>
      <c r="T78" s="58"/>
      <c r="U78" s="58"/>
      <c r="V78" s="58"/>
    </row>
    <row r="79" spans="1:22" s="127" customFormat="1" x14ac:dyDescent="0.3">
      <c r="A79" s="153"/>
      <c r="B79" s="153"/>
      <c r="C79" s="179"/>
      <c r="D79" s="168"/>
      <c r="E79" s="180"/>
      <c r="F79" s="153"/>
      <c r="G79" s="221"/>
      <c r="H79" s="221"/>
      <c r="I79" s="221"/>
      <c r="J79" s="150"/>
      <c r="K79" s="5"/>
      <c r="M79" s="5"/>
      <c r="S79" s="58"/>
      <c r="T79" s="58"/>
      <c r="U79" s="58"/>
      <c r="V79" s="58"/>
    </row>
    <row r="80" spans="1:22" s="127" customFormat="1" x14ac:dyDescent="0.3">
      <c r="A80" s="179"/>
      <c r="B80" s="153"/>
      <c r="C80" s="179"/>
      <c r="D80" s="168"/>
      <c r="E80" s="180"/>
      <c r="F80" s="153"/>
      <c r="G80" s="221"/>
      <c r="H80" s="221"/>
      <c r="I80" s="221"/>
      <c r="J80" s="223"/>
      <c r="K80" s="5"/>
      <c r="M80" s="5"/>
      <c r="S80" s="58"/>
      <c r="T80" s="58"/>
      <c r="U80" s="58"/>
      <c r="V80" s="58"/>
    </row>
    <row r="81" spans="1:22" s="127" customFormat="1" x14ac:dyDescent="0.3">
      <c r="A81" s="179">
        <v>43434</v>
      </c>
      <c r="B81" s="153"/>
      <c r="C81" s="179" t="s">
        <v>797</v>
      </c>
      <c r="D81" s="168"/>
      <c r="E81" s="180">
        <v>101459</v>
      </c>
      <c r="F81" s="153"/>
      <c r="G81" s="221" t="s">
        <v>318</v>
      </c>
      <c r="H81" s="221">
        <v>1157</v>
      </c>
      <c r="I81" s="221" t="s">
        <v>207</v>
      </c>
      <c r="J81" s="223"/>
      <c r="K81" s="5"/>
      <c r="M81" s="5"/>
      <c r="S81" s="58"/>
      <c r="T81" s="58"/>
      <c r="U81" s="58"/>
      <c r="V81" s="58"/>
    </row>
    <row r="82" spans="1:22" s="127" customFormat="1" x14ac:dyDescent="0.3">
      <c r="A82" s="179">
        <v>43405</v>
      </c>
      <c r="B82" s="153"/>
      <c r="C82" s="179" t="s">
        <v>256</v>
      </c>
      <c r="D82" s="168"/>
      <c r="E82" s="180">
        <v>3200</v>
      </c>
      <c r="F82" s="153"/>
      <c r="G82" s="221" t="s">
        <v>253</v>
      </c>
      <c r="H82" s="221">
        <v>767726</v>
      </c>
      <c r="I82" s="221" t="s">
        <v>65</v>
      </c>
      <c r="J82" s="223"/>
      <c r="K82" s="5"/>
      <c r="M82" s="5"/>
      <c r="S82" s="58"/>
      <c r="T82" s="58"/>
      <c r="U82" s="58"/>
      <c r="V82" s="58"/>
    </row>
    <row r="83" spans="1:22" s="127" customFormat="1" x14ac:dyDescent="0.3">
      <c r="A83" s="179">
        <v>43405</v>
      </c>
      <c r="B83" s="153"/>
      <c r="C83" s="179" t="s">
        <v>321</v>
      </c>
      <c r="D83" s="168"/>
      <c r="E83" s="180">
        <v>2250</v>
      </c>
      <c r="F83" s="153"/>
      <c r="G83" s="221" t="s">
        <v>322</v>
      </c>
      <c r="H83" s="221">
        <v>576246</v>
      </c>
      <c r="I83" s="221" t="s">
        <v>65</v>
      </c>
      <c r="J83" s="223"/>
      <c r="K83" s="5"/>
      <c r="M83" s="5"/>
      <c r="S83" s="58"/>
      <c r="T83" s="58"/>
      <c r="U83" s="58"/>
      <c r="V83" s="58"/>
    </row>
    <row r="84" spans="1:22" s="127" customFormat="1" x14ac:dyDescent="0.3">
      <c r="A84" s="179">
        <v>43405</v>
      </c>
      <c r="B84" s="153"/>
      <c r="C84" s="179" t="s">
        <v>798</v>
      </c>
      <c r="D84" s="168"/>
      <c r="E84" s="180">
        <v>2200</v>
      </c>
      <c r="F84" s="153"/>
      <c r="G84" s="221" t="s">
        <v>322</v>
      </c>
      <c r="H84" s="221">
        <v>417998</v>
      </c>
      <c r="I84" s="221" t="s">
        <v>65</v>
      </c>
      <c r="J84" s="222"/>
      <c r="K84" s="5"/>
      <c r="M84" s="5"/>
      <c r="S84" s="58"/>
      <c r="T84" s="58"/>
      <c r="U84" s="58"/>
      <c r="V84" s="58"/>
    </row>
    <row r="85" spans="1:22" s="127" customFormat="1" x14ac:dyDescent="0.3">
      <c r="A85" s="179">
        <v>43405</v>
      </c>
      <c r="B85" s="153"/>
      <c r="C85" s="179" t="s">
        <v>799</v>
      </c>
      <c r="D85" s="180"/>
      <c r="E85" s="180">
        <v>42000</v>
      </c>
      <c r="F85" s="153"/>
      <c r="G85" s="221" t="s">
        <v>252</v>
      </c>
      <c r="H85" s="221">
        <v>170657</v>
      </c>
      <c r="I85" s="221" t="s">
        <v>167</v>
      </c>
      <c r="J85" s="222"/>
      <c r="K85" s="5"/>
      <c r="M85" s="5"/>
      <c r="S85" s="58"/>
      <c r="T85" s="58"/>
      <c r="U85" s="58"/>
      <c r="V85" s="58"/>
    </row>
    <row r="86" spans="1:22" s="127" customFormat="1" x14ac:dyDescent="0.3">
      <c r="A86" s="179">
        <v>43406</v>
      </c>
      <c r="B86" s="153"/>
      <c r="C86" s="179" t="s">
        <v>321</v>
      </c>
      <c r="D86" s="180"/>
      <c r="E86" s="180">
        <v>850</v>
      </c>
      <c r="F86" s="153"/>
      <c r="G86" s="221" t="s">
        <v>322</v>
      </c>
      <c r="H86" s="221">
        <v>2422965</v>
      </c>
      <c r="I86" s="221" t="s">
        <v>65</v>
      </c>
      <c r="J86" s="222"/>
      <c r="K86" s="5"/>
      <c r="M86" s="5"/>
      <c r="S86" s="58"/>
      <c r="T86" s="58"/>
      <c r="U86" s="58"/>
      <c r="V86" s="58"/>
    </row>
    <row r="87" spans="1:22" s="127" customFormat="1" x14ac:dyDescent="0.3">
      <c r="A87" s="179">
        <v>43406</v>
      </c>
      <c r="B87" s="153"/>
      <c r="C87" s="179" t="s">
        <v>256</v>
      </c>
      <c r="D87" s="180"/>
      <c r="E87" s="180">
        <v>700</v>
      </c>
      <c r="F87" s="153"/>
      <c r="G87" s="221" t="s">
        <v>253</v>
      </c>
      <c r="H87" s="221">
        <v>276888</v>
      </c>
      <c r="I87" s="221" t="s">
        <v>65</v>
      </c>
      <c r="J87" s="222"/>
      <c r="K87" s="5"/>
      <c r="M87" s="5"/>
      <c r="S87" s="58"/>
      <c r="T87" s="58"/>
      <c r="U87" s="58"/>
      <c r="V87" s="58"/>
    </row>
    <row r="88" spans="1:22" s="127" customFormat="1" x14ac:dyDescent="0.3">
      <c r="A88" s="179">
        <v>43406</v>
      </c>
      <c r="B88" s="153"/>
      <c r="C88" s="179" t="s">
        <v>797</v>
      </c>
      <c r="D88" s="180"/>
      <c r="E88" s="180">
        <v>1470</v>
      </c>
      <c r="F88" s="153"/>
      <c r="G88" s="221" t="s">
        <v>800</v>
      </c>
      <c r="H88" s="221">
        <v>76881</v>
      </c>
      <c r="I88" s="221" t="s">
        <v>207</v>
      </c>
      <c r="J88" s="222"/>
      <c r="K88" s="5"/>
      <c r="M88" s="5"/>
      <c r="S88" s="58"/>
      <c r="T88" s="58"/>
      <c r="U88" s="58"/>
      <c r="V88" s="58"/>
    </row>
    <row r="89" spans="1:22" s="127" customFormat="1" x14ac:dyDescent="0.3">
      <c r="A89" s="179">
        <v>43410</v>
      </c>
      <c r="B89" s="153"/>
      <c r="C89" s="179" t="s">
        <v>801</v>
      </c>
      <c r="D89" s="180"/>
      <c r="E89" s="180">
        <v>3200</v>
      </c>
      <c r="F89" s="153"/>
      <c r="G89" s="221" t="s">
        <v>802</v>
      </c>
      <c r="H89" s="221">
        <v>16256</v>
      </c>
      <c r="I89" s="221" t="s">
        <v>207</v>
      </c>
      <c r="J89" s="222"/>
      <c r="K89" s="5"/>
      <c r="M89" s="5"/>
      <c r="S89" s="58"/>
      <c r="T89" s="58"/>
      <c r="U89" s="58"/>
      <c r="V89" s="58"/>
    </row>
    <row r="90" spans="1:22" s="127" customFormat="1" x14ac:dyDescent="0.3">
      <c r="A90" s="179">
        <v>43410</v>
      </c>
      <c r="B90" s="153"/>
      <c r="C90" s="179" t="s">
        <v>321</v>
      </c>
      <c r="D90" s="180"/>
      <c r="E90" s="180">
        <v>1600</v>
      </c>
      <c r="F90" s="153"/>
      <c r="G90" s="221" t="s">
        <v>322</v>
      </c>
      <c r="H90" s="221">
        <v>576690</v>
      </c>
      <c r="I90" s="221" t="s">
        <v>65</v>
      </c>
      <c r="J90" s="222"/>
      <c r="K90" s="5"/>
      <c r="M90" s="5"/>
      <c r="S90" s="58"/>
      <c r="T90" s="58"/>
      <c r="U90" s="58"/>
      <c r="V90" s="58"/>
    </row>
    <row r="91" spans="1:22" s="127" customFormat="1" x14ac:dyDescent="0.3">
      <c r="A91" s="179">
        <v>43410</v>
      </c>
      <c r="B91" s="153"/>
      <c r="C91" s="179" t="s">
        <v>803</v>
      </c>
      <c r="D91" s="180"/>
      <c r="E91" s="180">
        <v>2000</v>
      </c>
      <c r="F91" s="153"/>
      <c r="G91" s="221" t="s">
        <v>804</v>
      </c>
      <c r="H91" s="221">
        <v>47578</v>
      </c>
      <c r="I91" s="221" t="s">
        <v>207</v>
      </c>
      <c r="J91" s="222"/>
      <c r="K91" s="5"/>
      <c r="M91" s="5"/>
      <c r="S91" s="58"/>
      <c r="T91" s="58"/>
      <c r="U91" s="58"/>
      <c r="V91" s="58"/>
    </row>
    <row r="92" spans="1:22" s="127" customFormat="1" x14ac:dyDescent="0.3">
      <c r="A92" s="179">
        <v>43411</v>
      </c>
      <c r="B92" s="153"/>
      <c r="C92" s="179" t="s">
        <v>805</v>
      </c>
      <c r="D92" s="180"/>
      <c r="E92" s="180">
        <v>1000</v>
      </c>
      <c r="F92" s="153"/>
      <c r="G92" s="221" t="s">
        <v>372</v>
      </c>
      <c r="H92" s="221">
        <v>77071</v>
      </c>
      <c r="I92" s="221" t="s">
        <v>207</v>
      </c>
      <c r="J92" s="222"/>
      <c r="K92" s="5"/>
      <c r="M92" s="5"/>
      <c r="S92" s="58"/>
      <c r="T92" s="58"/>
      <c r="U92" s="58"/>
      <c r="V92" s="58"/>
    </row>
    <row r="93" spans="1:22" s="127" customFormat="1" x14ac:dyDescent="0.3">
      <c r="A93" s="179">
        <v>43412</v>
      </c>
      <c r="B93" s="153"/>
      <c r="C93" s="179" t="s">
        <v>308</v>
      </c>
      <c r="D93" s="180"/>
      <c r="E93" s="180">
        <v>1000</v>
      </c>
      <c r="F93" s="153"/>
      <c r="G93" s="221" t="s">
        <v>252</v>
      </c>
      <c r="H93" s="221">
        <v>187052</v>
      </c>
      <c r="I93" s="221" t="s">
        <v>65</v>
      </c>
      <c r="J93" s="222"/>
      <c r="K93" s="5"/>
      <c r="M93" s="5"/>
      <c r="S93" s="58"/>
      <c r="T93" s="58"/>
      <c r="U93" s="58"/>
      <c r="V93" s="58"/>
    </row>
    <row r="94" spans="1:22" s="127" customFormat="1" x14ac:dyDescent="0.3">
      <c r="A94" s="179">
        <v>43412</v>
      </c>
      <c r="B94" s="153"/>
      <c r="C94" s="179" t="s">
        <v>799</v>
      </c>
      <c r="D94" s="180"/>
      <c r="E94" s="180">
        <v>42000</v>
      </c>
      <c r="F94" s="153"/>
      <c r="G94" s="221" t="s">
        <v>252</v>
      </c>
      <c r="H94" s="221">
        <v>17552</v>
      </c>
      <c r="I94" s="221" t="s">
        <v>167</v>
      </c>
      <c r="J94" s="222"/>
      <c r="K94" s="5"/>
      <c r="M94" s="5"/>
      <c r="S94" s="58"/>
      <c r="T94" s="58"/>
      <c r="U94" s="58"/>
      <c r="V94" s="58"/>
    </row>
    <row r="95" spans="1:22" s="127" customFormat="1" x14ac:dyDescent="0.3">
      <c r="A95" s="179">
        <v>43412</v>
      </c>
      <c r="B95" s="153"/>
      <c r="C95" s="179" t="s">
        <v>256</v>
      </c>
      <c r="D95" s="180"/>
      <c r="E95" s="180">
        <v>2400</v>
      </c>
      <c r="F95" s="153"/>
      <c r="G95" s="221" t="s">
        <v>253</v>
      </c>
      <c r="H95" s="221">
        <v>770436</v>
      </c>
      <c r="I95" s="221" t="s">
        <v>65</v>
      </c>
      <c r="J95" s="222"/>
      <c r="K95" s="5"/>
      <c r="M95" s="5"/>
      <c r="S95" s="58"/>
      <c r="T95" s="58"/>
      <c r="U95" s="58"/>
      <c r="V95" s="58"/>
    </row>
    <row r="96" spans="1:22" s="127" customFormat="1" x14ac:dyDescent="0.3">
      <c r="A96" s="179">
        <v>43413</v>
      </c>
      <c r="B96" s="153"/>
      <c r="C96" s="179" t="s">
        <v>373</v>
      </c>
      <c r="D96" s="180"/>
      <c r="E96" s="180">
        <v>4461</v>
      </c>
      <c r="F96" s="153"/>
      <c r="G96" s="221" t="s">
        <v>317</v>
      </c>
      <c r="H96" s="221">
        <v>5693</v>
      </c>
      <c r="I96" s="221" t="s">
        <v>206</v>
      </c>
      <c r="J96" s="222"/>
      <c r="K96" s="5"/>
      <c r="M96" s="5"/>
      <c r="S96" s="58"/>
      <c r="T96" s="58"/>
      <c r="U96" s="58"/>
      <c r="V96" s="58"/>
    </row>
    <row r="97" spans="1:22" s="127" customFormat="1" x14ac:dyDescent="0.3">
      <c r="A97" s="179">
        <v>43415</v>
      </c>
      <c r="B97" s="153"/>
      <c r="C97" s="179" t="s">
        <v>806</v>
      </c>
      <c r="D97" s="180"/>
      <c r="E97" s="180">
        <v>1300</v>
      </c>
      <c r="F97" s="153"/>
      <c r="G97" s="221" t="s">
        <v>282</v>
      </c>
      <c r="H97" s="221">
        <v>849002</v>
      </c>
      <c r="I97" s="221" t="s">
        <v>65</v>
      </c>
      <c r="J97" s="222"/>
      <c r="K97" s="5"/>
      <c r="M97" s="5"/>
      <c r="S97" s="58"/>
      <c r="T97" s="58"/>
      <c r="U97" s="58"/>
      <c r="V97" s="58"/>
    </row>
    <row r="98" spans="1:22" s="127" customFormat="1" x14ac:dyDescent="0.3">
      <c r="A98" s="179">
        <v>43416</v>
      </c>
      <c r="B98" s="153"/>
      <c r="C98" s="179" t="s">
        <v>807</v>
      </c>
      <c r="D98" s="180"/>
      <c r="E98" s="180">
        <v>2400</v>
      </c>
      <c r="F98" s="153"/>
      <c r="G98" s="221" t="s">
        <v>374</v>
      </c>
      <c r="H98" s="221">
        <v>84312</v>
      </c>
      <c r="I98" s="221" t="s">
        <v>207</v>
      </c>
      <c r="J98" s="222"/>
      <c r="K98" s="5"/>
      <c r="M98" s="5"/>
      <c r="S98" s="58"/>
      <c r="T98" s="58"/>
      <c r="U98" s="58"/>
      <c r="V98" s="58"/>
    </row>
    <row r="99" spans="1:22" s="127" customFormat="1" x14ac:dyDescent="0.3">
      <c r="A99" s="179">
        <v>43416</v>
      </c>
      <c r="B99" s="153"/>
      <c r="C99" s="179" t="s">
        <v>321</v>
      </c>
      <c r="D99" s="180"/>
      <c r="E99" s="180">
        <v>2400</v>
      </c>
      <c r="F99" s="153"/>
      <c r="G99" s="221" t="s">
        <v>322</v>
      </c>
      <c r="H99" s="221">
        <v>577496</v>
      </c>
      <c r="I99" s="221" t="s">
        <v>65</v>
      </c>
      <c r="J99" s="222"/>
      <c r="K99" s="5"/>
      <c r="M99" s="5"/>
      <c r="S99" s="58"/>
      <c r="T99" s="58"/>
      <c r="U99" s="58"/>
      <c r="V99" s="58"/>
    </row>
    <row r="100" spans="1:22" s="127" customFormat="1" x14ac:dyDescent="0.3">
      <c r="A100" s="179">
        <v>43416</v>
      </c>
      <c r="B100" s="153"/>
      <c r="C100" s="179" t="s">
        <v>321</v>
      </c>
      <c r="D100" s="180"/>
      <c r="E100" s="180">
        <v>800</v>
      </c>
      <c r="F100" s="153"/>
      <c r="G100" s="221" t="s">
        <v>322</v>
      </c>
      <c r="H100" s="221">
        <v>579114</v>
      </c>
      <c r="I100" s="221" t="s">
        <v>65</v>
      </c>
      <c r="J100" s="222"/>
      <c r="K100" s="5"/>
      <c r="M100" s="5"/>
      <c r="S100" s="58"/>
      <c r="T100" s="58"/>
      <c r="U100" s="58"/>
      <c r="V100" s="58"/>
    </row>
    <row r="101" spans="1:22" s="127" customFormat="1" x14ac:dyDescent="0.3">
      <c r="A101" s="179">
        <v>43416</v>
      </c>
      <c r="B101" s="153"/>
      <c r="C101" s="179" t="s">
        <v>256</v>
      </c>
      <c r="D101" s="180"/>
      <c r="E101" s="180">
        <v>400</v>
      </c>
      <c r="F101" s="153"/>
      <c r="G101" s="221" t="s">
        <v>253</v>
      </c>
      <c r="H101" s="221">
        <v>279853</v>
      </c>
      <c r="I101" s="221" t="s">
        <v>65</v>
      </c>
      <c r="J101" s="222"/>
      <c r="K101" s="5"/>
      <c r="M101" s="5"/>
      <c r="S101" s="58"/>
      <c r="T101" s="58"/>
      <c r="U101" s="58"/>
      <c r="V101" s="58"/>
    </row>
    <row r="102" spans="1:22" s="127" customFormat="1" x14ac:dyDescent="0.3">
      <c r="A102" s="179">
        <v>43418</v>
      </c>
      <c r="B102" s="153"/>
      <c r="C102" s="179" t="s">
        <v>808</v>
      </c>
      <c r="D102" s="180"/>
      <c r="E102" s="180">
        <v>990</v>
      </c>
      <c r="F102" s="153"/>
      <c r="G102" s="221" t="s">
        <v>317</v>
      </c>
      <c r="H102" s="221">
        <v>4101</v>
      </c>
      <c r="I102" s="221" t="s">
        <v>208</v>
      </c>
      <c r="J102" s="222"/>
      <c r="K102" s="5"/>
      <c r="M102" s="5"/>
      <c r="S102" s="58"/>
      <c r="T102" s="58"/>
      <c r="U102" s="58"/>
      <c r="V102" s="58"/>
    </row>
    <row r="103" spans="1:22" s="127" customFormat="1" x14ac:dyDescent="0.3">
      <c r="A103" s="179">
        <v>43418</v>
      </c>
      <c r="B103" s="153"/>
      <c r="C103" s="179" t="s">
        <v>256</v>
      </c>
      <c r="D103" s="180"/>
      <c r="E103" s="180">
        <v>800</v>
      </c>
      <c r="F103" s="153"/>
      <c r="G103" s="221" t="s">
        <v>809</v>
      </c>
      <c r="H103" s="221">
        <v>508505</v>
      </c>
      <c r="I103" s="221" t="s">
        <v>65</v>
      </c>
      <c r="J103" s="222"/>
      <c r="K103" s="5"/>
      <c r="M103" s="5"/>
      <c r="S103" s="58"/>
      <c r="T103" s="58"/>
      <c r="U103" s="58"/>
      <c r="V103" s="58"/>
    </row>
    <row r="104" spans="1:22" s="127" customFormat="1" x14ac:dyDescent="0.3">
      <c r="A104" s="179">
        <v>43419</v>
      </c>
      <c r="B104" s="153"/>
      <c r="C104" s="179" t="s">
        <v>810</v>
      </c>
      <c r="D104" s="180"/>
      <c r="E104" s="180">
        <v>4036</v>
      </c>
      <c r="F104" s="153"/>
      <c r="G104" s="221" t="s">
        <v>317</v>
      </c>
      <c r="H104" s="221">
        <v>4307</v>
      </c>
      <c r="I104" s="221" t="s">
        <v>207</v>
      </c>
      <c r="J104" s="222"/>
      <c r="K104" s="5"/>
      <c r="M104" s="5"/>
      <c r="S104" s="58"/>
      <c r="T104" s="58"/>
      <c r="U104" s="58"/>
      <c r="V104" s="58"/>
    </row>
    <row r="105" spans="1:22" s="127" customFormat="1" x14ac:dyDescent="0.3">
      <c r="A105" s="179">
        <v>43420</v>
      </c>
      <c r="B105" s="153"/>
      <c r="C105" s="179" t="s">
        <v>799</v>
      </c>
      <c r="D105" s="180"/>
      <c r="E105" s="180">
        <v>42000</v>
      </c>
      <c r="F105" s="153"/>
      <c r="G105" s="221" t="s">
        <v>252</v>
      </c>
      <c r="H105" s="221">
        <v>171064</v>
      </c>
      <c r="I105" s="221" t="s">
        <v>167</v>
      </c>
      <c r="J105" s="222"/>
      <c r="K105" s="5"/>
      <c r="M105" s="5"/>
      <c r="S105" s="58"/>
      <c r="T105" s="58"/>
      <c r="U105" s="58"/>
      <c r="V105" s="58"/>
    </row>
    <row r="106" spans="1:22" s="127" customFormat="1" x14ac:dyDescent="0.3">
      <c r="A106" s="179">
        <v>43420</v>
      </c>
      <c r="B106" s="153"/>
      <c r="C106" s="179" t="s">
        <v>308</v>
      </c>
      <c r="D106" s="180"/>
      <c r="E106" s="180">
        <v>1000</v>
      </c>
      <c r="F106" s="153"/>
      <c r="G106" s="221" t="s">
        <v>252</v>
      </c>
      <c r="H106" s="221">
        <v>191332</v>
      </c>
      <c r="I106" s="221" t="s">
        <v>65</v>
      </c>
      <c r="J106" s="222"/>
      <c r="K106" s="5"/>
      <c r="M106" s="5"/>
      <c r="S106" s="58"/>
      <c r="T106" s="58"/>
      <c r="U106" s="58"/>
      <c r="V106" s="58"/>
    </row>
    <row r="107" spans="1:22" s="127" customFormat="1" x14ac:dyDescent="0.3">
      <c r="A107" s="179">
        <v>43417</v>
      </c>
      <c r="B107" s="153"/>
      <c r="C107" s="179" t="s">
        <v>811</v>
      </c>
      <c r="D107" s="180"/>
      <c r="E107" s="180">
        <v>10000</v>
      </c>
      <c r="F107" s="153"/>
      <c r="G107" s="221" t="s">
        <v>812</v>
      </c>
      <c r="H107" s="221">
        <v>671</v>
      </c>
      <c r="I107" s="221" t="s">
        <v>65</v>
      </c>
      <c r="J107" s="222"/>
      <c r="K107" s="5"/>
      <c r="M107" s="5"/>
      <c r="S107" s="58"/>
      <c r="T107" s="58"/>
      <c r="U107" s="58"/>
      <c r="V107" s="58"/>
    </row>
    <row r="108" spans="1:22" s="127" customFormat="1" x14ac:dyDescent="0.3">
      <c r="A108" s="179">
        <v>43420</v>
      </c>
      <c r="B108" s="153"/>
      <c r="C108" s="179" t="s">
        <v>256</v>
      </c>
      <c r="D108" s="180"/>
      <c r="E108" s="180">
        <v>1800</v>
      </c>
      <c r="F108" s="153"/>
      <c r="G108" s="221" t="s">
        <v>253</v>
      </c>
      <c r="H108" s="221">
        <v>166209</v>
      </c>
      <c r="I108" s="221" t="s">
        <v>65</v>
      </c>
      <c r="J108" s="222"/>
      <c r="K108" s="5"/>
      <c r="M108" s="5"/>
      <c r="S108" s="58"/>
      <c r="T108" s="58"/>
      <c r="U108" s="58"/>
      <c r="V108" s="58"/>
    </row>
    <row r="109" spans="1:22" s="127" customFormat="1" x14ac:dyDescent="0.3">
      <c r="A109" s="179">
        <v>43419</v>
      </c>
      <c r="B109" s="153"/>
      <c r="C109" s="179" t="s">
        <v>813</v>
      </c>
      <c r="D109" s="180"/>
      <c r="E109" s="180">
        <v>550</v>
      </c>
      <c r="F109" s="153"/>
      <c r="G109" s="221" t="s">
        <v>372</v>
      </c>
      <c r="H109" s="221">
        <v>77252</v>
      </c>
      <c r="I109" s="221" t="s">
        <v>208</v>
      </c>
      <c r="J109" s="222"/>
      <c r="K109" s="5"/>
      <c r="M109" s="5"/>
      <c r="S109" s="58"/>
      <c r="T109" s="58"/>
      <c r="U109" s="58"/>
      <c r="V109" s="58"/>
    </row>
    <row r="110" spans="1:22" s="127" customFormat="1" x14ac:dyDescent="0.3">
      <c r="A110" s="179">
        <v>43426</v>
      </c>
      <c r="B110" s="153"/>
      <c r="C110" s="179" t="s">
        <v>308</v>
      </c>
      <c r="D110" s="180"/>
      <c r="E110" s="180">
        <v>1000</v>
      </c>
      <c r="F110" s="153"/>
      <c r="G110" s="221" t="s">
        <v>252</v>
      </c>
      <c r="H110" s="221">
        <v>194658</v>
      </c>
      <c r="I110" s="221" t="s">
        <v>65</v>
      </c>
      <c r="J110" s="222"/>
      <c r="K110" s="5"/>
      <c r="M110" s="5"/>
      <c r="S110" s="58"/>
      <c r="T110" s="58"/>
      <c r="U110" s="58"/>
      <c r="V110" s="58"/>
    </row>
    <row r="111" spans="1:22" s="127" customFormat="1" x14ac:dyDescent="0.3">
      <c r="A111" s="179">
        <v>43426</v>
      </c>
      <c r="B111" s="153"/>
      <c r="C111" s="179" t="s">
        <v>814</v>
      </c>
      <c r="D111" s="180"/>
      <c r="E111" s="180">
        <v>390</v>
      </c>
      <c r="F111" s="153"/>
      <c r="G111" s="221" t="s">
        <v>815</v>
      </c>
      <c r="H111" s="221">
        <v>138789</v>
      </c>
      <c r="I111" s="221" t="s">
        <v>210</v>
      </c>
      <c r="J111" s="222"/>
      <c r="K111" s="5"/>
      <c r="M111" s="5"/>
      <c r="S111" s="58"/>
      <c r="T111" s="58"/>
      <c r="U111" s="58"/>
      <c r="V111" s="58"/>
    </row>
    <row r="112" spans="1:22" s="127" customFormat="1" x14ac:dyDescent="0.3">
      <c r="A112" s="179">
        <v>43426</v>
      </c>
      <c r="B112" s="153"/>
      <c r="C112" s="179" t="s">
        <v>799</v>
      </c>
      <c r="D112" s="180"/>
      <c r="E112" s="180">
        <v>21000</v>
      </c>
      <c r="F112" s="153"/>
      <c r="G112" s="221" t="s">
        <v>252</v>
      </c>
      <c r="H112" s="221">
        <v>170947</v>
      </c>
      <c r="I112" s="221" t="s">
        <v>167</v>
      </c>
      <c r="J112" s="222"/>
      <c r="K112" s="5"/>
      <c r="M112" s="5"/>
      <c r="S112" s="58"/>
      <c r="T112" s="58"/>
      <c r="U112" s="58"/>
      <c r="V112" s="58"/>
    </row>
    <row r="113" spans="1:22" s="127" customFormat="1" x14ac:dyDescent="0.3">
      <c r="A113" s="179">
        <v>43424</v>
      </c>
      <c r="B113" s="153"/>
      <c r="C113" s="179" t="s">
        <v>256</v>
      </c>
      <c r="D113" s="180"/>
      <c r="E113" s="180">
        <v>1000</v>
      </c>
      <c r="F113" s="153"/>
      <c r="G113" s="221" t="s">
        <v>253</v>
      </c>
      <c r="H113" s="221">
        <v>461593</v>
      </c>
      <c r="I113" s="221" t="s">
        <v>65</v>
      </c>
      <c r="J113" s="222"/>
      <c r="K113" s="5"/>
      <c r="M113" s="5"/>
      <c r="S113" s="58"/>
      <c r="T113" s="58"/>
      <c r="U113" s="58"/>
      <c r="V113" s="58"/>
    </row>
    <row r="114" spans="1:22" s="127" customFormat="1" x14ac:dyDescent="0.3">
      <c r="A114" s="179">
        <v>43428</v>
      </c>
      <c r="B114" s="153"/>
      <c r="C114" s="179" t="s">
        <v>816</v>
      </c>
      <c r="D114" s="180"/>
      <c r="E114" s="180">
        <v>3600</v>
      </c>
      <c r="F114" s="153"/>
      <c r="G114" s="221" t="s">
        <v>817</v>
      </c>
      <c r="H114" s="221">
        <v>159381</v>
      </c>
      <c r="I114" s="221" t="s">
        <v>207</v>
      </c>
      <c r="J114" s="222"/>
      <c r="K114" s="5"/>
      <c r="M114" s="5"/>
      <c r="S114" s="58"/>
      <c r="T114" s="58"/>
      <c r="U114" s="58"/>
      <c r="V114" s="58"/>
    </row>
    <row r="115" spans="1:22" s="127" customFormat="1" x14ac:dyDescent="0.3">
      <c r="A115" s="179">
        <v>43430</v>
      </c>
      <c r="B115" s="153"/>
      <c r="C115" s="179" t="s">
        <v>321</v>
      </c>
      <c r="D115" s="180"/>
      <c r="E115" s="180">
        <v>500</v>
      </c>
      <c r="F115" s="153"/>
      <c r="G115" s="221" t="s">
        <v>322</v>
      </c>
      <c r="H115" s="221">
        <v>52230</v>
      </c>
      <c r="I115" s="221" t="s">
        <v>65</v>
      </c>
      <c r="J115" s="222"/>
      <c r="K115" s="5"/>
      <c r="S115" s="58"/>
      <c r="T115" s="58"/>
      <c r="U115" s="58"/>
      <c r="V115" s="58"/>
    </row>
    <row r="116" spans="1:22" s="127" customFormat="1" x14ac:dyDescent="0.3">
      <c r="A116" s="179">
        <v>43430</v>
      </c>
      <c r="B116" s="153"/>
      <c r="C116" s="179" t="s">
        <v>818</v>
      </c>
      <c r="D116" s="180"/>
      <c r="E116" s="180">
        <v>10500</v>
      </c>
      <c r="F116" s="153"/>
      <c r="G116" s="221" t="s">
        <v>819</v>
      </c>
      <c r="H116" s="221">
        <v>5675</v>
      </c>
      <c r="I116" s="221" t="s">
        <v>65</v>
      </c>
      <c r="J116" s="222"/>
      <c r="K116" s="5"/>
      <c r="S116" s="58"/>
      <c r="T116" s="58"/>
      <c r="U116" s="58"/>
      <c r="V116" s="58"/>
    </row>
    <row r="117" spans="1:22" s="127" customFormat="1" x14ac:dyDescent="0.3">
      <c r="A117" s="179">
        <v>43430</v>
      </c>
      <c r="B117" s="153"/>
      <c r="C117" s="179" t="s">
        <v>256</v>
      </c>
      <c r="D117" s="180"/>
      <c r="E117" s="180">
        <v>1000</v>
      </c>
      <c r="F117" s="153"/>
      <c r="G117" s="221" t="s">
        <v>253</v>
      </c>
      <c r="H117" s="221">
        <v>282439</v>
      </c>
      <c r="I117" s="221" t="s">
        <v>65</v>
      </c>
      <c r="J117" s="222"/>
      <c r="S117" s="58"/>
      <c r="T117" s="58"/>
      <c r="U117" s="58"/>
      <c r="V117" s="58"/>
    </row>
    <row r="118" spans="1:22" x14ac:dyDescent="0.3">
      <c r="A118" s="179">
        <v>43431</v>
      </c>
      <c r="B118" s="153"/>
      <c r="C118" s="179" t="s">
        <v>256</v>
      </c>
      <c r="D118" s="180"/>
      <c r="E118" s="180">
        <v>1200</v>
      </c>
      <c r="F118" s="153"/>
      <c r="G118" s="221" t="s">
        <v>253</v>
      </c>
      <c r="H118" s="221">
        <v>174689</v>
      </c>
      <c r="I118" s="221" t="s">
        <v>65</v>
      </c>
      <c r="J118" s="222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79">
        <v>43431</v>
      </c>
      <c r="B119" s="153"/>
      <c r="C119" s="179" t="s">
        <v>256</v>
      </c>
      <c r="D119" s="180"/>
      <c r="E119" s="180">
        <v>500</v>
      </c>
      <c r="F119" s="153"/>
      <c r="G119" s="221" t="s">
        <v>253</v>
      </c>
      <c r="H119" s="221">
        <v>170523</v>
      </c>
      <c r="I119" s="221" t="s">
        <v>65</v>
      </c>
      <c r="J119" s="222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79">
        <v>43432</v>
      </c>
      <c r="B120" s="153"/>
      <c r="C120" s="179" t="s">
        <v>256</v>
      </c>
      <c r="D120" s="180"/>
      <c r="E120" s="180">
        <v>2000</v>
      </c>
      <c r="F120" s="153"/>
      <c r="G120" s="221" t="s">
        <v>253</v>
      </c>
      <c r="H120" s="221">
        <v>176844</v>
      </c>
      <c r="I120" s="221" t="s">
        <v>65</v>
      </c>
      <c r="J120" s="222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79">
        <v>43432</v>
      </c>
      <c r="B121" s="153"/>
      <c r="C121" s="179" t="s">
        <v>308</v>
      </c>
      <c r="D121" s="180"/>
      <c r="E121" s="180">
        <v>1000</v>
      </c>
      <c r="F121" s="153"/>
      <c r="G121" s="221" t="s">
        <v>252</v>
      </c>
      <c r="H121" s="221">
        <v>43432</v>
      </c>
      <c r="I121" s="221" t="s">
        <v>65</v>
      </c>
      <c r="J121" s="222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3">
        <v>43432</v>
      </c>
      <c r="B122" s="153"/>
      <c r="C122" s="179" t="s">
        <v>799</v>
      </c>
      <c r="D122" s="180"/>
      <c r="E122" s="180">
        <v>42000</v>
      </c>
      <c r="F122" s="153"/>
      <c r="G122" s="221" t="s">
        <v>252</v>
      </c>
      <c r="H122" s="221">
        <v>171268</v>
      </c>
      <c r="I122" s="221" t="s">
        <v>167</v>
      </c>
      <c r="J122" s="178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>
        <v>43434</v>
      </c>
      <c r="B123" s="51"/>
      <c r="C123" s="95" t="s">
        <v>820</v>
      </c>
      <c r="D123" s="48"/>
      <c r="E123" s="48">
        <v>8800</v>
      </c>
      <c r="F123" s="51"/>
      <c r="G123" s="221" t="s">
        <v>282</v>
      </c>
      <c r="H123" s="221">
        <v>853763</v>
      </c>
      <c r="I123" s="221" t="s">
        <v>206</v>
      </c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>
        <v>43417</v>
      </c>
      <c r="B124" s="51"/>
      <c r="C124" s="95" t="s">
        <v>821</v>
      </c>
      <c r="D124" s="48"/>
      <c r="E124" s="48">
        <v>2864</v>
      </c>
      <c r="F124" s="51"/>
      <c r="G124" s="221" t="s">
        <v>317</v>
      </c>
      <c r="H124" s="221">
        <v>4011</v>
      </c>
      <c r="I124" s="221" t="s">
        <v>207</v>
      </c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>
        <v>43437</v>
      </c>
      <c r="B125" s="51"/>
      <c r="C125" s="95" t="s">
        <v>822</v>
      </c>
      <c r="D125" s="48"/>
      <c r="E125" s="48">
        <v>50000</v>
      </c>
      <c r="F125" s="51"/>
      <c r="G125" s="221" t="s">
        <v>823</v>
      </c>
      <c r="H125" s="221">
        <v>890</v>
      </c>
      <c r="I125" s="221" t="s">
        <v>65</v>
      </c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>
        <v>43419</v>
      </c>
      <c r="B126" s="51"/>
      <c r="C126" s="95" t="s">
        <v>824</v>
      </c>
      <c r="D126" s="48"/>
      <c r="E126" s="48">
        <v>90000</v>
      </c>
      <c r="F126" s="51"/>
      <c r="G126" s="221" t="s">
        <v>825</v>
      </c>
      <c r="H126" s="221" t="s">
        <v>826</v>
      </c>
      <c r="I126" s="221" t="s">
        <v>85</v>
      </c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5"/>
      <c r="D127" s="48"/>
      <c r="E127" s="48"/>
      <c r="F127" s="51"/>
      <c r="G127" s="221"/>
      <c r="H127" s="221"/>
      <c r="I127" s="221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5"/>
      <c r="D128" s="48"/>
      <c r="E128" s="48"/>
      <c r="F128" s="51"/>
      <c r="G128" s="221"/>
      <c r="H128" s="221"/>
      <c r="I128" s="221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5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5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5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02"/>
      <c r="B132" s="302"/>
      <c r="C132" s="303"/>
      <c r="D132" s="304"/>
      <c r="E132" s="304">
        <f>SUM(E81:E131)</f>
        <v>517620</v>
      </c>
      <c r="F132" s="302"/>
      <c r="G132" s="305"/>
      <c r="H132" s="302"/>
      <c r="I132" s="302"/>
      <c r="J132" s="306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5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99"/>
      <c r="E134" s="99"/>
      <c r="F134" s="25"/>
      <c r="G134" s="100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0</v>
      </c>
      <c r="I136" s="21">
        <f>SUBTOTAL(9,E2:E131)</f>
        <v>6396282</v>
      </c>
      <c r="J136" s="21">
        <f>SUBTOTAL(9,F2:F133)</f>
        <v>5800000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185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136</v>
      </c>
      <c r="E141" s="31" t="s">
        <v>137</v>
      </c>
      <c r="F141" s="31" t="s">
        <v>138</v>
      </c>
      <c r="G141" s="32" t="s">
        <v>101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191</v>
      </c>
      <c r="C142" s="48">
        <f>'BCI '!H161</f>
        <v>6473</v>
      </c>
      <c r="D142" s="51">
        <f>Security!F67</f>
        <v>2066</v>
      </c>
      <c r="E142" s="48"/>
      <c r="F142" s="48">
        <f>C142+D142</f>
        <v>8539</v>
      </c>
      <c r="G142" s="51"/>
      <c r="H142" s="51"/>
      <c r="J142" s="22"/>
      <c r="K142" s="5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3713008</v>
      </c>
      <c r="D143" s="51">
        <f>Security!F68</f>
        <v>0</v>
      </c>
      <c r="E143" s="48"/>
      <c r="F143" s="48">
        <f t="shared" ref="F143:F158" si="2">C143+D143</f>
        <v>3713008</v>
      </c>
      <c r="G143" s="51"/>
      <c r="H143" s="51"/>
      <c r="J143" s="22">
        <v>37816</v>
      </c>
      <c r="K143" s="146" t="s">
        <v>86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118</v>
      </c>
      <c r="C144" s="48">
        <f>'BCI '!H163</f>
        <v>831520</v>
      </c>
      <c r="D144" s="51">
        <f>Security!F69</f>
        <v>0</v>
      </c>
      <c r="E144" s="48"/>
      <c r="F144" s="48">
        <f t="shared" si="2"/>
        <v>831520</v>
      </c>
      <c r="G144" s="51"/>
      <c r="H144" s="51"/>
      <c r="J144" s="22">
        <f>F76</f>
        <v>2900000</v>
      </c>
      <c r="K144" s="50" t="s">
        <v>88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190</v>
      </c>
      <c r="C145" s="48">
        <f>'BCI '!H164</f>
        <v>239514.88799999998</v>
      </c>
      <c r="D145" s="51">
        <f>Security!F70</f>
        <v>0</v>
      </c>
      <c r="E145" s="48"/>
      <c r="F145" s="48">
        <f t="shared" si="2"/>
        <v>239514.88799999998</v>
      </c>
      <c r="G145" s="51"/>
      <c r="H145" s="51"/>
      <c r="J145" s="22">
        <f>J144+J143-J157</f>
        <v>35865</v>
      </c>
      <c r="K145" s="50" t="s">
        <v>87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4124209</v>
      </c>
      <c r="D146" s="51">
        <f>Security!F71</f>
        <v>0</v>
      </c>
      <c r="E146" s="48"/>
      <c r="F146" s="48">
        <f t="shared" si="2"/>
        <v>4124209</v>
      </c>
      <c r="G146" s="51">
        <f t="shared" ref="G146:G151" si="3">F146*0.19</f>
        <v>783599.71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192</v>
      </c>
      <c r="C147" s="48">
        <f>'BCI '!H166</f>
        <v>2500000</v>
      </c>
      <c r="D147" s="51">
        <f>Security!F72</f>
        <v>0</v>
      </c>
      <c r="E147" s="48"/>
      <c r="F147" s="48">
        <f t="shared" si="2"/>
        <v>2500000</v>
      </c>
      <c r="G147" s="51">
        <f t="shared" si="3"/>
        <v>475000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194</v>
      </c>
      <c r="C148" s="48">
        <f>'BCI '!H167</f>
        <v>698644</v>
      </c>
      <c r="D148" s="51">
        <f>Security!F73</f>
        <v>0</v>
      </c>
      <c r="E148" s="48"/>
      <c r="F148" s="48">
        <f t="shared" si="2"/>
        <v>698644</v>
      </c>
      <c r="G148" s="51"/>
      <c r="H148" s="51"/>
      <c r="J148" s="242">
        <f>SUMIF($I$2:$I$133,K148,$E$2:$E$133)</f>
        <v>311645</v>
      </c>
      <c r="K148" s="54" t="s">
        <v>208</v>
      </c>
      <c r="L148" s="170">
        <f>-J148</f>
        <v>-311645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193</v>
      </c>
      <c r="C149" s="48">
        <f>'BCI '!H168</f>
        <v>1866399</v>
      </c>
      <c r="D149" s="51">
        <f>Security!F74</f>
        <v>0</v>
      </c>
      <c r="E149" s="48"/>
      <c r="F149" s="48">
        <f t="shared" si="2"/>
        <v>1866399</v>
      </c>
      <c r="G149" s="51">
        <f t="shared" si="3"/>
        <v>354615.81</v>
      </c>
      <c r="H149" s="51"/>
      <c r="J149" s="242">
        <f t="shared" ref="J149:J156" si="4">SUMIF($I$2:$I$133,K149,$E$2:$E$133)</f>
        <v>142514</v>
      </c>
      <c r="K149" s="54" t="s">
        <v>206</v>
      </c>
      <c r="L149" s="170">
        <f t="shared" ref="L149:L156" si="5">-J149</f>
        <v>-142514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-2485383</v>
      </c>
      <c r="E150" s="48"/>
      <c r="F150" s="48">
        <f t="shared" si="2"/>
        <v>-2485383</v>
      </c>
      <c r="G150" s="51"/>
      <c r="H150" s="51"/>
      <c r="J150" s="242">
        <f t="shared" si="4"/>
        <v>0</v>
      </c>
      <c r="K150" s="54" t="s">
        <v>315</v>
      </c>
      <c r="L150" s="170">
        <f t="shared" si="5"/>
        <v>0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4879000</v>
      </c>
      <c r="E151" s="48"/>
      <c r="F151" s="48">
        <f t="shared" si="2"/>
        <v>4879000</v>
      </c>
      <c r="G151" s="51">
        <f t="shared" si="3"/>
        <v>927010</v>
      </c>
      <c r="H151" s="51"/>
      <c r="J151" s="242">
        <f t="shared" si="4"/>
        <v>200642</v>
      </c>
      <c r="K151" s="54" t="s">
        <v>205</v>
      </c>
      <c r="L151" s="170">
        <f t="shared" si="5"/>
        <v>-200642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4286832</v>
      </c>
      <c r="D152" s="51">
        <f>Security!F77</f>
        <v>906768</v>
      </c>
      <c r="E152" s="48"/>
      <c r="F152" s="48">
        <f t="shared" si="2"/>
        <v>5193600</v>
      </c>
      <c r="G152" s="51"/>
      <c r="H152" s="51"/>
      <c r="J152" s="242">
        <f t="shared" si="4"/>
        <v>1509022</v>
      </c>
      <c r="K152" s="54" t="s">
        <v>207</v>
      </c>
      <c r="L152" s="170">
        <f t="shared" si="5"/>
        <v>-1509022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195</v>
      </c>
      <c r="C153" s="48">
        <f>'BCI '!H172</f>
        <v>2240044</v>
      </c>
      <c r="D153" s="51">
        <f>Security!F78</f>
        <v>0</v>
      </c>
      <c r="E153" s="48"/>
      <c r="F153" s="48">
        <f t="shared" si="2"/>
        <v>2240044</v>
      </c>
      <c r="G153" s="51">
        <f>F153*0.19</f>
        <v>425608.36</v>
      </c>
      <c r="H153" s="51"/>
      <c r="J153" s="242">
        <f t="shared" si="4"/>
        <v>286558</v>
      </c>
      <c r="K153" s="54" t="s">
        <v>65</v>
      </c>
      <c r="L153" s="170">
        <f t="shared" si="5"/>
        <v>-286558</v>
      </c>
      <c r="M153" s="84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7820538</v>
      </c>
      <c r="D154" s="51">
        <f>Security!F79</f>
        <v>1699280</v>
      </c>
      <c r="E154" s="48"/>
      <c r="F154" s="48">
        <f t="shared" si="2"/>
        <v>9519818</v>
      </c>
      <c r="G154" s="51"/>
      <c r="H154" s="51"/>
      <c r="J154" s="242">
        <f t="shared" si="4"/>
        <v>98540</v>
      </c>
      <c r="K154" s="54" t="s">
        <v>210</v>
      </c>
      <c r="L154" s="170">
        <f t="shared" si="5"/>
        <v>-98540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151</v>
      </c>
      <c r="C155" s="48">
        <f>'BCI '!H174</f>
        <v>-3000</v>
      </c>
      <c r="D155" s="51">
        <f>Security!F80</f>
        <v>23591900</v>
      </c>
      <c r="E155" s="48"/>
      <c r="F155" s="48">
        <f t="shared" si="2"/>
        <v>23588900</v>
      </c>
      <c r="G155" s="51"/>
      <c r="H155" s="51"/>
      <c r="J155" s="242">
        <f t="shared" si="4"/>
        <v>90000</v>
      </c>
      <c r="K155" s="54" t="s">
        <v>85</v>
      </c>
      <c r="L155" s="170">
        <f t="shared" si="5"/>
        <v>-90000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152</v>
      </c>
      <c r="C156" s="48">
        <f>'BCI '!H175</f>
        <v>-26940420</v>
      </c>
      <c r="D156" s="51">
        <f>Security!F81</f>
        <v>-58853458.590000004</v>
      </c>
      <c r="E156" s="48"/>
      <c r="F156" s="48">
        <f t="shared" si="2"/>
        <v>-85793878.590000004</v>
      </c>
      <c r="G156" s="51"/>
      <c r="H156" s="51"/>
      <c r="J156" s="242">
        <f t="shared" si="4"/>
        <v>263030</v>
      </c>
      <c r="K156" s="54" t="s">
        <v>167</v>
      </c>
      <c r="L156" s="170">
        <f t="shared" si="5"/>
        <v>-263030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196</v>
      </c>
      <c r="C157" s="48">
        <f>'BCI '!H176</f>
        <v>-205154</v>
      </c>
      <c r="D157" s="51">
        <f>Security!F82</f>
        <v>0</v>
      </c>
      <c r="E157" s="48"/>
      <c r="F157" s="48">
        <f t="shared" si="2"/>
        <v>-205154</v>
      </c>
      <c r="G157" s="51"/>
      <c r="H157" s="51"/>
      <c r="J157" s="74">
        <f>SUM(J148:J156)</f>
        <v>2901951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197</v>
      </c>
      <c r="C158" s="48">
        <f>'BCI '!H177</f>
        <v>-6649</v>
      </c>
      <c r="D158" s="51">
        <f>Security!F83</f>
        <v>0</v>
      </c>
      <c r="E158" s="48"/>
      <c r="F158" s="48">
        <f t="shared" si="2"/>
        <v>-6649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37" t="s">
        <v>25</v>
      </c>
      <c r="C159" s="137">
        <f>SUM(C142:C158)</f>
        <v>1171958.8880000003</v>
      </c>
      <c r="D159" s="138">
        <f>SUM(D142:D158)</f>
        <v>-30259827.590000004</v>
      </c>
      <c r="E159" s="137"/>
      <c r="F159" s="137">
        <f>SUM(F142:F158)</f>
        <v>-29087868.702000007</v>
      </c>
      <c r="G159" s="138">
        <f>SUM(G142:G158)</f>
        <v>2965833.88</v>
      </c>
      <c r="H159" s="138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0"/>
      <c r="G161" s="140"/>
      <c r="H161" s="141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0"/>
      <c r="G162" s="140"/>
      <c r="H162" s="141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37" t="s">
        <v>25</v>
      </c>
      <c r="C163" s="137"/>
      <c r="D163" s="138"/>
      <c r="E163" s="31"/>
      <c r="F163" s="31"/>
      <c r="G163" s="31"/>
      <c r="H163" s="142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disablePrompts="1"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5.8" x14ac:dyDescent="0.5">
      <c r="A1" s="237" t="s">
        <v>189</v>
      </c>
    </row>
    <row r="2" spans="1:1" ht="25.8" x14ac:dyDescent="0.5">
      <c r="A2" s="238" t="s">
        <v>191</v>
      </c>
    </row>
    <row r="3" spans="1:1" ht="25.8" x14ac:dyDescent="0.5">
      <c r="A3" s="238" t="s">
        <v>34</v>
      </c>
    </row>
    <row r="4" spans="1:1" ht="25.8" x14ac:dyDescent="0.5">
      <c r="A4" s="238" t="s">
        <v>118</v>
      </c>
    </row>
    <row r="5" spans="1:1" ht="25.8" x14ac:dyDescent="0.5">
      <c r="A5" s="239" t="s">
        <v>190</v>
      </c>
    </row>
    <row r="6" spans="1:1" ht="25.8" x14ac:dyDescent="0.5">
      <c r="A6" s="239" t="s">
        <v>9</v>
      </c>
    </row>
    <row r="7" spans="1:1" ht="25.8" x14ac:dyDescent="0.5">
      <c r="A7" s="240" t="s">
        <v>192</v>
      </c>
    </row>
    <row r="8" spans="1:1" ht="25.8" x14ac:dyDescent="0.5">
      <c r="A8" s="238" t="s">
        <v>194</v>
      </c>
    </row>
    <row r="9" spans="1:1" ht="25.8" x14ac:dyDescent="0.5">
      <c r="A9" s="238" t="s">
        <v>193</v>
      </c>
    </row>
    <row r="10" spans="1:1" ht="25.8" x14ac:dyDescent="0.5">
      <c r="A10" s="240" t="s">
        <v>27</v>
      </c>
    </row>
    <row r="11" spans="1:1" ht="25.8" x14ac:dyDescent="0.5">
      <c r="A11" s="238" t="s">
        <v>12</v>
      </c>
    </row>
    <row r="12" spans="1:1" ht="25.8" x14ac:dyDescent="0.5">
      <c r="A12" s="238" t="s">
        <v>22</v>
      </c>
    </row>
    <row r="13" spans="1:1" ht="25.8" x14ac:dyDescent="0.5">
      <c r="A13" s="239" t="s">
        <v>195</v>
      </c>
    </row>
    <row r="14" spans="1:1" ht="25.8" x14ac:dyDescent="0.5">
      <c r="A14" s="238" t="s">
        <v>33</v>
      </c>
    </row>
    <row r="15" spans="1:1" ht="25.8" x14ac:dyDescent="0.5">
      <c r="A15" s="239" t="s">
        <v>151</v>
      </c>
    </row>
    <row r="16" spans="1:1" ht="25.8" x14ac:dyDescent="0.5">
      <c r="A16" s="238" t="s">
        <v>152</v>
      </c>
    </row>
    <row r="17" spans="1:1" ht="25.8" x14ac:dyDescent="0.5">
      <c r="A17" s="238" t="s">
        <v>196</v>
      </c>
    </row>
    <row r="18" spans="1:1" ht="25.8" x14ac:dyDescent="0.5">
      <c r="A18" s="238" t="s">
        <v>197</v>
      </c>
    </row>
    <row r="19" spans="1:1" ht="25.8" x14ac:dyDescent="0.5">
      <c r="A19" s="241" t="s">
        <v>222</v>
      </c>
    </row>
    <row r="20" spans="1:1" ht="21.6" customHeight="1" x14ac:dyDescent="0.5">
      <c r="A20" s="241" t="s">
        <v>237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3">
      <c r="B2" t="s">
        <v>234</v>
      </c>
    </row>
    <row r="3" spans="2:7" x14ac:dyDescent="0.3">
      <c r="B3" t="s">
        <v>231</v>
      </c>
      <c r="C3" t="s">
        <v>140</v>
      </c>
      <c r="D3" t="s">
        <v>145</v>
      </c>
      <c r="E3" t="s">
        <v>168</v>
      </c>
      <c r="F3" s="248">
        <v>1817451</v>
      </c>
      <c r="G3" t="s">
        <v>233</v>
      </c>
    </row>
    <row r="4" spans="2:7" x14ac:dyDescent="0.3">
      <c r="B4" s="211">
        <v>42867</v>
      </c>
      <c r="C4" t="s">
        <v>232</v>
      </c>
      <c r="D4">
        <v>18220448</v>
      </c>
      <c r="E4">
        <v>0</v>
      </c>
      <c r="F4" s="248">
        <v>4684019</v>
      </c>
      <c r="G4" t="s">
        <v>235</v>
      </c>
    </row>
    <row r="5" spans="2:7" x14ac:dyDescent="0.3">
      <c r="F5" s="248">
        <f>SUM(F3:F4)</f>
        <v>6501470</v>
      </c>
    </row>
    <row r="6" spans="2:7" x14ac:dyDescent="0.3">
      <c r="E6" t="s">
        <v>99</v>
      </c>
      <c r="F6" s="248">
        <f>+F5/1.19</f>
        <v>5463420.1680672271</v>
      </c>
    </row>
    <row r="7" spans="2:7" x14ac:dyDescent="0.3">
      <c r="E7" t="s">
        <v>100</v>
      </c>
      <c r="F7" s="248">
        <f>+F6*0.19</f>
        <v>1038049.8319327731</v>
      </c>
    </row>
    <row r="8" spans="2:7" x14ac:dyDescent="0.3">
      <c r="F8" s="2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Dic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Ramírez (CMPC Pulp)</cp:lastModifiedBy>
  <cp:lastPrinted>2015-01-05T12:35:43Z</cp:lastPrinted>
  <dcterms:created xsi:type="dcterms:W3CDTF">2014-01-13T12:33:01Z</dcterms:created>
  <dcterms:modified xsi:type="dcterms:W3CDTF">2019-02-06T23:50:36Z</dcterms:modified>
</cp:coreProperties>
</file>