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600" firstSheet="1" activeTab="5"/>
  </bookViews>
  <sheets>
    <sheet name="Ene (2)" sheetId="39" r:id="rId1"/>
    <sheet name="EERR" sheetId="11" r:id="rId2"/>
    <sheet name="Feb" sheetId="16" r:id="rId3"/>
    <sheet name="Siteminder" sheetId="38" state="hidden" r:id="rId4"/>
    <sheet name="Transbank" sheetId="23" r:id="rId5"/>
    <sheet name="BCI " sheetId="15" r:id="rId6"/>
    <sheet name="Security" sheetId="8" r:id="rId7"/>
    <sheet name="BCI FondRendir" sheetId="14" r:id="rId8"/>
    <sheet name="1" sheetId="36" state="hidden" r:id="rId9"/>
    <sheet name="IVA Sergio" sheetId="37" state="hidden" r:id="rId10"/>
  </sheets>
  <externalReferences>
    <externalReference r:id="rId11"/>
  </externalReferences>
  <definedNames>
    <definedName name="_xlnm._FilterDatabase" localSheetId="5" hidden="1">'BCI '!$O$2:$W$29</definedName>
    <definedName name="_xlnm._FilterDatabase" localSheetId="7" hidden="1">'BCI FondRendir'!$A$1:$J$128</definedName>
    <definedName name="_xlnm._FilterDatabase" localSheetId="0" hidden="1">'Ene (2)'!$A$2:$X$91</definedName>
    <definedName name="_xlnm._FilterDatabase" localSheetId="2" hidden="1">Feb!$A$2:$X$96</definedName>
    <definedName name="_xlnm._FilterDatabase" localSheetId="6" hidden="1">Security!$A$1:$G$61</definedName>
    <definedName name="_xlnm._FilterDatabase" localSheetId="4" hidden="1">Transbank!$A$1:$N$422</definedName>
  </definedNames>
  <calcPr calcId="145621"/>
</workbook>
</file>

<file path=xl/calcChain.xml><?xml version="1.0" encoding="utf-8"?>
<calcChain xmlns="http://schemas.openxmlformats.org/spreadsheetml/2006/main">
  <c r="E16" i="11" l="1"/>
  <c r="E5" i="11"/>
  <c r="E4" i="11"/>
  <c r="K97" i="38"/>
  <c r="J43" i="15"/>
  <c r="J44" i="15"/>
  <c r="J45" i="15"/>
  <c r="J46" i="15"/>
  <c r="J47" i="15"/>
  <c r="J48" i="15"/>
  <c r="J49" i="15"/>
  <c r="J50" i="15"/>
  <c r="J51" i="15"/>
  <c r="J5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7" i="15"/>
  <c r="K28" i="15"/>
  <c r="K29" i="15"/>
  <c r="K30" i="15"/>
  <c r="K31" i="15"/>
  <c r="K32" i="15"/>
  <c r="K33" i="15"/>
  <c r="K34" i="15"/>
  <c r="K35" i="15"/>
  <c r="K36" i="15"/>
  <c r="K37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3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3" i="15"/>
  <c r="K54" i="15"/>
  <c r="D5" i="11" l="1"/>
  <c r="S6" i="16" l="1"/>
  <c r="Q76" i="16" l="1"/>
  <c r="R76" i="16"/>
  <c r="Q88" i="16"/>
  <c r="R88" i="16"/>
  <c r="V81" i="16"/>
  <c r="W81" i="16" s="1"/>
  <c r="V82" i="16"/>
  <c r="W82" i="16" s="1"/>
  <c r="V85" i="16"/>
  <c r="W85" i="16" s="1"/>
  <c r="V86" i="16"/>
  <c r="W86" i="16" s="1"/>
  <c r="U65" i="16"/>
  <c r="V65" i="16"/>
  <c r="W65" i="16" s="1"/>
  <c r="U66" i="16"/>
  <c r="V66" i="16"/>
  <c r="W66" i="16" s="1"/>
  <c r="V68" i="16"/>
  <c r="W68" i="16" s="1"/>
  <c r="U69" i="16"/>
  <c r="V69" i="16"/>
  <c r="W69" i="16" s="1"/>
  <c r="U70" i="16"/>
  <c r="U71" i="16"/>
  <c r="U72" i="16"/>
  <c r="U73" i="16"/>
  <c r="U74" i="16"/>
  <c r="U75" i="16"/>
  <c r="U76" i="16"/>
  <c r="V4" i="16"/>
  <c r="W4" i="16" s="1"/>
  <c r="U5" i="16"/>
  <c r="V5" i="16"/>
  <c r="W5" i="16" s="1"/>
  <c r="V8" i="16"/>
  <c r="W8" i="16" s="1"/>
  <c r="V12" i="16"/>
  <c r="W12" i="16" s="1"/>
  <c r="V14" i="16"/>
  <c r="W14" i="16" s="1"/>
  <c r="V18" i="16"/>
  <c r="W18" i="16" s="1"/>
  <c r="U20" i="16"/>
  <c r="V20" i="16"/>
  <c r="W20" i="16" s="1"/>
  <c r="V21" i="16"/>
  <c r="W21" i="16" s="1"/>
  <c r="V22" i="16"/>
  <c r="W22" i="16" s="1"/>
  <c r="V25" i="16"/>
  <c r="W25" i="16" s="1"/>
  <c r="V26" i="16"/>
  <c r="W26" i="16" s="1"/>
  <c r="U27" i="16"/>
  <c r="V30" i="16"/>
  <c r="W30" i="16" s="1"/>
  <c r="V32" i="16"/>
  <c r="W32" i="16" s="1"/>
  <c r="V34" i="16"/>
  <c r="W34" i="16" s="1"/>
  <c r="V38" i="16"/>
  <c r="W38" i="16" s="1"/>
  <c r="V39" i="16"/>
  <c r="W39" i="16" s="1"/>
  <c r="V51" i="16"/>
  <c r="W51" i="16" s="1"/>
  <c r="V52" i="16"/>
  <c r="W52" i="16" s="1"/>
  <c r="Q60" i="16"/>
  <c r="R60" i="16"/>
  <c r="T60" i="16" s="1"/>
  <c r="Q55" i="16"/>
  <c r="R55" i="16"/>
  <c r="Q56" i="16"/>
  <c r="R56" i="16"/>
  <c r="T56" i="16" s="1"/>
  <c r="Q57" i="16"/>
  <c r="R57" i="16"/>
  <c r="Q58" i="16"/>
  <c r="R58" i="16"/>
  <c r="S58" i="16"/>
  <c r="Q59" i="16"/>
  <c r="R59" i="16"/>
  <c r="H63" i="16"/>
  <c r="I63" i="16"/>
  <c r="J63" i="16"/>
  <c r="K63" i="16"/>
  <c r="L63" i="16"/>
  <c r="M63" i="16"/>
  <c r="N63" i="16"/>
  <c r="S59" i="16" l="1"/>
  <c r="S76" i="16"/>
  <c r="T55" i="16"/>
  <c r="S88" i="16"/>
  <c r="S57" i="16"/>
  <c r="S56" i="16"/>
  <c r="T88" i="16"/>
  <c r="T76" i="16"/>
  <c r="T57" i="16"/>
  <c r="S60" i="16"/>
  <c r="T59" i="16"/>
  <c r="T58" i="16"/>
  <c r="S55" i="16"/>
  <c r="K91" i="38"/>
  <c r="L91" i="38"/>
  <c r="K92" i="38"/>
  <c r="L92" i="38"/>
  <c r="M92" i="38" s="1"/>
  <c r="K93" i="38"/>
  <c r="L93" i="38"/>
  <c r="K94" i="38"/>
  <c r="L94" i="38"/>
  <c r="K95" i="38"/>
  <c r="L95" i="38"/>
  <c r="M95" i="38" s="1"/>
  <c r="K96" i="38"/>
  <c r="L96" i="38"/>
  <c r="M96" i="38" s="1"/>
  <c r="M91" i="38" l="1"/>
  <c r="M94" i="38"/>
  <c r="M93" i="38"/>
  <c r="J138" i="14" l="1"/>
  <c r="F150" i="15" l="1"/>
  <c r="F151" i="15"/>
  <c r="F152" i="15"/>
  <c r="F153" i="15"/>
  <c r="F149" i="15"/>
  <c r="J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J62" i="15"/>
  <c r="K62" i="15"/>
  <c r="X112" i="39" l="1"/>
  <c r="X111" i="39"/>
  <c r="X110" i="39"/>
  <c r="G110" i="39"/>
  <c r="X109" i="39"/>
  <c r="X108" i="39"/>
  <c r="I108" i="39"/>
  <c r="T107" i="39"/>
  <c r="X107" i="39" s="1"/>
  <c r="G107" i="39"/>
  <c r="X106" i="39"/>
  <c r="X105" i="39"/>
  <c r="X104" i="39"/>
  <c r="W104" i="39"/>
  <c r="X103" i="39"/>
  <c r="I103" i="39"/>
  <c r="X102" i="39"/>
  <c r="X101" i="39"/>
  <c r="X100" i="39"/>
  <c r="X99" i="39"/>
  <c r="W99" i="39"/>
  <c r="X98" i="39"/>
  <c r="X97" i="39"/>
  <c r="G95" i="39"/>
  <c r="F95" i="39"/>
  <c r="X94" i="39"/>
  <c r="R94" i="39"/>
  <c r="Q94" i="39"/>
  <c r="N94" i="39"/>
  <c r="M94" i="39"/>
  <c r="L94" i="39"/>
  <c r="K94" i="39"/>
  <c r="J94" i="39"/>
  <c r="I94" i="39"/>
  <c r="H94" i="39"/>
  <c r="Z93" i="39"/>
  <c r="Y93" i="39"/>
  <c r="V93" i="39"/>
  <c r="X93" i="39" s="1"/>
  <c r="R93" i="39"/>
  <c r="S93" i="39" s="1"/>
  <c r="X92" i="39"/>
  <c r="S92" i="39"/>
  <c r="N91" i="39"/>
  <c r="M91" i="39"/>
  <c r="L91" i="39"/>
  <c r="K91" i="39"/>
  <c r="J91" i="39"/>
  <c r="I91" i="39"/>
  <c r="H91" i="39"/>
  <c r="AA90" i="39"/>
  <c r="Z90" i="39"/>
  <c r="Y90" i="39"/>
  <c r="V90" i="39"/>
  <c r="U90" i="39"/>
  <c r="R90" i="39"/>
  <c r="T90" i="39" s="1"/>
  <c r="Q90" i="39"/>
  <c r="V89" i="39"/>
  <c r="U89" i="39"/>
  <c r="R89" i="39"/>
  <c r="T89" i="39" s="1"/>
  <c r="Q89" i="39"/>
  <c r="V88" i="39"/>
  <c r="X88" i="39" s="1"/>
  <c r="U88" i="39"/>
  <c r="V87" i="39"/>
  <c r="X87" i="39" s="1"/>
  <c r="U87" i="39"/>
  <c r="V86" i="39"/>
  <c r="X86" i="39" s="1"/>
  <c r="U86" i="39"/>
  <c r="V85" i="39"/>
  <c r="X85" i="39" s="1"/>
  <c r="U85" i="39"/>
  <c r="V84" i="39"/>
  <c r="X84" i="39" s="1"/>
  <c r="U84" i="39"/>
  <c r="Z83" i="39"/>
  <c r="V83" i="39"/>
  <c r="X83" i="39" s="1"/>
  <c r="U83" i="39"/>
  <c r="Z82" i="39"/>
  <c r="Y82" i="39"/>
  <c r="U82" i="39"/>
  <c r="T82" i="39"/>
  <c r="R82" i="39"/>
  <c r="Q82" i="39"/>
  <c r="S82" i="39" s="1"/>
  <c r="Z81" i="39"/>
  <c r="Y81" i="39"/>
  <c r="U81" i="39"/>
  <c r="R81" i="39"/>
  <c r="T81" i="39" s="1"/>
  <c r="Q81" i="39"/>
  <c r="Z80" i="39"/>
  <c r="Y80" i="39"/>
  <c r="U80" i="39"/>
  <c r="T80" i="39"/>
  <c r="R80" i="39"/>
  <c r="Q80" i="39"/>
  <c r="S80" i="39" s="1"/>
  <c r="Z79" i="39"/>
  <c r="Y79" i="39"/>
  <c r="U79" i="39"/>
  <c r="S79" i="39"/>
  <c r="R79" i="39"/>
  <c r="T79" i="39" s="1"/>
  <c r="Q79" i="39"/>
  <c r="Z78" i="39"/>
  <c r="Y78" i="39"/>
  <c r="V78" i="39"/>
  <c r="W78" i="39" s="1"/>
  <c r="U78" i="39"/>
  <c r="R78" i="39"/>
  <c r="Q78" i="39"/>
  <c r="T78" i="39" s="1"/>
  <c r="Z77" i="39"/>
  <c r="Y77" i="39"/>
  <c r="U77" i="39"/>
  <c r="R77" i="39"/>
  <c r="T77" i="39" s="1"/>
  <c r="Q77" i="39"/>
  <c r="Z76" i="39"/>
  <c r="Y76" i="39"/>
  <c r="V76" i="39"/>
  <c r="W76" i="39" s="1"/>
  <c r="U76" i="39"/>
  <c r="T76" i="39"/>
  <c r="R76" i="39"/>
  <c r="Q76" i="39"/>
  <c r="S76" i="39" s="1"/>
  <c r="AA75" i="39"/>
  <c r="Z75" i="39" s="1"/>
  <c r="Y75" i="39"/>
  <c r="U75" i="39"/>
  <c r="R75" i="39"/>
  <c r="R91" i="39" s="1"/>
  <c r="Q75" i="39"/>
  <c r="Q91" i="39" s="1"/>
  <c r="U74" i="39"/>
  <c r="P74" i="39"/>
  <c r="P95" i="39" s="1"/>
  <c r="O74" i="39"/>
  <c r="O95" i="39" s="1"/>
  <c r="N74" i="39"/>
  <c r="M74" i="39"/>
  <c r="L74" i="39"/>
  <c r="K74" i="39"/>
  <c r="J74" i="39"/>
  <c r="I74" i="39"/>
  <c r="H74" i="39"/>
  <c r="AB73" i="39"/>
  <c r="AA73" i="39"/>
  <c r="Z73" i="39"/>
  <c r="Y73" i="39"/>
  <c r="V73" i="39"/>
  <c r="W73" i="39" s="1"/>
  <c r="U73" i="39"/>
  <c r="T73" i="39"/>
  <c r="R73" i="39"/>
  <c r="Q73" i="39"/>
  <c r="S73" i="39" s="1"/>
  <c r="AA72" i="39"/>
  <c r="Z72" i="39" s="1"/>
  <c r="Y72" i="39"/>
  <c r="V72" i="39"/>
  <c r="W72" i="39" s="1"/>
  <c r="U72" i="39"/>
  <c r="R72" i="39"/>
  <c r="Q72" i="39"/>
  <c r="AB72" i="39" s="1"/>
  <c r="AB71" i="39"/>
  <c r="AA71" i="39"/>
  <c r="Z71" i="39"/>
  <c r="Y71" i="39"/>
  <c r="V71" i="39"/>
  <c r="X71" i="39" s="1"/>
  <c r="U71" i="39"/>
  <c r="AA70" i="39"/>
  <c r="Z70" i="39"/>
  <c r="Y70" i="39"/>
  <c r="V70" i="39"/>
  <c r="W70" i="39" s="1"/>
  <c r="U70" i="39"/>
  <c r="R70" i="39"/>
  <c r="Q70" i="39"/>
  <c r="S70" i="39" s="1"/>
  <c r="AA69" i="39"/>
  <c r="Z69" i="39" s="1"/>
  <c r="Y69" i="39"/>
  <c r="U69" i="39"/>
  <c r="R69" i="39"/>
  <c r="Q69" i="39"/>
  <c r="AB69" i="39" s="1"/>
  <c r="AA68" i="39"/>
  <c r="Z68" i="39" s="1"/>
  <c r="Y68" i="39"/>
  <c r="U68" i="39"/>
  <c r="T68" i="39"/>
  <c r="S68" i="39"/>
  <c r="R68" i="39"/>
  <c r="Q68" i="39"/>
  <c r="AA67" i="39"/>
  <c r="Z67" i="39" s="1"/>
  <c r="Y67" i="39"/>
  <c r="U67" i="39"/>
  <c r="T67" i="39"/>
  <c r="S67" i="39"/>
  <c r="R67" i="39"/>
  <c r="Q67" i="39"/>
  <c r="AA66" i="39"/>
  <c r="Z66" i="39"/>
  <c r="Y66" i="39"/>
  <c r="V66" i="39"/>
  <c r="U66" i="39"/>
  <c r="R66" i="39"/>
  <c r="T66" i="39" s="1"/>
  <c r="Q66" i="39"/>
  <c r="S66" i="39" s="1"/>
  <c r="AA65" i="39"/>
  <c r="Z65" i="39"/>
  <c r="Y65" i="39"/>
  <c r="U65" i="39"/>
  <c r="R65" i="39"/>
  <c r="Q65" i="39"/>
  <c r="S65" i="39" s="1"/>
  <c r="AA64" i="39"/>
  <c r="Z64" i="39"/>
  <c r="Y64" i="39"/>
  <c r="U64" i="39"/>
  <c r="T64" i="39"/>
  <c r="R64" i="39"/>
  <c r="Q64" i="39"/>
  <c r="S64" i="39" s="1"/>
  <c r="AA63" i="39"/>
  <c r="Z63" i="39" s="1"/>
  <c r="Y63" i="39"/>
  <c r="U63" i="39"/>
  <c r="S63" i="39"/>
  <c r="R63" i="39"/>
  <c r="T63" i="39" s="1"/>
  <c r="Q63" i="39"/>
  <c r="AA62" i="39"/>
  <c r="Z62" i="39"/>
  <c r="Y62" i="39"/>
  <c r="V62" i="39"/>
  <c r="U62" i="39"/>
  <c r="R62" i="39"/>
  <c r="T62" i="39" s="1"/>
  <c r="Q62" i="39"/>
  <c r="AA61" i="39"/>
  <c r="Z61" i="39"/>
  <c r="Y61" i="39"/>
  <c r="U61" i="39"/>
  <c r="R61" i="39"/>
  <c r="T61" i="39" s="1"/>
  <c r="Q61" i="39"/>
  <c r="AB61" i="39" s="1"/>
  <c r="AA60" i="39"/>
  <c r="Z60" i="39"/>
  <c r="Y60" i="39"/>
  <c r="V60" i="39"/>
  <c r="U60" i="39"/>
  <c r="R60" i="39"/>
  <c r="T60" i="39" s="1"/>
  <c r="Q60" i="39"/>
  <c r="AB60" i="39" s="1"/>
  <c r="AA59" i="39"/>
  <c r="Z59" i="39"/>
  <c r="Y59" i="39"/>
  <c r="V59" i="39"/>
  <c r="U59" i="39"/>
  <c r="R59" i="39"/>
  <c r="R74" i="39" s="1"/>
  <c r="Q59" i="39"/>
  <c r="AB59" i="39" s="1"/>
  <c r="U58" i="39"/>
  <c r="N58" i="39"/>
  <c r="N95" i="39" s="1"/>
  <c r="N96" i="39" s="1"/>
  <c r="M58" i="39"/>
  <c r="M95" i="39" s="1"/>
  <c r="M96" i="39" s="1"/>
  <c r="H102" i="39" s="1"/>
  <c r="I102" i="39" s="1"/>
  <c r="K58" i="39"/>
  <c r="K95" i="39" s="1"/>
  <c r="J58" i="39"/>
  <c r="J95" i="39" s="1"/>
  <c r="J96" i="39" s="1"/>
  <c r="I58" i="39"/>
  <c r="I95" i="39" s="1"/>
  <c r="H58" i="39"/>
  <c r="H95" i="39" s="1"/>
  <c r="H97" i="39" s="1"/>
  <c r="AB57" i="39"/>
  <c r="AA57" i="39"/>
  <c r="Z57" i="39" s="1"/>
  <c r="Y57" i="39"/>
  <c r="V57" i="39"/>
  <c r="W57" i="39" s="1"/>
  <c r="U57" i="39"/>
  <c r="AB56" i="39"/>
  <c r="AA56" i="39"/>
  <c r="Z56" i="39" s="1"/>
  <c r="Y56" i="39"/>
  <c r="U56" i="39"/>
  <c r="T56" i="39"/>
  <c r="S56" i="39"/>
  <c r="R56" i="39"/>
  <c r="Q56" i="39"/>
  <c r="AB55" i="39"/>
  <c r="AA55" i="39"/>
  <c r="Z55" i="39" s="1"/>
  <c r="Y55" i="39"/>
  <c r="U55" i="39"/>
  <c r="T55" i="39"/>
  <c r="R55" i="39"/>
  <c r="Q55" i="39"/>
  <c r="S55" i="39" s="1"/>
  <c r="AB54" i="39"/>
  <c r="AA54" i="39"/>
  <c r="Z54" i="39" s="1"/>
  <c r="Y54" i="39"/>
  <c r="U54" i="39"/>
  <c r="T54" i="39"/>
  <c r="S54" i="39"/>
  <c r="R54" i="39"/>
  <c r="Q54" i="39"/>
  <c r="AB53" i="39"/>
  <c r="AA53" i="39"/>
  <c r="Z53" i="39"/>
  <c r="Y53" i="39"/>
  <c r="U53" i="39"/>
  <c r="T53" i="39"/>
  <c r="R53" i="39"/>
  <c r="Q53" i="39"/>
  <c r="S53" i="39" s="1"/>
  <c r="AB52" i="39"/>
  <c r="AA52" i="39"/>
  <c r="Z52" i="39" s="1"/>
  <c r="Y52" i="39"/>
  <c r="U52" i="39"/>
  <c r="T52" i="39"/>
  <c r="R52" i="39"/>
  <c r="Q52" i="39"/>
  <c r="S52" i="39" s="1"/>
  <c r="AB51" i="39"/>
  <c r="AA51" i="39"/>
  <c r="Z51" i="39"/>
  <c r="Y51" i="39"/>
  <c r="U51" i="39"/>
  <c r="T51" i="39"/>
  <c r="R51" i="39"/>
  <c r="Q51" i="39"/>
  <c r="S51" i="39" s="1"/>
  <c r="AB50" i="39"/>
  <c r="AA50" i="39"/>
  <c r="Z50" i="39" s="1"/>
  <c r="Y50" i="39"/>
  <c r="V50" i="39"/>
  <c r="W50" i="39" s="1"/>
  <c r="U50" i="39"/>
  <c r="T50" i="39"/>
  <c r="R50" i="39"/>
  <c r="Q50" i="39"/>
  <c r="S50" i="39" s="1"/>
  <c r="AB49" i="39"/>
  <c r="AA49" i="39"/>
  <c r="Z49" i="39"/>
  <c r="Y49" i="39"/>
  <c r="U49" i="39"/>
  <c r="T49" i="39"/>
  <c r="R49" i="39"/>
  <c r="Q49" i="39"/>
  <c r="S49" i="39" s="1"/>
  <c r="AA48" i="39"/>
  <c r="Z48" i="39" s="1"/>
  <c r="Y48" i="39"/>
  <c r="U48" i="39"/>
  <c r="R48" i="39"/>
  <c r="Q48" i="39"/>
  <c r="AB48" i="39" s="1"/>
  <c r="AA47" i="39"/>
  <c r="Z47" i="39"/>
  <c r="Y47" i="39"/>
  <c r="U47" i="39"/>
  <c r="R47" i="39"/>
  <c r="Q47" i="39"/>
  <c r="AB47" i="39" s="1"/>
  <c r="AA46" i="39"/>
  <c r="Z46" i="39" s="1"/>
  <c r="Y46" i="39"/>
  <c r="U46" i="39"/>
  <c r="R46" i="39"/>
  <c r="Q46" i="39"/>
  <c r="AB46" i="39" s="1"/>
  <c r="AA45" i="39"/>
  <c r="Z45" i="39"/>
  <c r="Y45" i="39"/>
  <c r="U45" i="39"/>
  <c r="R45" i="39"/>
  <c r="Q45" i="39"/>
  <c r="AB45" i="39" s="1"/>
  <c r="AA44" i="39"/>
  <c r="Z44" i="39"/>
  <c r="Y44" i="39"/>
  <c r="U44" i="39"/>
  <c r="R44" i="39"/>
  <c r="Q44" i="39"/>
  <c r="AB44" i="39" s="1"/>
  <c r="AB43" i="39"/>
  <c r="Z43" i="39"/>
  <c r="Y43" i="39"/>
  <c r="V43" i="39"/>
  <c r="U43" i="39"/>
  <c r="T43" i="39"/>
  <c r="S43" i="39"/>
  <c r="R43" i="39"/>
  <c r="Q43" i="39"/>
  <c r="AB42" i="39"/>
  <c r="AA42" i="39"/>
  <c r="Z42" i="39" s="1"/>
  <c r="Y42" i="39"/>
  <c r="U42" i="39"/>
  <c r="T42" i="39"/>
  <c r="S42" i="39"/>
  <c r="R42" i="39"/>
  <c r="Q42" i="39"/>
  <c r="AB41" i="39"/>
  <c r="AA41" i="39"/>
  <c r="Z41" i="39" s="1"/>
  <c r="Y41" i="39"/>
  <c r="V41" i="39"/>
  <c r="W41" i="39" s="1"/>
  <c r="U41" i="39"/>
  <c r="T41" i="39"/>
  <c r="R41" i="39"/>
  <c r="Q41" i="39"/>
  <c r="S41" i="39" s="1"/>
  <c r="AB40" i="39"/>
  <c r="AA40" i="39"/>
  <c r="Z40" i="39" s="1"/>
  <c r="Y40" i="39"/>
  <c r="U40" i="39"/>
  <c r="T40" i="39"/>
  <c r="S40" i="39"/>
  <c r="R40" i="39"/>
  <c r="Q40" i="39"/>
  <c r="AB39" i="39"/>
  <c r="AA39" i="39"/>
  <c r="Z39" i="39" s="1"/>
  <c r="Y39" i="39"/>
  <c r="U39" i="39"/>
  <c r="T39" i="39"/>
  <c r="R39" i="39"/>
  <c r="Q39" i="39"/>
  <c r="S39" i="39" s="1"/>
  <c r="AB38" i="39"/>
  <c r="AA38" i="39"/>
  <c r="Z38" i="39" s="1"/>
  <c r="Y38" i="39"/>
  <c r="U38" i="39"/>
  <c r="T38" i="39"/>
  <c r="R38" i="39"/>
  <c r="Q38" i="39"/>
  <c r="S38" i="39" s="1"/>
  <c r="AA37" i="39"/>
  <c r="Z37" i="39" s="1"/>
  <c r="Y37" i="39"/>
  <c r="U37" i="39"/>
  <c r="R37" i="39"/>
  <c r="Q37" i="39"/>
  <c r="AB37" i="39" s="1"/>
  <c r="AB36" i="39"/>
  <c r="AA36" i="39"/>
  <c r="Z36" i="39" s="1"/>
  <c r="Y36" i="39"/>
  <c r="U36" i="39"/>
  <c r="T36" i="39"/>
  <c r="R36" i="39"/>
  <c r="Q36" i="39"/>
  <c r="S36" i="39" s="1"/>
  <c r="AA35" i="39"/>
  <c r="Z35" i="39" s="1"/>
  <c r="Y35" i="39"/>
  <c r="V35" i="39"/>
  <c r="W35" i="39" s="1"/>
  <c r="U35" i="39"/>
  <c r="R35" i="39"/>
  <c r="Q35" i="39"/>
  <c r="AB35" i="39" s="1"/>
  <c r="AB34" i="39"/>
  <c r="AA34" i="39"/>
  <c r="Z34" i="39"/>
  <c r="Y34" i="39"/>
  <c r="U34" i="39"/>
  <c r="T34" i="39"/>
  <c r="R34" i="39"/>
  <c r="Q34" i="39"/>
  <c r="S34" i="39" s="1"/>
  <c r="AA33" i="39"/>
  <c r="Z33" i="39" s="1"/>
  <c r="Y33" i="39"/>
  <c r="U33" i="39"/>
  <c r="R33" i="39"/>
  <c r="Q33" i="39"/>
  <c r="AB33" i="39" s="1"/>
  <c r="AA32" i="39"/>
  <c r="Z32" i="39"/>
  <c r="Y32" i="39"/>
  <c r="U32" i="39"/>
  <c r="R32" i="39"/>
  <c r="Q32" i="39"/>
  <c r="AB32" i="39" s="1"/>
  <c r="L32" i="39"/>
  <c r="L58" i="39" s="1"/>
  <c r="L95" i="39" s="1"/>
  <c r="AA31" i="39"/>
  <c r="Z31" i="39"/>
  <c r="Y31" i="39"/>
  <c r="V31" i="39"/>
  <c r="U31" i="39"/>
  <c r="R31" i="39"/>
  <c r="T31" i="39" s="1"/>
  <c r="Q31" i="39"/>
  <c r="AB31" i="39" s="1"/>
  <c r="AA30" i="39"/>
  <c r="Z30" i="39"/>
  <c r="Y30" i="39"/>
  <c r="U30" i="39"/>
  <c r="R30" i="39"/>
  <c r="T30" i="39" s="1"/>
  <c r="Q30" i="39"/>
  <c r="AB30" i="39" s="1"/>
  <c r="AA29" i="39"/>
  <c r="Z29" i="39"/>
  <c r="Y29" i="39"/>
  <c r="U29" i="39"/>
  <c r="R29" i="39"/>
  <c r="T29" i="39" s="1"/>
  <c r="Q29" i="39"/>
  <c r="AB29" i="39" s="1"/>
  <c r="AA28" i="39"/>
  <c r="Z28" i="39"/>
  <c r="Y28" i="39"/>
  <c r="U28" i="39"/>
  <c r="R28" i="39"/>
  <c r="T28" i="39" s="1"/>
  <c r="Q28" i="39"/>
  <c r="AB28" i="39" s="1"/>
  <c r="AA27" i="39"/>
  <c r="Z27" i="39"/>
  <c r="Y27" i="39"/>
  <c r="V27" i="39"/>
  <c r="U27" i="39"/>
  <c r="R27" i="39"/>
  <c r="T27" i="39" s="1"/>
  <c r="Q27" i="39"/>
  <c r="AB27" i="39" s="1"/>
  <c r="AA26" i="39"/>
  <c r="Z26" i="39"/>
  <c r="Y26" i="39"/>
  <c r="U26" i="39"/>
  <c r="R26" i="39"/>
  <c r="T26" i="39" s="1"/>
  <c r="Q26" i="39"/>
  <c r="AB26" i="39" s="1"/>
  <c r="AA25" i="39"/>
  <c r="Z25" i="39"/>
  <c r="Y25" i="39"/>
  <c r="U25" i="39"/>
  <c r="R25" i="39"/>
  <c r="T25" i="39" s="1"/>
  <c r="Q25" i="39"/>
  <c r="AB25" i="39" s="1"/>
  <c r="AA24" i="39"/>
  <c r="Z24" i="39"/>
  <c r="Y24" i="39"/>
  <c r="U24" i="39"/>
  <c r="R24" i="39"/>
  <c r="T24" i="39" s="1"/>
  <c r="Q24" i="39"/>
  <c r="AB24" i="39" s="1"/>
  <c r="AA23" i="39"/>
  <c r="Z23" i="39"/>
  <c r="Y23" i="39"/>
  <c r="U23" i="39"/>
  <c r="R23" i="39"/>
  <c r="T23" i="39" s="1"/>
  <c r="Q23" i="39"/>
  <c r="AB23" i="39" s="1"/>
  <c r="V22" i="39"/>
  <c r="W22" i="39" s="1"/>
  <c r="U22" i="39"/>
  <c r="R22" i="39"/>
  <c r="Q22" i="39"/>
  <c r="T22" i="39" s="1"/>
  <c r="U21" i="39"/>
  <c r="T21" i="39"/>
  <c r="S21" i="39"/>
  <c r="R21" i="39"/>
  <c r="Q21" i="39"/>
  <c r="U20" i="39"/>
  <c r="R20" i="39"/>
  <c r="S20" i="39" s="1"/>
  <c r="Q20" i="39"/>
  <c r="AA19" i="39"/>
  <c r="Z19" i="39" s="1"/>
  <c r="Y19" i="39"/>
  <c r="U19" i="39"/>
  <c r="S19" i="39"/>
  <c r="R19" i="39"/>
  <c r="T19" i="39" s="1"/>
  <c r="Q19" i="39"/>
  <c r="AB19" i="39" s="1"/>
  <c r="AA18" i="39"/>
  <c r="AB18" i="39" s="1"/>
  <c r="Z18" i="39"/>
  <c r="Y18" i="39"/>
  <c r="V18" i="39"/>
  <c r="U18" i="39"/>
  <c r="R18" i="39"/>
  <c r="S18" i="39" s="1"/>
  <c r="Q18" i="39"/>
  <c r="AA17" i="39"/>
  <c r="Z17" i="39"/>
  <c r="Y17" i="39"/>
  <c r="U17" i="39"/>
  <c r="R17" i="39"/>
  <c r="T17" i="39" s="1"/>
  <c r="Q17" i="39"/>
  <c r="AB17" i="39" s="1"/>
  <c r="AA16" i="39"/>
  <c r="Z16" i="39"/>
  <c r="Y16" i="39"/>
  <c r="V16" i="39"/>
  <c r="U16" i="39"/>
  <c r="R16" i="39"/>
  <c r="S16" i="39" s="1"/>
  <c r="Q16" i="39"/>
  <c r="AB16" i="39" s="1"/>
  <c r="AA15" i="39"/>
  <c r="Z15" i="39"/>
  <c r="Y15" i="39"/>
  <c r="U15" i="39"/>
  <c r="R15" i="39"/>
  <c r="T15" i="39" s="1"/>
  <c r="Q15" i="39"/>
  <c r="AB15" i="39" s="1"/>
  <c r="AA14" i="39"/>
  <c r="Z14" i="39"/>
  <c r="Y14" i="39"/>
  <c r="U14" i="39"/>
  <c r="R14" i="39"/>
  <c r="S14" i="39" s="1"/>
  <c r="Q14" i="39"/>
  <c r="AB14" i="39" s="1"/>
  <c r="AA13" i="39"/>
  <c r="Z13" i="39"/>
  <c r="Y13" i="39"/>
  <c r="V13" i="39"/>
  <c r="W13" i="39" s="1"/>
  <c r="U13" i="39"/>
  <c r="R13" i="39"/>
  <c r="T13" i="39" s="1"/>
  <c r="Q13" i="39"/>
  <c r="AB13" i="39" s="1"/>
  <c r="AA12" i="39"/>
  <c r="Z12" i="39"/>
  <c r="Y12" i="39"/>
  <c r="U12" i="39"/>
  <c r="R12" i="39"/>
  <c r="S12" i="39" s="1"/>
  <c r="Q12" i="39"/>
  <c r="AB12" i="39" s="1"/>
  <c r="AA11" i="39"/>
  <c r="Z11" i="39"/>
  <c r="Y11" i="39"/>
  <c r="U11" i="39"/>
  <c r="R11" i="39"/>
  <c r="T11" i="39" s="1"/>
  <c r="Q11" i="39"/>
  <c r="AB11" i="39" s="1"/>
  <c r="AA10" i="39"/>
  <c r="Z10" i="39"/>
  <c r="Y10" i="39"/>
  <c r="U10" i="39"/>
  <c r="R10" i="39"/>
  <c r="S10" i="39" s="1"/>
  <c r="Q10" i="39"/>
  <c r="AB10" i="39" s="1"/>
  <c r="AA9" i="39"/>
  <c r="Z9" i="39"/>
  <c r="Y9" i="39"/>
  <c r="U9" i="39"/>
  <c r="R9" i="39"/>
  <c r="T9" i="39" s="1"/>
  <c r="Q9" i="39"/>
  <c r="AB9" i="39" s="1"/>
  <c r="AA8" i="39"/>
  <c r="Z8" i="39"/>
  <c r="Y8" i="39"/>
  <c r="V8" i="39"/>
  <c r="U8" i="39"/>
  <c r="R8" i="39"/>
  <c r="S8" i="39" s="1"/>
  <c r="Q8" i="39"/>
  <c r="AB8" i="39" s="1"/>
  <c r="AA7" i="39"/>
  <c r="Z7" i="39"/>
  <c r="Y7" i="39"/>
  <c r="U7" i="39"/>
  <c r="R7" i="39"/>
  <c r="T7" i="39" s="1"/>
  <c r="Q7" i="39"/>
  <c r="AB7" i="39" s="1"/>
  <c r="AA6" i="39"/>
  <c r="Z6" i="39"/>
  <c r="Y6" i="39"/>
  <c r="U6" i="39"/>
  <c r="R6" i="39"/>
  <c r="T6" i="39" s="1"/>
  <c r="Q6" i="39"/>
  <c r="S6" i="39" s="1"/>
  <c r="AA5" i="39"/>
  <c r="Z5" i="39"/>
  <c r="Y5" i="39"/>
  <c r="U5" i="39"/>
  <c r="R5" i="39"/>
  <c r="T5" i="39" s="1"/>
  <c r="Q5" i="39"/>
  <c r="AB5" i="39" s="1"/>
  <c r="AA4" i="39"/>
  <c r="Z4" i="39"/>
  <c r="Y4" i="39"/>
  <c r="U4" i="39"/>
  <c r="R4" i="39"/>
  <c r="T4" i="39" s="1"/>
  <c r="Q4" i="39"/>
  <c r="S4" i="39" s="1"/>
  <c r="AA3" i="39"/>
  <c r="Z3" i="39"/>
  <c r="Y3" i="39"/>
  <c r="V3" i="39"/>
  <c r="W3" i="39" s="1"/>
  <c r="U3" i="39"/>
  <c r="R3" i="39"/>
  <c r="T3" i="39" s="1"/>
  <c r="Q3" i="39"/>
  <c r="AB3" i="39" s="1"/>
  <c r="Q68" i="16"/>
  <c r="R68" i="16"/>
  <c r="Q69" i="16"/>
  <c r="R69" i="16"/>
  <c r="Q70" i="16"/>
  <c r="R70" i="16"/>
  <c r="S70" i="16" s="1"/>
  <c r="Q71" i="16"/>
  <c r="R71" i="16"/>
  <c r="S71" i="16" s="1"/>
  <c r="Q72" i="16"/>
  <c r="R72" i="16"/>
  <c r="Q73" i="16"/>
  <c r="R73" i="16"/>
  <c r="Q74" i="16"/>
  <c r="R74" i="16"/>
  <c r="S74" i="16" s="1"/>
  <c r="Q75" i="16"/>
  <c r="R75" i="16"/>
  <c r="S75" i="16" s="1"/>
  <c r="H79" i="16"/>
  <c r="Q32" i="16"/>
  <c r="Q20" i="16"/>
  <c r="R20" i="16"/>
  <c r="Q21" i="16"/>
  <c r="R21" i="16"/>
  <c r="Q22" i="16"/>
  <c r="R22" i="16"/>
  <c r="V3" i="16"/>
  <c r="U62" i="16"/>
  <c r="U63" i="16"/>
  <c r="U64" i="16"/>
  <c r="U77" i="16"/>
  <c r="U78" i="16"/>
  <c r="U79" i="16"/>
  <c r="U88" i="16"/>
  <c r="U89" i="16"/>
  <c r="U90" i="16"/>
  <c r="U91" i="16"/>
  <c r="U92" i="16"/>
  <c r="U93" i="16"/>
  <c r="U94" i="16"/>
  <c r="U95" i="16"/>
  <c r="L5" i="38"/>
  <c r="K5" i="38"/>
  <c r="U4" i="16" s="1"/>
  <c r="L6" i="38"/>
  <c r="X89" i="39" l="1"/>
  <c r="X43" i="39"/>
  <c r="X90" i="39"/>
  <c r="X60" i="39"/>
  <c r="S72" i="16"/>
  <c r="S68" i="16"/>
  <c r="S73" i="16"/>
  <c r="S69" i="16"/>
  <c r="M5" i="38"/>
  <c r="W43" i="39"/>
  <c r="X57" i="39"/>
  <c r="X76" i="39"/>
  <c r="W71" i="39"/>
  <c r="X41" i="39"/>
  <c r="W93" i="39"/>
  <c r="X78" i="39"/>
  <c r="X50" i="39"/>
  <c r="X73" i="39"/>
  <c r="D112" i="39"/>
  <c r="I99" i="39"/>
  <c r="I96" i="39"/>
  <c r="S74" i="39"/>
  <c r="X31" i="39"/>
  <c r="H111" i="39"/>
  <c r="K96" i="39"/>
  <c r="S91" i="39"/>
  <c r="X27" i="39"/>
  <c r="L96" i="39"/>
  <c r="H108" i="39"/>
  <c r="X62" i="39"/>
  <c r="X66" i="39"/>
  <c r="X3" i="39"/>
  <c r="AB4" i="39"/>
  <c r="AB6" i="39"/>
  <c r="T8" i="39"/>
  <c r="T10" i="39"/>
  <c r="T12" i="39"/>
  <c r="X13" i="39"/>
  <c r="T14" i="39"/>
  <c r="T16" i="39"/>
  <c r="X16" i="39" s="1"/>
  <c r="T18" i="39"/>
  <c r="X18" i="39" s="1"/>
  <c r="T20" i="39"/>
  <c r="S24" i="39"/>
  <c r="S26" i="39"/>
  <c r="W27" i="39"/>
  <c r="S28" i="39"/>
  <c r="S30" i="39"/>
  <c r="W31" i="39"/>
  <c r="S44" i="39"/>
  <c r="S46" i="39"/>
  <c r="S48" i="39"/>
  <c r="T65" i="39"/>
  <c r="T70" i="39"/>
  <c r="X70" i="39" s="1"/>
  <c r="AB70" i="39"/>
  <c r="S32" i="39"/>
  <c r="T44" i="39"/>
  <c r="T46" i="39"/>
  <c r="T48" i="39"/>
  <c r="Q58" i="39"/>
  <c r="S77" i="39"/>
  <c r="S81" i="39"/>
  <c r="T32" i="39"/>
  <c r="R58" i="39"/>
  <c r="R95" i="39" s="1"/>
  <c r="S59" i="39"/>
  <c r="W60" i="39"/>
  <c r="S61" i="39"/>
  <c r="W62" i="39"/>
  <c r="Q74" i="39"/>
  <c r="W84" i="39"/>
  <c r="W86" i="39"/>
  <c r="W88" i="39"/>
  <c r="W89" i="39"/>
  <c r="W90" i="39"/>
  <c r="S3" i="39"/>
  <c r="S5" i="39"/>
  <c r="S7" i="39"/>
  <c r="W8" i="39"/>
  <c r="S9" i="39"/>
  <c r="S11" i="39"/>
  <c r="S13" i="39"/>
  <c r="S15" i="39"/>
  <c r="W16" i="39"/>
  <c r="S17" i="39"/>
  <c r="W18" i="39"/>
  <c r="T59" i="39"/>
  <c r="S69" i="39"/>
  <c r="S72" i="39"/>
  <c r="S75" i="39"/>
  <c r="S78" i="39"/>
  <c r="S23" i="39"/>
  <c r="S25" i="39"/>
  <c r="S27" i="39"/>
  <c r="S29" i="39"/>
  <c r="S31" i="39"/>
  <c r="S45" i="39"/>
  <c r="S47" i="39"/>
  <c r="T69" i="39"/>
  <c r="T72" i="39"/>
  <c r="X72" i="39" s="1"/>
  <c r="T75" i="39"/>
  <c r="AB75" i="39"/>
  <c r="S22" i="39"/>
  <c r="S33" i="39"/>
  <c r="S35" i="39"/>
  <c r="S37" i="39"/>
  <c r="T45" i="39"/>
  <c r="T47" i="39"/>
  <c r="W83" i="39"/>
  <c r="T33" i="39"/>
  <c r="T35" i="39"/>
  <c r="X35" i="39" s="1"/>
  <c r="T37" i="39"/>
  <c r="W59" i="39"/>
  <c r="S60" i="39"/>
  <c r="S62" i="39"/>
  <c r="W66" i="39"/>
  <c r="W85" i="39"/>
  <c r="W87" i="39"/>
  <c r="S89" i="39"/>
  <c r="S90" i="39"/>
  <c r="T75" i="16"/>
  <c r="T73" i="16"/>
  <c r="T71" i="16"/>
  <c r="T69" i="16"/>
  <c r="T74" i="16"/>
  <c r="T72" i="16"/>
  <c r="T70" i="16"/>
  <c r="T68" i="16"/>
  <c r="T21" i="16"/>
  <c r="T20" i="16"/>
  <c r="S22" i="16"/>
  <c r="S20" i="16"/>
  <c r="S21" i="16"/>
  <c r="T22" i="16"/>
  <c r="T74" i="39" l="1"/>
  <c r="T58" i="39"/>
  <c r="X8" i="39"/>
  <c r="H101" i="39"/>
  <c r="S58" i="39"/>
  <c r="S95" i="39" s="1"/>
  <c r="S96" i="39" s="1"/>
  <c r="Q95" i="39"/>
  <c r="R96" i="39"/>
  <c r="R100" i="39"/>
  <c r="T91" i="39"/>
  <c r="H104" i="39"/>
  <c r="I109" i="39" s="1"/>
  <c r="I111" i="39" s="1"/>
  <c r="X59" i="39"/>
  <c r="F52" i="11"/>
  <c r="H105" i="39" l="1"/>
  <c r="I101" i="39"/>
  <c r="I105" i="39" s="1"/>
  <c r="T95" i="39"/>
  <c r="T96" i="39" s="1"/>
  <c r="X96" i="39" s="1"/>
  <c r="Q96" i="39"/>
  <c r="Q100" i="39"/>
  <c r="Q81" i="16"/>
  <c r="R81" i="16"/>
  <c r="Y81" i="16"/>
  <c r="Z81" i="16"/>
  <c r="Q82" i="16"/>
  <c r="R82" i="16"/>
  <c r="Y82" i="16"/>
  <c r="Z82" i="16"/>
  <c r="Q83" i="16"/>
  <c r="R83" i="16"/>
  <c r="Y83" i="16"/>
  <c r="Z83" i="16"/>
  <c r="Q84" i="16"/>
  <c r="R84" i="16"/>
  <c r="Y84" i="16"/>
  <c r="Z84" i="16"/>
  <c r="Q85" i="16"/>
  <c r="R85" i="16"/>
  <c r="Y85" i="16"/>
  <c r="Z85" i="16"/>
  <c r="Q86" i="16"/>
  <c r="R86" i="16"/>
  <c r="Y86" i="16"/>
  <c r="Z86" i="16"/>
  <c r="Q87" i="16"/>
  <c r="R87" i="16"/>
  <c r="Y87" i="16"/>
  <c r="Z87" i="16"/>
  <c r="Q97" i="39" l="1"/>
  <c r="U96" i="39"/>
  <c r="T83" i="16"/>
  <c r="T86" i="16"/>
  <c r="T82" i="16"/>
  <c r="S84" i="16"/>
  <c r="S81" i="16"/>
  <c r="S87" i="16"/>
  <c r="S83" i="16"/>
  <c r="S85" i="16"/>
  <c r="T85" i="16"/>
  <c r="S86" i="16"/>
  <c r="S82" i="16"/>
  <c r="T84" i="16"/>
  <c r="T87" i="16"/>
  <c r="T81" i="16"/>
  <c r="Q98" i="39" l="1"/>
  <c r="R98" i="39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K8" i="38"/>
  <c r="K9" i="38"/>
  <c r="K10" i="38"/>
  <c r="K11" i="38"/>
  <c r="K12" i="38"/>
  <c r="U7" i="16" s="1"/>
  <c r="K13" i="38"/>
  <c r="K14" i="38"/>
  <c r="K15" i="38"/>
  <c r="K16" i="38"/>
  <c r="U9" i="16" s="1"/>
  <c r="K17" i="38"/>
  <c r="K18" i="38"/>
  <c r="U10" i="16" s="1"/>
  <c r="K19" i="38"/>
  <c r="U11" i="16" s="1"/>
  <c r="K20" i="38"/>
  <c r="K21" i="38"/>
  <c r="K22" i="38"/>
  <c r="U15" i="16" s="1"/>
  <c r="K23" i="38"/>
  <c r="U14" i="16" s="1"/>
  <c r="K24" i="38"/>
  <c r="U13" i="16" s="1"/>
  <c r="K25" i="38"/>
  <c r="U19" i="16" s="1"/>
  <c r="K26" i="38"/>
  <c r="U18" i="16" s="1"/>
  <c r="K27" i="38"/>
  <c r="U17" i="16" s="1"/>
  <c r="K28" i="38"/>
  <c r="K29" i="38"/>
  <c r="K30" i="38"/>
  <c r="U21" i="16" s="1"/>
  <c r="K31" i="38"/>
  <c r="K32" i="38"/>
  <c r="K33" i="38"/>
  <c r="K34" i="38"/>
  <c r="K35" i="38"/>
  <c r="U24" i="16" s="1"/>
  <c r="K36" i="38"/>
  <c r="U23" i="16" s="1"/>
  <c r="K37" i="38"/>
  <c r="K38" i="38"/>
  <c r="K39" i="38"/>
  <c r="K40" i="38"/>
  <c r="U25" i="16" s="1"/>
  <c r="K41" i="38"/>
  <c r="K42" i="38"/>
  <c r="K43" i="38"/>
  <c r="K44" i="38"/>
  <c r="U29" i="16" s="1"/>
  <c r="K45" i="38"/>
  <c r="K46" i="38"/>
  <c r="U26" i="16" s="1"/>
  <c r="K47" i="38"/>
  <c r="U33" i="16" s="1"/>
  <c r="K48" i="38"/>
  <c r="K49" i="38"/>
  <c r="U31" i="16" s="1"/>
  <c r="K50" i="38"/>
  <c r="U32" i="16" s="1"/>
  <c r="K51" i="38"/>
  <c r="K52" i="38"/>
  <c r="K53" i="38"/>
  <c r="K54" i="38"/>
  <c r="K55" i="38"/>
  <c r="U36" i="16" s="1"/>
  <c r="K56" i="38"/>
  <c r="U35" i="16" s="1"/>
  <c r="K57" i="38"/>
  <c r="K58" i="38"/>
  <c r="K59" i="38"/>
  <c r="U39" i="16" s="1"/>
  <c r="K60" i="38"/>
  <c r="U38" i="16" s="1"/>
  <c r="K61" i="38"/>
  <c r="U41" i="16" s="1"/>
  <c r="K62" i="38"/>
  <c r="K63" i="38"/>
  <c r="U42" i="16" s="1"/>
  <c r="K64" i="38"/>
  <c r="U44" i="16" s="1"/>
  <c r="K65" i="38"/>
  <c r="U43" i="16" s="1"/>
  <c r="K66" i="38"/>
  <c r="K67" i="38"/>
  <c r="U46" i="16" s="1"/>
  <c r="K68" i="38"/>
  <c r="U47" i="16" s="1"/>
  <c r="K69" i="38"/>
  <c r="K70" i="38"/>
  <c r="K71" i="38"/>
  <c r="K72" i="38"/>
  <c r="U50" i="16" s="1"/>
  <c r="K73" i="38"/>
  <c r="U51" i="16" s="1"/>
  <c r="K74" i="38"/>
  <c r="U49" i="16" s="1"/>
  <c r="K75" i="38"/>
  <c r="K76" i="38"/>
  <c r="U87" i="16" s="1"/>
  <c r="K77" i="38"/>
  <c r="K78" i="38"/>
  <c r="U54" i="16" s="1"/>
  <c r="K79" i="38"/>
  <c r="K80" i="38"/>
  <c r="U53" i="16" s="1"/>
  <c r="K81" i="38"/>
  <c r="K82" i="38"/>
  <c r="U55" i="16" s="1"/>
  <c r="K83" i="38"/>
  <c r="K84" i="38"/>
  <c r="K85" i="38"/>
  <c r="K86" i="38"/>
  <c r="U57" i="16" s="1"/>
  <c r="K87" i="38"/>
  <c r="K88" i="38"/>
  <c r="U59" i="16" s="1"/>
  <c r="K89" i="38"/>
  <c r="U60" i="16" s="1"/>
  <c r="K90" i="38"/>
  <c r="U58" i="16" s="1"/>
  <c r="K6" i="38"/>
  <c r="K7" i="38"/>
  <c r="U81" i="16" l="1"/>
  <c r="U67" i="16"/>
  <c r="U84" i="16"/>
  <c r="U48" i="16"/>
  <c r="U82" i="16"/>
  <c r="U40" i="16"/>
  <c r="U56" i="16"/>
  <c r="U52" i="16"/>
  <c r="U34" i="16"/>
  <c r="U28" i="16"/>
  <c r="U83" i="16"/>
  <c r="U80" i="16"/>
  <c r="U86" i="16"/>
  <c r="U16" i="16"/>
  <c r="U12" i="16"/>
  <c r="U85" i="16"/>
  <c r="U30" i="16"/>
  <c r="U68" i="16"/>
  <c r="U6" i="16"/>
  <c r="U37" i="16"/>
  <c r="M6" i="38"/>
  <c r="U3" i="16"/>
  <c r="M83" i="38"/>
  <c r="U22" i="16"/>
  <c r="M90" i="38"/>
  <c r="M82" i="38"/>
  <c r="M74" i="38"/>
  <c r="U8" i="16"/>
  <c r="M89" i="38"/>
  <c r="M81" i="38"/>
  <c r="M73" i="38"/>
  <c r="M65" i="38"/>
  <c r="M57" i="38"/>
  <c r="M49" i="38"/>
  <c r="M87" i="38"/>
  <c r="M79" i="38"/>
  <c r="M86" i="38"/>
  <c r="U45" i="16"/>
  <c r="M85" i="38"/>
  <c r="M77" i="38"/>
  <c r="M69" i="38"/>
  <c r="M61" i="38"/>
  <c r="M84" i="38"/>
  <c r="M76" i="38"/>
  <c r="M68" i="38"/>
  <c r="M60" i="38"/>
  <c r="M52" i="38"/>
  <c r="M44" i="38"/>
  <c r="M36" i="38"/>
  <c r="M28" i="38"/>
  <c r="M20" i="38"/>
  <c r="M12" i="38"/>
  <c r="M75" i="38"/>
  <c r="M67" i="38"/>
  <c r="M59" i="38"/>
  <c r="M51" i="38"/>
  <c r="M43" i="38"/>
  <c r="M35" i="38"/>
  <c r="M27" i="38"/>
  <c r="M19" i="38"/>
  <c r="M11" i="38"/>
  <c r="M66" i="38"/>
  <c r="M58" i="38"/>
  <c r="M50" i="38"/>
  <c r="M42" i="38"/>
  <c r="M34" i="38"/>
  <c r="M26" i="38"/>
  <c r="M18" i="38"/>
  <c r="M10" i="38"/>
  <c r="M41" i="38"/>
  <c r="M33" i="38"/>
  <c r="M25" i="38"/>
  <c r="M17" i="38"/>
  <c r="M9" i="38"/>
  <c r="M88" i="38"/>
  <c r="M80" i="38"/>
  <c r="M72" i="38"/>
  <c r="M64" i="38"/>
  <c r="M56" i="38"/>
  <c r="M48" i="38"/>
  <c r="M40" i="38"/>
  <c r="M32" i="38"/>
  <c r="M24" i="38"/>
  <c r="M16" i="38"/>
  <c r="M8" i="38"/>
  <c r="M71" i="38"/>
  <c r="M63" i="38"/>
  <c r="M55" i="38"/>
  <c r="M47" i="38"/>
  <c r="M39" i="38"/>
  <c r="M31" i="38"/>
  <c r="M23" i="38"/>
  <c r="M15" i="38"/>
  <c r="M7" i="38"/>
  <c r="M78" i="38"/>
  <c r="M70" i="38"/>
  <c r="M62" i="38"/>
  <c r="M54" i="38"/>
  <c r="M46" i="38"/>
  <c r="M38" i="38"/>
  <c r="M30" i="38"/>
  <c r="M22" i="38"/>
  <c r="M14" i="38"/>
  <c r="M53" i="38"/>
  <c r="M45" i="38"/>
  <c r="M37" i="38"/>
  <c r="M29" i="38"/>
  <c r="M21" i="38"/>
  <c r="M13" i="38"/>
  <c r="L3" i="23"/>
  <c r="L4" i="23"/>
  <c r="L5" i="23"/>
  <c r="L6" i="23"/>
  <c r="V81" i="39" s="1"/>
  <c r="L7" i="23"/>
  <c r="V49" i="39" s="1"/>
  <c r="L8" i="23"/>
  <c r="L9" i="23"/>
  <c r="L10" i="23"/>
  <c r="V82" i="39" s="1"/>
  <c r="L11" i="23"/>
  <c r="L12" i="23"/>
  <c r="L13" i="23"/>
  <c r="L14" i="23"/>
  <c r="V56" i="16" s="1"/>
  <c r="L15" i="23"/>
  <c r="V7" i="39" s="1"/>
  <c r="L16" i="23"/>
  <c r="L17" i="23"/>
  <c r="V9" i="39" s="1"/>
  <c r="L18" i="23"/>
  <c r="L19" i="23"/>
  <c r="V11" i="39" s="1"/>
  <c r="L20" i="23"/>
  <c r="L21" i="23"/>
  <c r="L22" i="23"/>
  <c r="V19" i="39" s="1"/>
  <c r="L23" i="23"/>
  <c r="L24" i="23"/>
  <c r="L25" i="23"/>
  <c r="V10" i="16" s="1"/>
  <c r="W10" i="16" s="1"/>
  <c r="L26" i="23"/>
  <c r="L27" i="23"/>
  <c r="L28" i="23"/>
  <c r="L29" i="23"/>
  <c r="L30" i="23"/>
  <c r="L31" i="23"/>
  <c r="V35" i="16" s="1"/>
  <c r="W35" i="16" s="1"/>
  <c r="L32" i="23"/>
  <c r="L33" i="23"/>
  <c r="V68" i="39" s="1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V24" i="39" s="1"/>
  <c r="L50" i="23"/>
  <c r="V25" i="39" s="1"/>
  <c r="L51" i="23"/>
  <c r="L52" i="23"/>
  <c r="V27" i="16" s="1"/>
  <c r="W27" i="16" s="1"/>
  <c r="L53" i="23"/>
  <c r="V33" i="16" s="1"/>
  <c r="W33" i="16" s="1"/>
  <c r="L54" i="23"/>
  <c r="V31" i="16" s="1"/>
  <c r="W31" i="16" s="1"/>
  <c r="L55" i="23"/>
  <c r="V28" i="16" s="1"/>
  <c r="W28" i="16" s="1"/>
  <c r="L56" i="23"/>
  <c r="L57" i="23"/>
  <c r="L58" i="23"/>
  <c r="L59" i="23"/>
  <c r="L60" i="23"/>
  <c r="L61" i="23"/>
  <c r="L62" i="23"/>
  <c r="L63" i="23"/>
  <c r="V29" i="39" s="1"/>
  <c r="L64" i="23"/>
  <c r="L65" i="23"/>
  <c r="V30" i="39" s="1"/>
  <c r="L66" i="23"/>
  <c r="V63" i="39" s="1"/>
  <c r="L67" i="23"/>
  <c r="L68" i="23"/>
  <c r="L69" i="23"/>
  <c r="L70" i="23"/>
  <c r="L71" i="23"/>
  <c r="V42" i="16" s="1"/>
  <c r="W42" i="16" s="1"/>
  <c r="L72" i="23"/>
  <c r="L73" i="23"/>
  <c r="V33" i="39" s="1"/>
  <c r="L74" i="23"/>
  <c r="L75" i="23"/>
  <c r="L76" i="23"/>
  <c r="L77" i="23"/>
  <c r="V46" i="39" s="1"/>
  <c r="L78" i="23"/>
  <c r="V41" i="16" s="1"/>
  <c r="W41" i="16" s="1"/>
  <c r="L79" i="23"/>
  <c r="L80" i="23"/>
  <c r="L81" i="23"/>
  <c r="L82" i="23"/>
  <c r="L83" i="23"/>
  <c r="L84" i="23"/>
  <c r="L85" i="23"/>
  <c r="L86" i="23"/>
  <c r="V36" i="39" s="1"/>
  <c r="L87" i="23"/>
  <c r="V37" i="39" s="1"/>
  <c r="L88" i="23"/>
  <c r="V38" i="39" s="1"/>
  <c r="L89" i="23"/>
  <c r="L90" i="23"/>
  <c r="V67" i="39" s="1"/>
  <c r="L91" i="23"/>
  <c r="V40" i="39" s="1"/>
  <c r="L92" i="23"/>
  <c r="V79" i="39" s="1"/>
  <c r="L93" i="23"/>
  <c r="L94" i="23"/>
  <c r="L95" i="23"/>
  <c r="V48" i="16" s="1"/>
  <c r="W48" i="16" s="1"/>
  <c r="L96" i="23"/>
  <c r="V47" i="16" s="1"/>
  <c r="W47" i="16" s="1"/>
  <c r="L97" i="23"/>
  <c r="L98" i="23"/>
  <c r="L99" i="23"/>
  <c r="V71" i="16" s="1"/>
  <c r="W71" i="16" s="1"/>
  <c r="L100" i="23"/>
  <c r="L101" i="23"/>
  <c r="V50" i="16" s="1"/>
  <c r="W50" i="16" s="1"/>
  <c r="L102" i="23"/>
  <c r="V44" i="16" s="1"/>
  <c r="W44" i="16" s="1"/>
  <c r="L103" i="23"/>
  <c r="L104" i="23"/>
  <c r="L105" i="23"/>
  <c r="L106" i="23"/>
  <c r="V53" i="16" s="1"/>
  <c r="W53" i="16" s="1"/>
  <c r="L107" i="23"/>
  <c r="V87" i="16" s="1"/>
  <c r="W87" i="16" s="1"/>
  <c r="L108" i="23"/>
  <c r="L109" i="23"/>
  <c r="L110" i="23"/>
  <c r="L111" i="23"/>
  <c r="V44" i="39" s="1"/>
  <c r="L112" i="23"/>
  <c r="L113" i="23"/>
  <c r="L114" i="23"/>
  <c r="L115" i="23"/>
  <c r="L116" i="23"/>
  <c r="L117" i="23"/>
  <c r="V72" i="16" s="1"/>
  <c r="W72" i="16" s="1"/>
  <c r="L118" i="23"/>
  <c r="V73" i="16" s="1"/>
  <c r="W73" i="16" s="1"/>
  <c r="L119" i="23"/>
  <c r="L120" i="23"/>
  <c r="L121" i="23"/>
  <c r="V75" i="16" s="1"/>
  <c r="W75" i="16" s="1"/>
  <c r="L122" i="23"/>
  <c r="V74" i="16" s="1"/>
  <c r="W74" i="16" s="1"/>
  <c r="L123" i="23"/>
  <c r="L124" i="23"/>
  <c r="L125" i="23"/>
  <c r="V52" i="39" s="1"/>
  <c r="L126" i="23"/>
  <c r="L127" i="23"/>
  <c r="L128" i="23"/>
  <c r="V55" i="39" s="1"/>
  <c r="L129" i="23"/>
  <c r="L130" i="23"/>
  <c r="L131" i="23"/>
  <c r="L132" i="23"/>
  <c r="L133" i="23"/>
  <c r="L134" i="23"/>
  <c r="L135" i="23"/>
  <c r="V76" i="16" s="1"/>
  <c r="W76" i="16" s="1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8" i="23"/>
  <c r="L219" i="23"/>
  <c r="L220" i="23"/>
  <c r="L221" i="23"/>
  <c r="V34" i="39" l="1"/>
  <c r="V55" i="16"/>
  <c r="V60" i="16"/>
  <c r="X60" i="16" s="1"/>
  <c r="V58" i="16"/>
  <c r="W58" i="16" s="1"/>
  <c r="V70" i="16"/>
  <c r="W70" i="16" s="1"/>
  <c r="V42" i="39"/>
  <c r="V54" i="16"/>
  <c r="W54" i="16" s="1"/>
  <c r="V49" i="16"/>
  <c r="W49" i="16" s="1"/>
  <c r="V28" i="39"/>
  <c r="V40" i="16"/>
  <c r="W40" i="16" s="1"/>
  <c r="V14" i="39"/>
  <c r="V24" i="16"/>
  <c r="W24" i="16" s="1"/>
  <c r="V12" i="39"/>
  <c r="V7" i="16"/>
  <c r="W7" i="16" s="1"/>
  <c r="V39" i="39"/>
  <c r="V9" i="16"/>
  <c r="W9" i="16" s="1"/>
  <c r="V26" i="39"/>
  <c r="V29" i="16"/>
  <c r="W29" i="16" s="1"/>
  <c r="V77" i="39"/>
  <c r="V23" i="16"/>
  <c r="W23" i="16" s="1"/>
  <c r="V4" i="39"/>
  <c r="X4" i="39" s="1"/>
  <c r="V6" i="16"/>
  <c r="W6" i="16" s="1"/>
  <c r="V15" i="39"/>
  <c r="V17" i="16"/>
  <c r="W17" i="16" s="1"/>
  <c r="V10" i="39"/>
  <c r="V11" i="16"/>
  <c r="W11" i="16" s="1"/>
  <c r="V37" i="16"/>
  <c r="W37" i="16" s="1"/>
  <c r="V59" i="16"/>
  <c r="V45" i="16"/>
  <c r="W45" i="16" s="1"/>
  <c r="V65" i="39"/>
  <c r="V43" i="16"/>
  <c r="W43" i="16" s="1"/>
  <c r="V17" i="39"/>
  <c r="V19" i="16"/>
  <c r="W19" i="16" s="1"/>
  <c r="V57" i="16"/>
  <c r="V61" i="39"/>
  <c r="W61" i="39" s="1"/>
  <c r="V16" i="16"/>
  <c r="W16" i="16" s="1"/>
  <c r="V36" i="16"/>
  <c r="W36" i="16" s="1"/>
  <c r="V23" i="39"/>
  <c r="X23" i="39" s="1"/>
  <c r="V83" i="16"/>
  <c r="W83" i="16" s="1"/>
  <c r="V75" i="39"/>
  <c r="V15" i="16"/>
  <c r="W15" i="16" s="1"/>
  <c r="W56" i="16"/>
  <c r="X56" i="16"/>
  <c r="W60" i="16"/>
  <c r="V80" i="39"/>
  <c r="W80" i="39" s="1"/>
  <c r="V46" i="16"/>
  <c r="W46" i="16" s="1"/>
  <c r="V5" i="39"/>
  <c r="X5" i="39" s="1"/>
  <c r="V84" i="16"/>
  <c r="W84" i="16" s="1"/>
  <c r="V13" i="16"/>
  <c r="W13" i="16" s="1"/>
  <c r="V67" i="16"/>
  <c r="W67" i="16" s="1"/>
  <c r="X25" i="39"/>
  <c r="W25" i="39"/>
  <c r="W15" i="39"/>
  <c r="X15" i="39"/>
  <c r="W10" i="39"/>
  <c r="X10" i="39"/>
  <c r="W82" i="39"/>
  <c r="X82" i="39"/>
  <c r="W33" i="39"/>
  <c r="X33" i="39"/>
  <c r="X30" i="39"/>
  <c r="W30" i="39"/>
  <c r="V69" i="39"/>
  <c r="W24" i="39"/>
  <c r="X24" i="39"/>
  <c r="W68" i="39"/>
  <c r="X68" i="39"/>
  <c r="W9" i="39"/>
  <c r="X9" i="39"/>
  <c r="V53" i="39"/>
  <c r="X67" i="39"/>
  <c r="W67" i="39"/>
  <c r="W55" i="39"/>
  <c r="X55" i="39"/>
  <c r="W38" i="39"/>
  <c r="X38" i="39"/>
  <c r="W65" i="39"/>
  <c r="X65" i="39"/>
  <c r="W17" i="39"/>
  <c r="X17" i="39"/>
  <c r="V51" i="39"/>
  <c r="W63" i="39"/>
  <c r="X63" i="39"/>
  <c r="X29" i="39"/>
  <c r="W29" i="39"/>
  <c r="W23" i="39"/>
  <c r="V45" i="39"/>
  <c r="W75" i="39"/>
  <c r="W7" i="39"/>
  <c r="X7" i="39"/>
  <c r="W49" i="39"/>
  <c r="X49" i="39"/>
  <c r="W44" i="39"/>
  <c r="X44" i="39"/>
  <c r="W37" i="39"/>
  <c r="X37" i="39"/>
  <c r="W36" i="39"/>
  <c r="X36" i="39"/>
  <c r="V32" i="39"/>
  <c r="V20" i="39"/>
  <c r="W20" i="39" s="1"/>
  <c r="W19" i="39"/>
  <c r="X19" i="39"/>
  <c r="V47" i="39"/>
  <c r="X81" i="39"/>
  <c r="W81" i="39"/>
  <c r="W42" i="39"/>
  <c r="X42" i="39"/>
  <c r="W46" i="39"/>
  <c r="X46" i="39"/>
  <c r="V64" i="39"/>
  <c r="V21" i="39"/>
  <c r="W21" i="39" s="1"/>
  <c r="V54" i="39"/>
  <c r="V6" i="39"/>
  <c r="V48" i="39"/>
  <c r="X79" i="39"/>
  <c r="W79" i="39"/>
  <c r="W34" i="39"/>
  <c r="X34" i="39"/>
  <c r="X28" i="39"/>
  <c r="W28" i="39"/>
  <c r="W14" i="39"/>
  <c r="X14" i="39"/>
  <c r="W12" i="39"/>
  <c r="X12" i="39"/>
  <c r="X39" i="39"/>
  <c r="W39" i="39"/>
  <c r="W52" i="39"/>
  <c r="X52" i="39"/>
  <c r="W40" i="39"/>
  <c r="X40" i="39"/>
  <c r="X26" i="39"/>
  <c r="W26" i="39"/>
  <c r="X77" i="39"/>
  <c r="W77" i="39"/>
  <c r="W11" i="39"/>
  <c r="X11" i="39"/>
  <c r="V56" i="39"/>
  <c r="X87" i="16"/>
  <c r="X86" i="16"/>
  <c r="V90" i="16"/>
  <c r="W90" i="16" s="1"/>
  <c r="V91" i="16"/>
  <c r="W91" i="16" s="1"/>
  <c r="V94" i="16"/>
  <c r="W94" i="16" s="1"/>
  <c r="V95" i="16"/>
  <c r="W95" i="16" s="1"/>
  <c r="V77" i="16"/>
  <c r="W77" i="16" s="1"/>
  <c r="V78" i="16"/>
  <c r="W78" i="16" s="1"/>
  <c r="X61" i="39" l="1"/>
  <c r="W5" i="39"/>
  <c r="W55" i="16"/>
  <c r="X55" i="16"/>
  <c r="X58" i="16"/>
  <c r="W4" i="39"/>
  <c r="X80" i="39"/>
  <c r="V91" i="39"/>
  <c r="X91" i="39" s="1"/>
  <c r="X75" i="39"/>
  <c r="X83" i="16"/>
  <c r="W59" i="16"/>
  <c r="X59" i="16"/>
  <c r="W57" i="16"/>
  <c r="X57" i="16"/>
  <c r="V58" i="39"/>
  <c r="X58" i="39" s="1"/>
  <c r="W32" i="39"/>
  <c r="X32" i="39"/>
  <c r="W51" i="39"/>
  <c r="X51" i="39"/>
  <c r="X64" i="39"/>
  <c r="W64" i="39"/>
  <c r="W69" i="39"/>
  <c r="X69" i="39"/>
  <c r="W47" i="39"/>
  <c r="X47" i="39"/>
  <c r="W53" i="39"/>
  <c r="X53" i="39"/>
  <c r="W48" i="39"/>
  <c r="X48" i="39"/>
  <c r="X56" i="39"/>
  <c r="W56" i="39"/>
  <c r="X6" i="39"/>
  <c r="W6" i="39"/>
  <c r="W110" i="39"/>
  <c r="W111" i="39" s="1"/>
  <c r="W54" i="39"/>
  <c r="X54" i="39"/>
  <c r="W45" i="39"/>
  <c r="X45" i="39"/>
  <c r="V74" i="39"/>
  <c r="X74" i="39" s="1"/>
  <c r="X84" i="16"/>
  <c r="X85" i="16"/>
  <c r="X81" i="16"/>
  <c r="X82" i="16"/>
  <c r="Q3" i="16"/>
  <c r="R3" i="16"/>
  <c r="W3" i="16"/>
  <c r="Y3" i="16"/>
  <c r="AA3" i="16"/>
  <c r="Z3" i="16" s="1"/>
  <c r="Q4" i="16"/>
  <c r="R4" i="16"/>
  <c r="Y4" i="16"/>
  <c r="AA4" i="16"/>
  <c r="Z4" i="16" s="1"/>
  <c r="Q5" i="16"/>
  <c r="R5" i="16"/>
  <c r="Y5" i="16"/>
  <c r="AA5" i="16"/>
  <c r="Z5" i="16" s="1"/>
  <c r="Q6" i="16"/>
  <c r="R6" i="16"/>
  <c r="Y6" i="16"/>
  <c r="AA6" i="16"/>
  <c r="Z6" i="16" s="1"/>
  <c r="Q7" i="16"/>
  <c r="R7" i="16"/>
  <c r="Y7" i="16"/>
  <c r="AA7" i="16"/>
  <c r="Z7" i="16" s="1"/>
  <c r="Q8" i="16"/>
  <c r="R8" i="16"/>
  <c r="Y8" i="16"/>
  <c r="AA8" i="16"/>
  <c r="Z8" i="16" s="1"/>
  <c r="Q9" i="16"/>
  <c r="R9" i="16"/>
  <c r="Y9" i="16"/>
  <c r="AA9" i="16"/>
  <c r="Z9" i="16" s="1"/>
  <c r="Q10" i="16"/>
  <c r="R10" i="16"/>
  <c r="Y10" i="16"/>
  <c r="AA10" i="16"/>
  <c r="Z10" i="16" s="1"/>
  <c r="Q11" i="16"/>
  <c r="R11" i="16"/>
  <c r="Y11" i="16"/>
  <c r="AA11" i="16"/>
  <c r="Z11" i="16" s="1"/>
  <c r="Q12" i="16"/>
  <c r="R12" i="16"/>
  <c r="Y12" i="16"/>
  <c r="AA12" i="16"/>
  <c r="Z12" i="16" s="1"/>
  <c r="Q13" i="16"/>
  <c r="R13" i="16"/>
  <c r="Y13" i="16"/>
  <c r="AA13" i="16"/>
  <c r="Z13" i="16" s="1"/>
  <c r="Q14" i="16"/>
  <c r="R14" i="16"/>
  <c r="Y14" i="16"/>
  <c r="AA14" i="16"/>
  <c r="Z14" i="16" s="1"/>
  <c r="Q15" i="16"/>
  <c r="R15" i="16"/>
  <c r="Y15" i="16"/>
  <c r="AA15" i="16"/>
  <c r="Z15" i="16" s="1"/>
  <c r="Q16" i="16"/>
  <c r="R16" i="16"/>
  <c r="Y16" i="16"/>
  <c r="AA16" i="16"/>
  <c r="Z16" i="16" s="1"/>
  <c r="Q17" i="16"/>
  <c r="R17" i="16"/>
  <c r="Y17" i="16"/>
  <c r="AA17" i="16"/>
  <c r="Z17" i="16" s="1"/>
  <c r="Q18" i="16"/>
  <c r="R18" i="16"/>
  <c r="Y18" i="16"/>
  <c r="AA18" i="16"/>
  <c r="Z18" i="16" s="1"/>
  <c r="Q19" i="16"/>
  <c r="R19" i="16"/>
  <c r="Y19" i="16"/>
  <c r="AA19" i="16"/>
  <c r="Z19" i="16" s="1"/>
  <c r="Q23" i="16"/>
  <c r="R23" i="16"/>
  <c r="Y23" i="16"/>
  <c r="AA23" i="16"/>
  <c r="Z23" i="16" s="1"/>
  <c r="Q24" i="16"/>
  <c r="R24" i="16"/>
  <c r="Y24" i="16"/>
  <c r="AA24" i="16"/>
  <c r="Z24" i="16" s="1"/>
  <c r="Q25" i="16"/>
  <c r="R25" i="16"/>
  <c r="Y25" i="16"/>
  <c r="AA25" i="16"/>
  <c r="Z25" i="16" s="1"/>
  <c r="Q26" i="16"/>
  <c r="R26" i="16"/>
  <c r="Y26" i="16"/>
  <c r="AA26" i="16"/>
  <c r="Z26" i="16" s="1"/>
  <c r="Q27" i="16"/>
  <c r="R27" i="16"/>
  <c r="Y27" i="16"/>
  <c r="AA27" i="16"/>
  <c r="Z27" i="16" s="1"/>
  <c r="Q28" i="16"/>
  <c r="R28" i="16"/>
  <c r="Y28" i="16"/>
  <c r="AA28" i="16"/>
  <c r="Z28" i="16" s="1"/>
  <c r="Q29" i="16"/>
  <c r="R29" i="16"/>
  <c r="Y29" i="16"/>
  <c r="AA29" i="16"/>
  <c r="Z29" i="16" s="1"/>
  <c r="Q30" i="16"/>
  <c r="R30" i="16"/>
  <c r="Y30" i="16"/>
  <c r="AA30" i="16"/>
  <c r="Z30" i="16" s="1"/>
  <c r="Q31" i="16"/>
  <c r="R31" i="16"/>
  <c r="Y31" i="16"/>
  <c r="AA31" i="16"/>
  <c r="Z31" i="16" s="1"/>
  <c r="R32" i="16"/>
  <c r="Y32" i="16"/>
  <c r="AA32" i="16"/>
  <c r="Z32" i="16" s="1"/>
  <c r="Q33" i="16"/>
  <c r="R33" i="16"/>
  <c r="Y33" i="16"/>
  <c r="AA33" i="16"/>
  <c r="Z33" i="16" s="1"/>
  <c r="Q34" i="16"/>
  <c r="R34" i="16"/>
  <c r="Y34" i="16"/>
  <c r="AA34" i="16"/>
  <c r="Z34" i="16" s="1"/>
  <c r="Q35" i="16"/>
  <c r="R35" i="16"/>
  <c r="Y35" i="16"/>
  <c r="AA35" i="16"/>
  <c r="Z35" i="16" s="1"/>
  <c r="Q36" i="16"/>
  <c r="R36" i="16"/>
  <c r="Y36" i="16"/>
  <c r="AA36" i="16"/>
  <c r="Z36" i="16" s="1"/>
  <c r="Q37" i="16"/>
  <c r="R37" i="16"/>
  <c r="Y37" i="16"/>
  <c r="AA37" i="16"/>
  <c r="Z37" i="16" s="1"/>
  <c r="Q38" i="16"/>
  <c r="R38" i="16"/>
  <c r="Y38" i="16"/>
  <c r="AA38" i="16"/>
  <c r="Z38" i="16" s="1"/>
  <c r="Q39" i="16"/>
  <c r="R39" i="16"/>
  <c r="Y39" i="16"/>
  <c r="AA39" i="16"/>
  <c r="Z39" i="16" s="1"/>
  <c r="Q40" i="16"/>
  <c r="R40" i="16"/>
  <c r="Y40" i="16"/>
  <c r="AA40" i="16"/>
  <c r="Z40" i="16" s="1"/>
  <c r="Q41" i="16"/>
  <c r="R41" i="16"/>
  <c r="Y41" i="16"/>
  <c r="AA41" i="16"/>
  <c r="Z41" i="16" s="1"/>
  <c r="Q42" i="16"/>
  <c r="R42" i="16"/>
  <c r="Y42" i="16"/>
  <c r="Z42" i="16"/>
  <c r="Q43" i="16"/>
  <c r="R43" i="16"/>
  <c r="Y43" i="16"/>
  <c r="AA43" i="16"/>
  <c r="Z43" i="16" s="1"/>
  <c r="Q44" i="16"/>
  <c r="R44" i="16"/>
  <c r="Y44" i="16"/>
  <c r="AA44" i="16"/>
  <c r="Z44" i="16" s="1"/>
  <c r="Q45" i="16"/>
  <c r="R45" i="16"/>
  <c r="Y45" i="16"/>
  <c r="AA45" i="16"/>
  <c r="Z45" i="16" s="1"/>
  <c r="Q46" i="16"/>
  <c r="R46" i="16"/>
  <c r="Y46" i="16"/>
  <c r="AA46" i="16"/>
  <c r="Z46" i="16" s="1"/>
  <c r="Q47" i="16"/>
  <c r="R47" i="16"/>
  <c r="Y47" i="16"/>
  <c r="AA47" i="16"/>
  <c r="Z47" i="16" s="1"/>
  <c r="Q48" i="16"/>
  <c r="R48" i="16"/>
  <c r="Y48" i="16"/>
  <c r="AA48" i="16"/>
  <c r="Z48" i="16" s="1"/>
  <c r="Q49" i="16"/>
  <c r="R49" i="16"/>
  <c r="Y49" i="16"/>
  <c r="AA49" i="16"/>
  <c r="Z49" i="16" s="1"/>
  <c r="Q50" i="16"/>
  <c r="R50" i="16"/>
  <c r="Y50" i="16"/>
  <c r="AA50" i="16"/>
  <c r="Z50" i="16" s="1"/>
  <c r="Q51" i="16"/>
  <c r="R51" i="16"/>
  <c r="Y51" i="16"/>
  <c r="AA51" i="16"/>
  <c r="Z51" i="16" s="1"/>
  <c r="Q52" i="16"/>
  <c r="R52" i="16"/>
  <c r="Y52" i="16"/>
  <c r="AA52" i="16"/>
  <c r="Z52" i="16" s="1"/>
  <c r="Q53" i="16"/>
  <c r="R53" i="16"/>
  <c r="Y53" i="16"/>
  <c r="AA53" i="16"/>
  <c r="Z53" i="16" s="1"/>
  <c r="Q54" i="16"/>
  <c r="R54" i="16"/>
  <c r="Y54" i="16"/>
  <c r="AA54" i="16"/>
  <c r="Z54" i="16" s="1"/>
  <c r="Y62" i="16"/>
  <c r="AA62" i="16"/>
  <c r="Z62" i="16" s="1"/>
  <c r="V95" i="39" l="1"/>
  <c r="X95" i="39" s="1"/>
  <c r="S31" i="16"/>
  <c r="S30" i="16"/>
  <c r="S8" i="16"/>
  <c r="S53" i="16"/>
  <c r="S42" i="16"/>
  <c r="S43" i="16"/>
  <c r="S37" i="16"/>
  <c r="S28" i="16"/>
  <c r="S10" i="16"/>
  <c r="T4" i="16"/>
  <c r="X4" i="16" s="1"/>
  <c r="S45" i="16"/>
  <c r="S33" i="16"/>
  <c r="T42" i="16"/>
  <c r="T31" i="16"/>
  <c r="X31" i="16" s="1"/>
  <c r="T13" i="16"/>
  <c r="S27" i="16"/>
  <c r="T16" i="16"/>
  <c r="S47" i="16"/>
  <c r="T35" i="16"/>
  <c r="X35" i="16" s="1"/>
  <c r="S49" i="16"/>
  <c r="S50" i="16"/>
  <c r="S46" i="16"/>
  <c r="T32" i="16"/>
  <c r="S11" i="16"/>
  <c r="T23" i="16"/>
  <c r="T9" i="16"/>
  <c r="T12" i="16"/>
  <c r="X12" i="16" s="1"/>
  <c r="T54" i="16"/>
  <c r="S51" i="16"/>
  <c r="T43" i="16"/>
  <c r="S3" i="16"/>
  <c r="T44" i="16"/>
  <c r="S35" i="16"/>
  <c r="S25" i="16"/>
  <c r="S19" i="16"/>
  <c r="S4" i="16"/>
  <c r="T53" i="16"/>
  <c r="T38" i="16"/>
  <c r="S29" i="16"/>
  <c r="T8" i="16"/>
  <c r="T5" i="16"/>
  <c r="T51" i="16"/>
  <c r="X51" i="16" s="1"/>
  <c r="T50" i="16"/>
  <c r="S40" i="16"/>
  <c r="T49" i="16"/>
  <c r="T24" i="16"/>
  <c r="S23" i="16"/>
  <c r="S18" i="16"/>
  <c r="S12" i="16"/>
  <c r="S44" i="16"/>
  <c r="S52" i="16"/>
  <c r="T36" i="16"/>
  <c r="T47" i="16"/>
  <c r="X47" i="16" s="1"/>
  <c r="T46" i="16"/>
  <c r="T45" i="16"/>
  <c r="X45" i="16" s="1"/>
  <c r="T29" i="16"/>
  <c r="T28" i="16"/>
  <c r="S14" i="16"/>
  <c r="T39" i="16"/>
  <c r="S38" i="16"/>
  <c r="T27" i="16"/>
  <c r="T17" i="16"/>
  <c r="X17" i="16" s="1"/>
  <c r="S16" i="16"/>
  <c r="AB49" i="16"/>
  <c r="T48" i="16"/>
  <c r="AB42" i="16"/>
  <c r="T41" i="16"/>
  <c r="X41" i="16" s="1"/>
  <c r="AB35" i="16"/>
  <c r="T34" i="16"/>
  <c r="AB27" i="16"/>
  <c r="T26" i="16"/>
  <c r="AB16" i="16"/>
  <c r="T15" i="16"/>
  <c r="AB8" i="16"/>
  <c r="T7" i="16"/>
  <c r="S54" i="16"/>
  <c r="AB48" i="16"/>
  <c r="AB41" i="16"/>
  <c r="T40" i="16"/>
  <c r="S39" i="16"/>
  <c r="AB34" i="16"/>
  <c r="T33" i="16"/>
  <c r="S32" i="16"/>
  <c r="AB26" i="16"/>
  <c r="T25" i="16"/>
  <c r="S24" i="16"/>
  <c r="AB15" i="16"/>
  <c r="T14" i="16"/>
  <c r="S13" i="16"/>
  <c r="AB7" i="16"/>
  <c r="T6" i="16"/>
  <c r="X6" i="16" s="1"/>
  <c r="S5" i="16"/>
  <c r="AB47" i="16"/>
  <c r="AB40" i="16"/>
  <c r="AB33" i="16"/>
  <c r="AB25" i="16"/>
  <c r="AB14" i="16"/>
  <c r="AB6" i="16"/>
  <c r="AB54" i="16"/>
  <c r="AB46" i="16"/>
  <c r="AB39" i="16"/>
  <c r="AB32" i="16"/>
  <c r="AB24" i="16"/>
  <c r="AB13" i="16"/>
  <c r="AB5" i="16"/>
  <c r="AB53" i="16"/>
  <c r="T52" i="16"/>
  <c r="X52" i="16" s="1"/>
  <c r="AB45" i="16"/>
  <c r="AB38" i="16"/>
  <c r="T37" i="16"/>
  <c r="X37" i="16" s="1"/>
  <c r="AB31" i="16"/>
  <c r="T30" i="16"/>
  <c r="X30" i="16" s="1"/>
  <c r="AB23" i="16"/>
  <c r="T19" i="16"/>
  <c r="X19" i="16" s="1"/>
  <c r="AB12" i="16"/>
  <c r="T11" i="16"/>
  <c r="AB4" i="16"/>
  <c r="T3" i="16"/>
  <c r="X3" i="16" s="1"/>
  <c r="AB52" i="16"/>
  <c r="AB37" i="16"/>
  <c r="S36" i="16"/>
  <c r="AB30" i="16"/>
  <c r="AB19" i="16"/>
  <c r="T18" i="16"/>
  <c r="S17" i="16"/>
  <c r="AB11" i="16"/>
  <c r="T10" i="16"/>
  <c r="S9" i="16"/>
  <c r="AB3" i="16"/>
  <c r="AB51" i="16"/>
  <c r="AB44" i="16"/>
  <c r="AB29" i="16"/>
  <c r="AB18" i="16"/>
  <c r="AB10" i="16"/>
  <c r="AB62" i="16"/>
  <c r="AB50" i="16"/>
  <c r="S48" i="16"/>
  <c r="AB43" i="16"/>
  <c r="S41" i="16"/>
  <c r="AB36" i="16"/>
  <c r="S34" i="16"/>
  <c r="AB28" i="16"/>
  <c r="S26" i="16"/>
  <c r="AB17" i="16"/>
  <c r="S15" i="16"/>
  <c r="AB9" i="16"/>
  <c r="S7" i="16"/>
  <c r="J63" i="15" l="1"/>
  <c r="K63" i="15"/>
  <c r="Z88" i="16" l="1"/>
  <c r="Q94" i="16" l="1"/>
  <c r="R94" i="16"/>
  <c r="Q95" i="16"/>
  <c r="R95" i="16"/>
  <c r="Q65" i="16"/>
  <c r="R65" i="16"/>
  <c r="Q66" i="16"/>
  <c r="R66" i="16"/>
  <c r="Q67" i="16"/>
  <c r="R67" i="16"/>
  <c r="Q77" i="16"/>
  <c r="R77" i="16"/>
  <c r="Q78" i="16"/>
  <c r="R78" i="16"/>
  <c r="Q80" i="16"/>
  <c r="R80" i="16"/>
  <c r="Y67" i="16"/>
  <c r="AA67" i="16"/>
  <c r="Z67" i="16" s="1"/>
  <c r="Y68" i="16"/>
  <c r="AA68" i="16"/>
  <c r="Z68" i="16" s="1"/>
  <c r="Y69" i="16"/>
  <c r="AA69" i="16"/>
  <c r="Z69" i="16" s="1"/>
  <c r="Y70" i="16"/>
  <c r="AA70" i="16"/>
  <c r="Z70" i="16" s="1"/>
  <c r="Y71" i="16"/>
  <c r="AA71" i="16"/>
  <c r="Z71" i="16" s="1"/>
  <c r="Y72" i="16"/>
  <c r="AA72" i="16"/>
  <c r="Z72" i="16" s="1"/>
  <c r="Y73" i="16"/>
  <c r="AA73" i="16"/>
  <c r="Z73" i="16" s="1"/>
  <c r="T78" i="16" l="1"/>
  <c r="X78" i="16" s="1"/>
  <c r="S80" i="16"/>
  <c r="S78" i="16"/>
  <c r="T77" i="16"/>
  <c r="X77" i="16" s="1"/>
  <c r="T67" i="16"/>
  <c r="T66" i="16"/>
  <c r="X72" i="16"/>
  <c r="S65" i="16"/>
  <c r="S94" i="16"/>
  <c r="S95" i="16"/>
  <c r="S67" i="16"/>
  <c r="T65" i="16"/>
  <c r="S77" i="16"/>
  <c r="S66" i="16"/>
  <c r="T94" i="16"/>
  <c r="X94" i="16" s="1"/>
  <c r="T95" i="16"/>
  <c r="X95" i="16" s="1"/>
  <c r="X75" i="16" l="1"/>
  <c r="J142" i="14" l="1"/>
  <c r="H177" i="15" l="1"/>
  <c r="F101" i="39" s="1"/>
  <c r="L108" i="15"/>
  <c r="L109" i="15"/>
  <c r="L113" i="15"/>
  <c r="L114" i="15"/>
  <c r="L115" i="15"/>
  <c r="L116" i="15"/>
  <c r="L107" i="15"/>
  <c r="J80" i="15"/>
  <c r="K80" i="15"/>
  <c r="H96" i="16" l="1"/>
  <c r="I96" i="16"/>
  <c r="J96" i="16"/>
  <c r="K96" i="16"/>
  <c r="L96" i="16"/>
  <c r="M96" i="16"/>
  <c r="N96" i="16"/>
  <c r="N135" i="23" l="1"/>
  <c r="M135" i="23"/>
  <c r="V62" i="16"/>
  <c r="N21" i="23"/>
  <c r="N22" i="23"/>
  <c r="M31" i="23"/>
  <c r="M35" i="23"/>
  <c r="M36" i="23"/>
  <c r="M41" i="23"/>
  <c r="M48" i="23"/>
  <c r="M56" i="23"/>
  <c r="N65" i="23"/>
  <c r="N66" i="23"/>
  <c r="N68" i="23"/>
  <c r="M71" i="23"/>
  <c r="M72" i="23"/>
  <c r="M76" i="23"/>
  <c r="M78" i="23"/>
  <c r="M79" i="23"/>
  <c r="M81" i="23"/>
  <c r="M82" i="23"/>
  <c r="M88" i="23"/>
  <c r="M93" i="23"/>
  <c r="M99" i="23"/>
  <c r="M103" i="23"/>
  <c r="M106" i="23"/>
  <c r="M109" i="23"/>
  <c r="M110" i="23"/>
  <c r="N110" i="23"/>
  <c r="M111" i="23"/>
  <c r="N111" i="23"/>
  <c r="M112" i="23"/>
  <c r="M113" i="23"/>
  <c r="N113" i="23"/>
  <c r="M114" i="23"/>
  <c r="M115" i="23"/>
  <c r="M116" i="23"/>
  <c r="N116" i="23"/>
  <c r="M118" i="23"/>
  <c r="N118" i="23"/>
  <c r="N120" i="23"/>
  <c r="V92" i="16"/>
  <c r="N123" i="23"/>
  <c r="M124" i="23"/>
  <c r="N124" i="23"/>
  <c r="M128" i="23"/>
  <c r="M130" i="23"/>
  <c r="M131" i="23"/>
  <c r="M132" i="23"/>
  <c r="N132" i="23"/>
  <c r="M133" i="23"/>
  <c r="M134" i="23"/>
  <c r="N134" i="23"/>
  <c r="M136" i="23"/>
  <c r="N136" i="23"/>
  <c r="M137" i="23"/>
  <c r="M138" i="23"/>
  <c r="N138" i="23"/>
  <c r="M139" i="23"/>
  <c r="N139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X40" i="16" l="1"/>
  <c r="X38" i="16"/>
  <c r="M46" i="23"/>
  <c r="M38" i="23"/>
  <c r="M17" i="23"/>
  <c r="V89" i="16"/>
  <c r="X7" i="16"/>
  <c r="X53" i="16"/>
  <c r="M90" i="23"/>
  <c r="M74" i="23"/>
  <c r="M45" i="23"/>
  <c r="X10" i="16"/>
  <c r="M129" i="23"/>
  <c r="M117" i="23"/>
  <c r="M97" i="23"/>
  <c r="M89" i="23"/>
  <c r="M73" i="23"/>
  <c r="X26" i="16"/>
  <c r="X14" i="16"/>
  <c r="V93" i="16"/>
  <c r="X5" i="16"/>
  <c r="W92" i="16"/>
  <c r="X92" i="16"/>
  <c r="M96" i="23"/>
  <c r="V88" i="16"/>
  <c r="X29" i="16"/>
  <c r="M27" i="23"/>
  <c r="X32" i="16"/>
  <c r="M127" i="23"/>
  <c r="M121" i="23"/>
  <c r="X46" i="16"/>
  <c r="X23" i="16"/>
  <c r="X18" i="16"/>
  <c r="M126" i="23"/>
  <c r="M102" i="23"/>
  <c r="M86" i="23"/>
  <c r="M70" i="23"/>
  <c r="X28" i="16"/>
  <c r="M57" i="23"/>
  <c r="M49" i="23"/>
  <c r="X9" i="16"/>
  <c r="W62" i="16"/>
  <c r="X62" i="16"/>
  <c r="X24" i="16"/>
  <c r="M125" i="23"/>
  <c r="X36" i="16"/>
  <c r="X16" i="16"/>
  <c r="X11" i="16"/>
  <c r="M100" i="23"/>
  <c r="X43" i="16"/>
  <c r="M85" i="23"/>
  <c r="X70" i="16"/>
  <c r="M53" i="23"/>
  <c r="M123" i="23"/>
  <c r="M105" i="23"/>
  <c r="M52" i="23"/>
  <c r="M28" i="23"/>
  <c r="M104" i="23"/>
  <c r="X68" i="16"/>
  <c r="M51" i="23"/>
  <c r="X67" i="16"/>
  <c r="M5" i="23"/>
  <c r="M50" i="23"/>
  <c r="M120" i="23"/>
  <c r="M101" i="23"/>
  <c r="M40" i="23"/>
  <c r="M32" i="23"/>
  <c r="X65" i="16"/>
  <c r="M119" i="23"/>
  <c r="M55" i="23"/>
  <c r="M39" i="23"/>
  <c r="M107" i="23"/>
  <c r="M62" i="23"/>
  <c r="M54" i="23"/>
  <c r="M9" i="23"/>
  <c r="M15" i="23"/>
  <c r="M42" i="23"/>
  <c r="M13" i="23"/>
  <c r="M47" i="23"/>
  <c r="M108" i="23"/>
  <c r="M75" i="23"/>
  <c r="M37" i="23"/>
  <c r="M122" i="23"/>
  <c r="M94" i="23"/>
  <c r="M59" i="23"/>
  <c r="M80" i="23"/>
  <c r="M66" i="23"/>
  <c r="M43" i="23"/>
  <c r="M14" i="23"/>
  <c r="M6" i="23"/>
  <c r="M95" i="23"/>
  <c r="M58" i="23"/>
  <c r="M34" i="23"/>
  <c r="M65" i="23"/>
  <c r="M26" i="23"/>
  <c r="M20" i="23"/>
  <c r="M77" i="23"/>
  <c r="M64" i="23"/>
  <c r="M25" i="23"/>
  <c r="M4" i="23"/>
  <c r="M92" i="23"/>
  <c r="M84" i="23"/>
  <c r="M63" i="23"/>
  <c r="M10" i="23"/>
  <c r="M3" i="23"/>
  <c r="M91" i="23"/>
  <c r="M83" i="23"/>
  <c r="M68" i="23"/>
  <c r="M30" i="23"/>
  <c r="M140" i="23"/>
  <c r="M6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8" i="23"/>
  <c r="M69" i="23"/>
  <c r="M21" i="23"/>
  <c r="M87" i="23"/>
  <c r="M33" i="23"/>
  <c r="X34" i="16" l="1"/>
  <c r="X13" i="16"/>
  <c r="X39" i="16"/>
  <c r="X76" i="16"/>
  <c r="X42" i="16"/>
  <c r="X33" i="16"/>
  <c r="X71" i="16"/>
  <c r="W89" i="16"/>
  <c r="X89" i="16"/>
  <c r="X74" i="16"/>
  <c r="X8" i="16"/>
  <c r="X44" i="16"/>
  <c r="X48" i="16"/>
  <c r="W93" i="16"/>
  <c r="X93" i="16"/>
  <c r="X27" i="16"/>
  <c r="X54" i="16"/>
  <c r="X50" i="16"/>
  <c r="W88" i="16"/>
  <c r="X88" i="16"/>
  <c r="X25" i="16"/>
  <c r="X15" i="16"/>
  <c r="X49" i="16"/>
  <c r="X73" i="16"/>
  <c r="X91" i="16"/>
  <c r="X66" i="16"/>
  <c r="X69" i="16"/>
  <c r="X90" i="16"/>
  <c r="N215" i="23" l="1"/>
  <c r="N216" i="23"/>
  <c r="N217" i="23"/>
  <c r="N218" i="23"/>
  <c r="N219" i="23"/>
  <c r="N220" i="23"/>
  <c r="N221" i="23"/>
  <c r="Y66" i="16"/>
  <c r="AA66" i="16"/>
  <c r="Z66" i="16" s="1"/>
  <c r="Y74" i="16"/>
  <c r="AA74" i="16"/>
  <c r="Z74" i="16" s="1"/>
  <c r="Y75" i="16"/>
  <c r="AA75" i="16"/>
  <c r="Z75" i="16" s="1"/>
  <c r="Y76" i="16"/>
  <c r="AA76" i="16"/>
  <c r="Z76" i="16" s="1"/>
  <c r="N49" i="23" l="1"/>
  <c r="N61" i="23"/>
  <c r="AB76" i="16"/>
  <c r="AB66" i="16"/>
  <c r="AB74" i="16"/>
  <c r="N96" i="23"/>
  <c r="AB75" i="16"/>
  <c r="N86" i="23"/>
  <c r="N88" i="23"/>
  <c r="N15" i="23"/>
  <c r="N84" i="23"/>
  <c r="N129" i="23"/>
  <c r="N121" i="23"/>
  <c r="N52" i="23"/>
  <c r="N43" i="23"/>
  <c r="N98" i="23"/>
  <c r="N8" i="23"/>
  <c r="N101" i="23"/>
  <c r="N103" i="23"/>
  <c r="N81" i="23"/>
  <c r="N80" i="23"/>
  <c r="N55" i="23"/>
  <c r="N50" i="23"/>
  <c r="N112" i="23" l="1"/>
  <c r="N119" i="23"/>
  <c r="N29" i="23"/>
  <c r="N6" i="23"/>
  <c r="N3" i="23"/>
  <c r="N60" i="23"/>
  <c r="N53" i="23"/>
  <c r="N90" i="23"/>
  <c r="N126" i="23"/>
  <c r="N83" i="23"/>
  <c r="N82" i="23"/>
  <c r="N38" i="23"/>
  <c r="N33" i="23"/>
  <c r="N85" i="23"/>
  <c r="N54" i="23"/>
  <c r="N63" i="23"/>
  <c r="N9" i="23"/>
  <c r="N46" i="23"/>
  <c r="N89" i="23"/>
  <c r="N37" i="23"/>
  <c r="N117" i="23"/>
  <c r="N35" i="23"/>
  <c r="N122" i="23"/>
  <c r="N56" i="23"/>
  <c r="N94" i="23"/>
  <c r="N12" i="23"/>
  <c r="N99" i="23"/>
  <c r="N131" i="23"/>
  <c r="N25" i="23"/>
  <c r="N106" i="23"/>
  <c r="N57" i="23"/>
  <c r="N10" i="23"/>
  <c r="N97" i="23"/>
  <c r="N133" i="23"/>
  <c r="N24" i="23"/>
  <c r="N107" i="23"/>
  <c r="N58" i="23"/>
  <c r="N87" i="23"/>
  <c r="N36" i="23"/>
  <c r="N48" i="23"/>
  <c r="N95" i="23"/>
  <c r="N115" i="23"/>
  <c r="N47" i="23"/>
  <c r="N100" i="23"/>
  <c r="N92" i="23"/>
  <c r="N34" i="23"/>
  <c r="N130" i="23"/>
  <c r="N59" i="23"/>
  <c r="N104" i="23"/>
  <c r="N72" i="23"/>
  <c r="N42" i="23"/>
  <c r="N70" i="23"/>
  <c r="N74" i="23"/>
  <c r="N71" i="23"/>
  <c r="N108" i="23"/>
  <c r="N114" i="23"/>
  <c r="N105" i="23"/>
  <c r="T112" i="16" l="1"/>
  <c r="F5" i="37" l="1"/>
  <c r="F6" i="37" s="1"/>
  <c r="F7" i="37" s="1"/>
  <c r="AV14" i="14"/>
  <c r="Y64" i="16" l="1"/>
  <c r="AA64" i="16"/>
  <c r="Y65" i="16"/>
  <c r="AA65" i="16"/>
  <c r="Y77" i="16"/>
  <c r="AA77" i="16"/>
  <c r="Y78" i="16"/>
  <c r="AA78" i="16"/>
  <c r="N73" i="23" l="1"/>
  <c r="AB65" i="16"/>
  <c r="Z78" i="16"/>
  <c r="Z65" i="16"/>
  <c r="Z77" i="16"/>
  <c r="Z64" i="16"/>
  <c r="N28" i="23" l="1"/>
  <c r="N11" i="23"/>
  <c r="N137" i="23"/>
  <c r="N44" i="23"/>
  <c r="G49" i="11" l="1"/>
  <c r="G50" i="11"/>
  <c r="G51" i="11"/>
  <c r="G52" i="11"/>
  <c r="X97" i="16" l="1"/>
  <c r="X99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Q354" i="23"/>
  <c r="Q355" i="23"/>
  <c r="Q356" i="23"/>
  <c r="Q357" i="23"/>
  <c r="Q358" i="23"/>
  <c r="Q359" i="23"/>
  <c r="AB78" i="16" l="1"/>
  <c r="H174" i="15" l="1"/>
  <c r="L418" i="23"/>
  <c r="M418" i="23" s="1"/>
  <c r="N418" i="23"/>
  <c r="L419" i="23"/>
  <c r="M419" i="23" s="1"/>
  <c r="N419" i="23"/>
  <c r="L420" i="23"/>
  <c r="M420" i="23" s="1"/>
  <c r="N420" i="23"/>
  <c r="L421" i="23"/>
  <c r="M421" i="23" s="1"/>
  <c r="N421" i="23"/>
  <c r="I422" i="23"/>
  <c r="J422" i="23"/>
  <c r="N422" i="23"/>
  <c r="L426" i="23"/>
  <c r="Q64" i="16"/>
  <c r="R64" i="16"/>
  <c r="AB77" i="16"/>
  <c r="AB64" i="16" l="1"/>
  <c r="Q79" i="16"/>
  <c r="S64" i="16"/>
  <c r="T64" i="16"/>
  <c r="N2" i="23" s="1"/>
  <c r="L422" i="23"/>
  <c r="M422" i="23" s="1"/>
  <c r="N127" i="23" l="1"/>
  <c r="N128" i="23"/>
  <c r="N32" i="23"/>
  <c r="N30" i="23"/>
  <c r="N45" i="23"/>
  <c r="N91" i="23"/>
  <c r="D53" i="11"/>
  <c r="D54" i="11" s="1"/>
  <c r="F84" i="8" l="1"/>
  <c r="M218" i="23" l="1"/>
  <c r="M219" i="23"/>
  <c r="M220" i="23"/>
  <c r="M221" i="23"/>
  <c r="Y95" i="16" l="1"/>
  <c r="AA95" i="16"/>
  <c r="Z95" i="16" s="1"/>
  <c r="N77" i="23" l="1"/>
  <c r="N102" i="23"/>
  <c r="N76" i="23"/>
  <c r="L2" i="23"/>
  <c r="V80" i="16" s="1"/>
  <c r="W80" i="16" s="1"/>
  <c r="I215" i="23"/>
  <c r="J215" i="23"/>
  <c r="J429" i="23" s="1"/>
  <c r="G106" i="39" s="1"/>
  <c r="G108" i="39" l="1"/>
  <c r="L215" i="23"/>
  <c r="W115" i="16"/>
  <c r="W116" i="16" s="1"/>
  <c r="N109" i="23"/>
  <c r="N31" i="23"/>
  <c r="N18" i="23"/>
  <c r="N51" i="23"/>
  <c r="N16" i="23"/>
  <c r="N78" i="23"/>
  <c r="N20" i="23"/>
  <c r="N17" i="23"/>
  <c r="N39" i="23"/>
  <c r="N79" i="23"/>
  <c r="N64" i="23"/>
  <c r="N41" i="23"/>
  <c r="N69" i="23"/>
  <c r="N62" i="23"/>
  <c r="V64" i="16"/>
  <c r="I429" i="23"/>
  <c r="G109" i="39" s="1"/>
  <c r="G111" i="39" s="1"/>
  <c r="I216" i="23"/>
  <c r="L216" i="23" s="1"/>
  <c r="M2" i="23"/>
  <c r="G104" i="39" l="1"/>
  <c r="G105" i="39" s="1"/>
  <c r="W64" i="16"/>
  <c r="X64" i="16"/>
  <c r="M215" i="23"/>
  <c r="I217" i="23"/>
  <c r="L217" i="23" s="1"/>
  <c r="M216" i="23"/>
  <c r="M217" i="23" l="1"/>
  <c r="L427" i="23" l="1"/>
  <c r="J143" i="14"/>
  <c r="J144" i="14"/>
  <c r="J145" i="14"/>
  <c r="J146" i="14"/>
  <c r="J147" i="14"/>
  <c r="J148" i="14"/>
  <c r="J149" i="14"/>
  <c r="J150" i="14"/>
  <c r="J151" i="14" l="1"/>
  <c r="J139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5" i="15"/>
  <c r="H176" i="15"/>
  <c r="E101" i="39" s="1"/>
  <c r="F106" i="16"/>
  <c r="H161" i="15"/>
  <c r="E106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8" i="15"/>
  <c r="G159" i="15"/>
  <c r="H1" i="8"/>
  <c r="F159" i="15"/>
  <c r="AA80" i="16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V63" i="16" l="1"/>
  <c r="H130" i="14" l="1"/>
  <c r="J130" i="14"/>
  <c r="AI14" i="14"/>
  <c r="R216" i="23"/>
  <c r="L143" i="14" l="1"/>
  <c r="L144" i="14"/>
  <c r="L145" i="14"/>
  <c r="L146" i="14"/>
  <c r="L147" i="14"/>
  <c r="L148" i="14"/>
  <c r="L149" i="14"/>
  <c r="L150" i="14"/>
  <c r="L142" i="14"/>
  <c r="I130" i="14"/>
  <c r="V96" i="16" l="1"/>
  <c r="V79" i="16"/>
  <c r="I79" i="16" l="1"/>
  <c r="J79" i="16"/>
  <c r="K79" i="16"/>
  <c r="L79" i="16"/>
  <c r="M79" i="16"/>
  <c r="N79" i="16"/>
  <c r="O79" i="16"/>
  <c r="P79" i="16"/>
  <c r="N4" i="23" l="1"/>
  <c r="N93" i="23"/>
  <c r="N40" i="23"/>
  <c r="N67" i="23"/>
  <c r="O100" i="16" l="1"/>
  <c r="P100" i="16"/>
  <c r="R96" i="16" l="1"/>
  <c r="R79" i="16"/>
  <c r="S79" i="16" s="1"/>
  <c r="Q96" i="16"/>
  <c r="AB80" i="16"/>
  <c r="T80" i="16"/>
  <c r="R63" i="16"/>
  <c r="Q63" i="16"/>
  <c r="N75" i="23" l="1"/>
  <c r="N23" i="23"/>
  <c r="N13" i="23"/>
  <c r="N5" i="23"/>
  <c r="N19" i="23"/>
  <c r="N26" i="23"/>
  <c r="N125" i="23"/>
  <c r="N27" i="23"/>
  <c r="X80" i="16"/>
  <c r="T79" i="16"/>
  <c r="X79" i="16" s="1"/>
  <c r="T96" i="16"/>
  <c r="X96" i="16" s="1"/>
  <c r="V100" i="16"/>
  <c r="S63" i="16"/>
  <c r="T63" i="16"/>
  <c r="X63" i="16" l="1"/>
  <c r="N14" i="23"/>
  <c r="Y80" i="16"/>
  <c r="Z80" i="16"/>
  <c r="H60" i="11" l="1"/>
  <c r="H59" i="11"/>
  <c r="S97" i="16" l="1"/>
  <c r="L99" i="16"/>
  <c r="L100" i="16" s="1"/>
  <c r="G141" i="14" l="1"/>
  <c r="C34" i="11"/>
  <c r="C33" i="11" s="1"/>
  <c r="C36" i="11"/>
  <c r="C39" i="11" s="1"/>
  <c r="G145" i="14" l="1"/>
  <c r="G143" i="14"/>
  <c r="G140" i="14"/>
  <c r="F153" i="14"/>
  <c r="G153" i="14" l="1"/>
  <c r="C40" i="11" s="1"/>
  <c r="H157" i="14"/>
  <c r="AA14" i="14" l="1"/>
  <c r="W109" i="16" l="1"/>
  <c r="H61" i="11" l="1"/>
  <c r="H62" i="11" s="1"/>
  <c r="R98" i="16" l="1"/>
  <c r="H99" i="16"/>
  <c r="I99" i="16"/>
  <c r="I100" i="16" s="1"/>
  <c r="J99" i="16"/>
  <c r="J100" i="16" s="1"/>
  <c r="Q172" i="23" s="1"/>
  <c r="K99" i="16"/>
  <c r="K100" i="16" s="1"/>
  <c r="L101" i="16"/>
  <c r="M99" i="16"/>
  <c r="M100" i="16" s="1"/>
  <c r="N99" i="16"/>
  <c r="N100" i="16" s="1"/>
  <c r="N101" i="16" s="1"/>
  <c r="F100" i="16"/>
  <c r="G100" i="16"/>
  <c r="J101" i="16" l="1"/>
  <c r="R172" i="23"/>
  <c r="K101" i="16"/>
  <c r="H109" i="16" s="1"/>
  <c r="H100" i="16"/>
  <c r="H102" i="16" s="1"/>
  <c r="M101" i="16"/>
  <c r="S98" i="16"/>
  <c r="I101" i="16"/>
  <c r="D117" i="16"/>
  <c r="R99" i="16"/>
  <c r="Q99" i="16"/>
  <c r="Z98" i="16"/>
  <c r="Y98" i="16"/>
  <c r="V98" i="16"/>
  <c r="D4" i="11" l="1"/>
  <c r="W98" i="16"/>
  <c r="X98" i="16"/>
  <c r="H106" i="16"/>
  <c r="S96" i="16"/>
  <c r="R100" i="16"/>
  <c r="Q100" i="16"/>
  <c r="R101" i="16" l="1"/>
  <c r="R105" i="16"/>
  <c r="Q101" i="16"/>
  <c r="Q105" i="16"/>
  <c r="T100" i="16"/>
  <c r="S100" i="16"/>
  <c r="S101" i="16" s="1"/>
  <c r="T101" i="16" l="1"/>
  <c r="X101" i="16" s="1"/>
  <c r="X100" i="16"/>
  <c r="W104" i="16"/>
  <c r="G114" i="16" l="1"/>
  <c r="G111" i="16"/>
  <c r="C53" i="11" l="1"/>
  <c r="C12" i="11" l="1"/>
  <c r="C10" i="11"/>
  <c r="E53" i="11" l="1"/>
  <c r="C9" i="11" l="1"/>
  <c r="I113" i="16" l="1"/>
  <c r="I104" i="16"/>
  <c r="C13" i="11" l="1"/>
  <c r="C8" i="11" s="1"/>
  <c r="C38" i="11" s="1"/>
  <c r="D39" i="11" l="1"/>
  <c r="C42" i="11" s="1"/>
  <c r="C43" i="11"/>
  <c r="C41" i="11"/>
  <c r="H116" i="16"/>
  <c r="I108" i="16" l="1"/>
  <c r="H107" i="16" l="1"/>
  <c r="H110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14" i="16"/>
  <c r="I116" i="16" s="1"/>
  <c r="Q102" i="16"/>
  <c r="Q103" i="16" s="1"/>
  <c r="H113" i="16"/>
  <c r="I107" i="16"/>
  <c r="I106" i="16" l="1"/>
  <c r="I110" i="16" s="1"/>
  <c r="U101" i="16"/>
  <c r="R103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15" i="16" l="1"/>
  <c r="G116" i="16" s="1"/>
  <c r="G112" i="16"/>
  <c r="G109" i="16" l="1"/>
  <c r="G110" i="16" s="1"/>
  <c r="G113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<sst xmlns="http://schemas.openxmlformats.org/spreadsheetml/2006/main" count="3849" uniqueCount="1307">
  <si>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</si>
  <si>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</si>
  <si>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</si>
  <si>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</si>
  <si>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</si>
  <si>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</si>
  <si>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</si>
  <si>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</si>
  <si>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</si>
  <si>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</si>
  <si>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</si>
  <si>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</si>
  <si>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</si>
  <si>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</si>
  <si>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</si>
  <si>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</si>
  <si>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</si>
  <si>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</si>
  <si>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</si>
  <si>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</si>
  <si>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</si>
  <si>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</si>
  <si>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</si>
  <si>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</si>
  <si>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</si>
  <si>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</si>
  <si>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</si>
  <si>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</si>
  <si>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</si>
  <si>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</si>
  <si>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</si>
  <si>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</si>
  <si>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</si>
  <si>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</si>
  <si>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</si>
  <si>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</si>
  <si>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</si>
  <si>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</si>
  <si>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</si>
  <si>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</si>
  <si>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</si>
  <si>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</si>
  <si>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</si>
  <si>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</si>
  <si>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</si>
  <si>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</si>
  <si>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</si>
  <si>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</si>
  <si>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</si>
  <si>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</si>
  <si>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</si>
  <si>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</si>
  <si>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</si>
  <si>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</si>
  <si>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</si>
  <si>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</si>
  <si>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</si>
  <si>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</si>
  <si>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</si>
  <si>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</si>
  <si>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</si>
  <si>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</si>
  <si>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</si>
  <si>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</si>
  <si>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</si>
  <si>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</si>
  <si>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</si>
  <si>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</si>
  <si>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</si>
  <si>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</si>
  <si>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</si>
  <si>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</si>
  <si>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</si>
  <si>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</si>
  <si>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</si>
  <si>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</si>
  <si>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</si>
  <si>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</si>
  <si>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</si>
  <si>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</si>
  <si>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</si>
  <si>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</si>
  <si>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</si>
  <si>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</si>
  <si>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</si>
  <si>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</si>
  <si>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</si>
  <si>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</si>
  <si>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</si>
  <si>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</si>
  <si>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</si>
  <si>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</si>
  <si>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</si>
  <si>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</si>
  <si>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</si>
  <si>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</si>
  <si>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</si>
  <si>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</si>
  <si>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</si>
  <si>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</si>
  <si>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</si>
  <si>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</si>
  <si>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</si>
  <si>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</si>
  <si>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</si>
  <si>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</si>
  <si>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</si>
  <si>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</si>
  <si>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</si>
  <si>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</si>
  <si>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</si>
  <si>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</si>
  <si>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</si>
  <si>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</si>
  <si>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</si>
  <si>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</si>
  <si>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</si>
  <si>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</si>
  <si>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</si>
  <si>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</si>
  <si>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</si>
  <si>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</si>
  <si>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</si>
  <si>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</si>
  <si>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</si>
  <si>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</si>
  <si>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</si>
  <si>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</si>
  <si>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</si>
  <si>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</si>
  <si>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</si>
  <si>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</si>
  <si>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</si>
  <si>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</si>
  <si>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</si>
  <si>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</si>
  <si>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</si>
  <si>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</si>
  <si>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</si>
  <si>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</si>
  <si>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</si>
  <si>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</si>
  <si>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</si>
  <si>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</si>
  <si>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</si>
  <si>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</si>
  <si>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</si>
  <si>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</si>
  <si>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</si>
  <si>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</si>
  <si>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</si>
  <si>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</si>
  <si>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</si>
  <si>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</si>
  <si>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</si>
  <si>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</si>
  <si>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</si>
  <si>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</si>
  <si>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</si>
  <si>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</si>
  <si>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</si>
  <si>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</si>
  <si>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</si>
  <si>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</si>
  <si>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</si>
  <si>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</si>
  <si>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</si>
  <si>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</si>
  <si>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</si>
  <si>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</si>
  <si>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</si>
  <si>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</si>
  <si>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</si>
  <si>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</si>
  <si>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</si>
  <si>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</si>
  <si>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</si>
  <si>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</si>
  <si>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</si>
  <si>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</si>
  <si>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23.399.570-3</t>
  </si>
  <si>
    <t>16.259.043-K</t>
  </si>
  <si>
    <t>Frigobar</t>
  </si>
  <si>
    <t>Acepta</t>
  </si>
  <si>
    <t>0</t>
  </si>
  <si>
    <t>Giro Cajero Automático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</si>
  <si>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</si>
  <si>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</si>
  <si>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</si>
  <si>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</si>
  <si>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</si>
  <si>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</si>
  <si>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</si>
  <si>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</si>
  <si>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</si>
  <si>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</si>
  <si>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</si>
  <si>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</si>
  <si>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</si>
  <si>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</si>
  <si>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</si>
  <si>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</si>
  <si>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</si>
  <si>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</si>
  <si>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</si>
  <si>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</si>
  <si>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</si>
  <si>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</si>
  <si>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</si>
  <si>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</si>
  <si>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</si>
  <si>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</si>
  <si>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</si>
  <si>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</si>
  <si>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</si>
  <si>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</si>
  <si>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</si>
  <si>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</si>
  <si>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</si>
  <si>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</si>
  <si>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</si>
  <si>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</si>
  <si>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</si>
  <si>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</si>
  <si>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</si>
  <si>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</si>
  <si>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</si>
  <si>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</si>
  <si>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</si>
  <si>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</si>
  <si>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</si>
  <si>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</si>
  <si>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</si>
  <si>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</si>
  <si>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</si>
  <si>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</si>
  <si>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</si>
  <si>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</si>
  <si>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</si>
  <si>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</si>
  <si>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</si>
  <si>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</si>
  <si>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</si>
  <si>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</si>
  <si>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</si>
  <si>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</si>
  <si>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</si>
  <si>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</si>
  <si>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</si>
  <si>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</si>
  <si>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</si>
  <si>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</si>
  <si>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</si>
  <si>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</si>
  <si>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</si>
  <si>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</si>
  <si>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</si>
  <si>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</si>
  <si>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</si>
  <si>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</si>
  <si>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</si>
  <si>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</si>
  <si>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</si>
  <si>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</si>
  <si>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</si>
  <si>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</si>
  <si>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</si>
  <si>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IVA sergio</t>
  </si>
  <si>
    <t>sack</t>
  </si>
  <si>
    <t>EXPEDIA</t>
  </si>
  <si>
    <t>GOOGLE *SVCSAPPS_PA</t>
  </si>
  <si>
    <t>76.173.509-8</t>
  </si>
  <si>
    <t xml:space="preserve">Nieva Soft EIRL                              </t>
  </si>
  <si>
    <t>Sergio Solor</t>
  </si>
  <si>
    <t>repuestos porton</t>
  </si>
  <si>
    <t>Sergio- ver deposito de28 de junio</t>
  </si>
  <si>
    <t>Anulación $</t>
  </si>
  <si>
    <t>500</t>
  </si>
  <si>
    <t>1087</t>
  </si>
  <si>
    <t>66653927</t>
  </si>
  <si>
    <t>54010918</t>
  </si>
  <si>
    <t>1638114</t>
  </si>
  <si>
    <t>23590575</t>
  </si>
  <si>
    <t>54003610</t>
  </si>
  <si>
    <t>5.461.861-1</t>
  </si>
  <si>
    <t>7505124</t>
  </si>
  <si>
    <t xml:space="preserve">Angelica Ramirez Muñoz                       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</si>
  <si>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</si>
  <si>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</si>
  <si>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</si>
  <si>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</si>
  <si>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</si>
  <si>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</si>
  <si>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</si>
  <si>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</si>
  <si>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76.053.835-3</t>
  </si>
  <si>
    <t>63839000</t>
  </si>
  <si>
    <t xml:space="preserve">Leonprodal SA                                </t>
  </si>
  <si>
    <t>1787215104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</si>
  <si>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</si>
  <si>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</si>
  <si>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</si>
  <si>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</si>
  <si>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</si>
  <si>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</si>
  <si>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</si>
  <si>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</si>
  <si>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</si>
  <si>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</si>
  <si>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</si>
  <si>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</si>
  <si>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</si>
  <si>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</si>
  <si>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</si>
  <si>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</si>
  <si>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</si>
  <si>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</si>
  <si>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</si>
  <si>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</si>
  <si>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</si>
  <si>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</si>
  <si>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</si>
  <si>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</si>
  <si>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</si>
  <si>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</si>
  <si>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</si>
  <si>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AGRO</t>
  </si>
  <si>
    <t>PARKING CENTRO</t>
  </si>
  <si>
    <t>PARKING MALL</t>
  </si>
  <si>
    <t>30905830</t>
  </si>
  <si>
    <t>30975278</t>
  </si>
  <si>
    <t>Anulación USD$</t>
  </si>
  <si>
    <t>Mes anterior</t>
  </si>
  <si>
    <t>EL SOL</t>
  </si>
  <si>
    <t>CENTRO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</si>
  <si>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</si>
  <si>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</si>
  <si>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</si>
  <si>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</si>
  <si>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</si>
  <si>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16.339.235-6</t>
  </si>
  <si>
    <t>16339235</t>
  </si>
  <si>
    <t xml:space="preserve">Diego Maldonado                              </t>
  </si>
  <si>
    <t>24.589.336-1</t>
  </si>
  <si>
    <t>24589336</t>
  </si>
  <si>
    <t xml:space="preserve">Leticia Alessi                               </t>
  </si>
  <si>
    <t>EASY CALAMA CALAMA</t>
  </si>
  <si>
    <t>Liquidez en banco- 1Dic</t>
  </si>
  <si>
    <t>rev anula</t>
  </si>
  <si>
    <t>anuldada</t>
  </si>
  <si>
    <t>cobro adicinal a misma tarjeta</t>
  </si>
  <si>
    <t>Booked At</t>
  </si>
  <si>
    <t>Modified At</t>
  </si>
  <si>
    <t>Cancelled At</t>
  </si>
  <si>
    <t>Room</t>
  </si>
  <si>
    <t>Check-In</t>
  </si>
  <si>
    <t>Check-Out</t>
  </si>
  <si>
    <t>Guests</t>
  </si>
  <si>
    <t>Adults</t>
  </si>
  <si>
    <t>Channel</t>
  </si>
  <si>
    <t>Booking.com</t>
  </si>
  <si>
    <t>Expedia</t>
  </si>
  <si>
    <t>BookingSuite</t>
  </si>
  <si>
    <t>BookingButton</t>
  </si>
  <si>
    <t>DB</t>
  </si>
  <si>
    <t>-</t>
  </si>
  <si>
    <t>479769XXXXXXX7379</t>
  </si>
  <si>
    <t>519123XXXXXXX5968</t>
  </si>
  <si>
    <t>498408XXXXXXX7110</t>
  </si>
  <si>
    <t>532655XXXXXXX7287</t>
  </si>
  <si>
    <t>450878XXXXXXX3981</t>
  </si>
  <si>
    <t>84</t>
  </si>
  <si>
    <t>553096XXXXXXX7934</t>
  </si>
  <si>
    <t>375689XXXXXX2007</t>
  </si>
  <si>
    <t>522832XXXXXXX5039</t>
  </si>
  <si>
    <t>520387XXXXXXX2357</t>
  </si>
  <si>
    <t>546616XXXXXXX3857</t>
  </si>
  <si>
    <t>553636XXXXXXX0345</t>
  </si>
  <si>
    <t>515590XXXXXXX2249</t>
  </si>
  <si>
    <t>549167XXXXXXX7221</t>
  </si>
  <si>
    <t>457015XXXXXXX5499</t>
  </si>
  <si>
    <t>544828XXXXXXX9054</t>
  </si>
  <si>
    <t>454818XXXXXXX1016</t>
  </si>
  <si>
    <t>553636XXXXXXX5011</t>
  </si>
  <si>
    <t>522832XXXXXXX0383</t>
  </si>
  <si>
    <t>375680XXXXXX9001</t>
  </si>
  <si>
    <t>528683XXXXXXX9377</t>
  </si>
  <si>
    <t>376444XXXXXX3019</t>
  </si>
  <si>
    <t>se repite</t>
  </si>
  <si>
    <t>Reserva por 3 dias?</t>
  </si>
  <si>
    <t>Por que no se informó en nov? En la misma logica que pasó con Minae Nemoto</t>
  </si>
  <si>
    <t>Entel</t>
  </si>
  <si>
    <t>SITEMINDER</t>
  </si>
  <si>
    <t>ABONO POR PAGO A COMERCIO POR TARJETA D</t>
  </si>
  <si>
    <t>Liquidez en banco- 1Ene</t>
  </si>
  <si>
    <t>Retiros Acum 2017</t>
  </si>
  <si>
    <t>FAUZ ALAWI</t>
  </si>
  <si>
    <t>NICOLE PINOCHET</t>
  </si>
  <si>
    <t>CLAUDIO CARVALHO</t>
  </si>
  <si>
    <t>NATHALIA GUERRA</t>
  </si>
  <si>
    <t>VANESSA MENDONCA</t>
  </si>
  <si>
    <t>MAYARA SCHINCH</t>
  </si>
  <si>
    <t>MAKI YOSHIDA</t>
  </si>
  <si>
    <t>KLAUS PETER BETZ|</t>
  </si>
  <si>
    <t>PETER NEUMEIER</t>
  </si>
  <si>
    <t>TOSHIYA NIIKURA</t>
  </si>
  <si>
    <t>STEPHEN CANFIELD</t>
  </si>
  <si>
    <t>ALEX MORRISON</t>
  </si>
  <si>
    <t>LUIZA AVILA</t>
  </si>
  <si>
    <t>CHRISTINE WALLICH</t>
  </si>
  <si>
    <t>CLAUDIA STERN</t>
  </si>
  <si>
    <t>BARBARA GAUTSCHI</t>
  </si>
  <si>
    <t>VERA FERNANDEZ</t>
  </si>
  <si>
    <t>ALEJANDRA SANCHEZ</t>
  </si>
  <si>
    <t>NATALIA PARENTE</t>
  </si>
  <si>
    <t>CORNELIA KIMBERGER</t>
  </si>
  <si>
    <t>VICTORIA PARKER</t>
  </si>
  <si>
    <t>JULIANA CARBONARI</t>
  </si>
  <si>
    <t>FRAN GONZALEZ</t>
  </si>
  <si>
    <t>MARIE BUITENDYK</t>
  </si>
  <si>
    <t>VALENTINA URIBE</t>
  </si>
  <si>
    <t>ELDER CAMPOS</t>
  </si>
  <si>
    <t>WERNER WITTMANN</t>
  </si>
  <si>
    <t>MARLISE POMPEO</t>
  </si>
  <si>
    <t>HERMES COHELO</t>
  </si>
  <si>
    <t>JOAO L OLIVEIRA</t>
  </si>
  <si>
    <t>YANINA SCHEGLOVA</t>
  </si>
  <si>
    <t>GABRIELA ARAUJO</t>
  </si>
  <si>
    <t>MARKUS EMSENHUBER</t>
  </si>
  <si>
    <t xml:space="preserve">PHILIPPE GUICHARD </t>
  </si>
  <si>
    <t>JANAINA SANTOS</t>
  </si>
  <si>
    <t>FIONA MALCOM</t>
  </si>
  <si>
    <t>BRUNO ALOIS ZEY</t>
  </si>
  <si>
    <t>JOSEP PURROY</t>
  </si>
  <si>
    <t>MARIA TORREZILHAS</t>
  </si>
  <si>
    <t>FRANCISCO TELLO</t>
  </si>
  <si>
    <t>RICHARD MOTT</t>
  </si>
  <si>
    <t>CLAUDIO LOPEZ</t>
  </si>
  <si>
    <t>TONG LIU</t>
  </si>
  <si>
    <t xml:space="preserve">WILSON ROOS </t>
  </si>
  <si>
    <t>YANN MICHEL</t>
  </si>
  <si>
    <t>CARLOS MONTENEGRO</t>
  </si>
  <si>
    <t>MARY WALKER</t>
  </si>
  <si>
    <t>ANDERSON RORIGUES</t>
  </si>
  <si>
    <t>LUIS FELIPE SILVEIRA</t>
  </si>
  <si>
    <t>JUAN QUERALT</t>
  </si>
  <si>
    <t>ZHAOXIA ZENG</t>
  </si>
  <si>
    <t>AVI SHERTOK</t>
  </si>
  <si>
    <t>NIKOLAY MIKHAYLOV</t>
  </si>
  <si>
    <t>BB</t>
  </si>
  <si>
    <t>FELIPE ARZUAGA</t>
  </si>
  <si>
    <t>JOAN SERRAS</t>
  </si>
  <si>
    <t>JAQUELIN FRAMPTON</t>
  </si>
  <si>
    <t>WARREN DOBE</t>
  </si>
  <si>
    <t>LEONARDO MENDES</t>
  </si>
  <si>
    <t>ARTUR ASTER</t>
  </si>
  <si>
    <t>BOGDAN DEBICKI</t>
  </si>
  <si>
    <t>REVA COTTER</t>
  </si>
  <si>
    <t>ALEXANDER SANTANA</t>
  </si>
  <si>
    <t>MARINA DUARTE</t>
  </si>
  <si>
    <t>DANIELLA GUIMARAES</t>
  </si>
  <si>
    <t>EVA FERNANDEZ</t>
  </si>
  <si>
    <t>SILVIA TRIVELLATO</t>
  </si>
  <si>
    <t>ALYSSA GOODMAN</t>
  </si>
  <si>
    <t>CHARLES HULL</t>
  </si>
  <si>
    <t>PEDRO TAVARES</t>
  </si>
  <si>
    <t>PABLO BERARDI</t>
  </si>
  <si>
    <t xml:space="preserve">Double Room - General - Breakfast included - </t>
  </si>
  <si>
    <t>Twin Room - General - Breakfast included - genius rate</t>
  </si>
  <si>
    <t>BDC - Double Room / BSU - Double Room</t>
  </si>
  <si>
    <t xml:space="preserve">Twin Room - General - Breakfast included - </t>
  </si>
  <si>
    <t>BDC - Double Room / EXP - Double Room</t>
  </si>
  <si>
    <t>BDC - Double Twin Room / EXP - Double Twin Room</t>
  </si>
  <si>
    <t>Tarifa Propia TR</t>
  </si>
  <si>
    <t>Tarifa Propia DR</t>
  </si>
  <si>
    <t>526750XXXXXXX3466</t>
  </si>
  <si>
    <t>438857XXXXXXX6664</t>
  </si>
  <si>
    <t>01748C</t>
  </si>
  <si>
    <t>422093XXXXXXX7416</t>
  </si>
  <si>
    <t>515601XXXXXXX8171</t>
  </si>
  <si>
    <t>406669XXXXXXX8536</t>
  </si>
  <si>
    <t>552561XXXXXXX9384</t>
  </si>
  <si>
    <t>552937XXXXXXX1419</t>
  </si>
  <si>
    <t>522840XXXXXXX1662</t>
  </si>
  <si>
    <t>414720XXXXXXX7950</t>
  </si>
  <si>
    <t>06366I</t>
  </si>
  <si>
    <t>439226XXXXXXX7704</t>
  </si>
  <si>
    <t>498401XXXXXXX2026</t>
  </si>
  <si>
    <t>453436XXXXXXX9004</t>
  </si>
  <si>
    <t>474843XXXXXXX8320</t>
  </si>
  <si>
    <t>548346XXXXXXX8507</t>
  </si>
  <si>
    <t>H07498</t>
  </si>
  <si>
    <t>429770XXXXXXX0403</t>
  </si>
  <si>
    <t>546616XXXXXXX7157</t>
  </si>
  <si>
    <t>23591P</t>
  </si>
  <si>
    <t>48893P</t>
  </si>
  <si>
    <t>454742XXXXXXX2207</t>
  </si>
  <si>
    <t>70377P</t>
  </si>
  <si>
    <t>525303XXXXXXX8855</t>
  </si>
  <si>
    <t>H97805</t>
  </si>
  <si>
    <t>545140XXXXXXX5734</t>
  </si>
  <si>
    <t>371784XXXXXX2009</t>
  </si>
  <si>
    <t>490172XXXXXXX9514</t>
  </si>
  <si>
    <t>549167XXXXXXX1226</t>
  </si>
  <si>
    <t>434956XXXXXXX2502</t>
  </si>
  <si>
    <t>498408XXXXXXX8231</t>
  </si>
  <si>
    <t>376601XXXXXX2004</t>
  </si>
  <si>
    <t>465375XXXXXXX8522</t>
  </si>
  <si>
    <t>540477XXXXXXX8060</t>
  </si>
  <si>
    <t>525642XXXXXXX3329</t>
  </si>
  <si>
    <t>525303XXXXXXX0455</t>
  </si>
  <si>
    <t>T79468</t>
  </si>
  <si>
    <t>414763XXXXXXX2303</t>
  </si>
  <si>
    <t>444054XXXXXXX0667</t>
  </si>
  <si>
    <t>498408XXXXXXX8067</t>
  </si>
  <si>
    <t>554906XXXXXXX8829</t>
  </si>
  <si>
    <t>520079XXXXXXX8779</t>
  </si>
  <si>
    <t>539123XXXXXXX0788</t>
  </si>
  <si>
    <t>452407XXXXXXX6165</t>
  </si>
  <si>
    <t>552289XXXXXXX3397</t>
  </si>
  <si>
    <t>490762XXXXXXX9422</t>
  </si>
  <si>
    <t>439027XXXXXXX4836</t>
  </si>
  <si>
    <t>553636XXXXXXX8568</t>
  </si>
  <si>
    <t>422061XXXXXXX2026</t>
  </si>
  <si>
    <t>549167XXXXXXX3900</t>
  </si>
  <si>
    <t>454031XXXXXXX7025</t>
  </si>
  <si>
    <t>554906XXXXXXX2039</t>
  </si>
  <si>
    <t>546452XXXXXXX3710</t>
  </si>
  <si>
    <t>515590XXXXXXX0622</t>
  </si>
  <si>
    <t>377854XXXXXX1004</t>
  </si>
  <si>
    <t>498406XXXXXXX8262</t>
  </si>
  <si>
    <t>536805XXXXXXX2949</t>
  </si>
  <si>
    <t>421958XXXXXXX7801</t>
  </si>
  <si>
    <t>512215XXXXXXX3376</t>
  </si>
  <si>
    <t>539659XXXXXXX9767</t>
  </si>
  <si>
    <t>B16131</t>
  </si>
  <si>
    <t>552305XXXXXXX8657</t>
  </si>
  <si>
    <t>490638XXXXXXX9117</t>
  </si>
  <si>
    <t>522174XXXXXXX4768</t>
  </si>
  <si>
    <t>T06371</t>
  </si>
  <si>
    <t>552273XXXXXXX4269</t>
  </si>
  <si>
    <t>377825XXXXXX0154</t>
  </si>
  <si>
    <t>461725XXXXXXX4178</t>
  </si>
  <si>
    <t>531663XXXXXXX7888</t>
  </si>
  <si>
    <t>530049XXXXXXX2690</t>
  </si>
  <si>
    <t>427901XXXXXXX3000</t>
  </si>
  <si>
    <t>427230XXXXXXX8480</t>
  </si>
  <si>
    <t>535298XXXXXXX4228</t>
  </si>
  <si>
    <t>412187XXXXXXX7041</t>
  </si>
  <si>
    <t>371152XXXXXX4000</t>
  </si>
  <si>
    <t>H76678</t>
  </si>
  <si>
    <t>414720XXXXXXX0394</t>
  </si>
  <si>
    <t>03770I</t>
  </si>
  <si>
    <t>06484I</t>
  </si>
  <si>
    <t>529930XXXXXXX7288</t>
  </si>
  <si>
    <t>T13399</t>
  </si>
  <si>
    <t>496670XXXXXXX6210</t>
  </si>
  <si>
    <t>375203XXXXXX1006</t>
  </si>
  <si>
    <t>376426XXXXXX6006</t>
  </si>
  <si>
    <t>522840XXXXXXX3327</t>
  </si>
  <si>
    <t>405071XXXXXXX0889</t>
  </si>
  <si>
    <t>379718XXXXXX1019</t>
  </si>
  <si>
    <t>406669XXXXXXX6767</t>
  </si>
  <si>
    <t>481776XXXXXXX1014</t>
  </si>
  <si>
    <t>377273XXXXXX2000</t>
  </si>
  <si>
    <t>498401XXXXXXX1193</t>
  </si>
  <si>
    <t>534126XXXXXXX6202</t>
  </si>
  <si>
    <t>371784XXXXXX2019</t>
  </si>
  <si>
    <t>421847XXXXXXX6067</t>
  </si>
  <si>
    <t>515601XXXXXXX8163</t>
  </si>
  <si>
    <t>459080XXXXXXX2693</t>
  </si>
  <si>
    <t>485720XXXXXXX6638</t>
  </si>
  <si>
    <t>414709XXXXXXX7399</t>
  </si>
  <si>
    <t>05797D</t>
  </si>
  <si>
    <t>498408XXXXXXX4352</t>
  </si>
  <si>
    <t>548699XXXXXXX5362</t>
  </si>
  <si>
    <t>453091XXXXXXX2036</t>
  </si>
  <si>
    <t>498408XXXXXXX7267</t>
  </si>
  <si>
    <t>414720XXXXXXX9759</t>
  </si>
  <si>
    <t>02203I</t>
  </si>
  <si>
    <t>459315XXXXXXX1541</t>
  </si>
  <si>
    <t>523421XXXXXXX1950</t>
  </si>
  <si>
    <t>AE5DKI</t>
  </si>
  <si>
    <t>425850XXXXXXX9016</t>
  </si>
  <si>
    <t>438088XXXXXXX1943</t>
  </si>
  <si>
    <t>48470P</t>
  </si>
  <si>
    <t>529932XXXXXXX9328</t>
  </si>
  <si>
    <t>414720XXXXXXX5582</t>
  </si>
  <si>
    <t>09205I</t>
  </si>
  <si>
    <t>00059Z</t>
  </si>
  <si>
    <t>2943-2954</t>
  </si>
  <si>
    <t>08/01/2018</t>
  </si>
  <si>
    <t>Pago Deuda Tarjeta Crédito US$</t>
  </si>
  <si>
    <t>17/01/2018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</si>
  <si>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</si>
  <si>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</si>
  <si>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</si>
  <si>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</si>
  <si>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</si>
  <si>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Sueldo Ene18</t>
  </si>
  <si>
    <t>20/01/2018</t>
  </si>
  <si>
    <t>96.982.330-6</t>
  </si>
  <si>
    <t>21066477</t>
  </si>
  <si>
    <t xml:space="preserve">CESPA Ltda                                   </t>
  </si>
  <si>
    <t>MONTO CANCELADO</t>
  </si>
  <si>
    <t>01/02/2018</t>
  </si>
  <si>
    <t>02/02/2018</t>
  </si>
  <si>
    <t>Cta USD</t>
  </si>
  <si>
    <t>EGT</t>
  </si>
  <si>
    <t>Envío</t>
  </si>
  <si>
    <t>Pasajes</t>
  </si>
  <si>
    <t>Comidas</t>
  </si>
  <si>
    <t>Anulacion pasajes</t>
  </si>
  <si>
    <t>NORTE VERDE</t>
  </si>
  <si>
    <t>EASY</t>
  </si>
  <si>
    <t>VICENTE</t>
  </si>
  <si>
    <t>JUTURI</t>
  </si>
  <si>
    <t>STARKEN</t>
  </si>
  <si>
    <t>MARIO RAMOS</t>
  </si>
  <si>
    <t>02/02/2018 07:29</t>
  </si>
  <si>
    <t>066834</t>
  </si>
  <si>
    <t>02/02/2018 21:45</t>
  </si>
  <si>
    <t>423221</t>
  </si>
  <si>
    <t>03/02/2018 10:00</t>
  </si>
  <si>
    <t>060750</t>
  </si>
  <si>
    <t>03/02/2018 10:24</t>
  </si>
  <si>
    <t>465375XXXXXXX8530</t>
  </si>
  <si>
    <t>091677</t>
  </si>
  <si>
    <t>06/02/2018 10:51</t>
  </si>
  <si>
    <t>448165XXXXXXX6224</t>
  </si>
  <si>
    <t>692267</t>
  </si>
  <si>
    <t>06/02/2018 10:53</t>
  </si>
  <si>
    <t>465922XXXXXXX3120</t>
  </si>
  <si>
    <t>010101</t>
  </si>
  <si>
    <t>06/02/2018 10:54</t>
  </si>
  <si>
    <t>531000XXXXXXX7416</t>
  </si>
  <si>
    <t>282205</t>
  </si>
  <si>
    <t>06/02/2018 11:05</t>
  </si>
  <si>
    <t>490172XXXXXXX2789</t>
  </si>
  <si>
    <t>063711</t>
  </si>
  <si>
    <t>06/02/2018 11:06</t>
  </si>
  <si>
    <t>474843XXXXXXX0537</t>
  </si>
  <si>
    <t>738173</t>
  </si>
  <si>
    <t>06/02/2018 11:08</t>
  </si>
  <si>
    <t>374971XXXXXX3007</t>
  </si>
  <si>
    <t>90</t>
  </si>
  <si>
    <t>06/02/2018 11:10</t>
  </si>
  <si>
    <t>375250XXXXXX5006</t>
  </si>
  <si>
    <t>41</t>
  </si>
  <si>
    <t>06/02/2018 11:14</t>
  </si>
  <si>
    <t>436541XXXXXXX4386</t>
  </si>
  <si>
    <t>023449</t>
  </si>
  <si>
    <t>06/02/2018 11:16</t>
  </si>
  <si>
    <t>522840XXXXXXX9219</t>
  </si>
  <si>
    <t>174472</t>
  </si>
  <si>
    <t>06/02/2018 11:19</t>
  </si>
  <si>
    <t>555947XXXXXXX0285</t>
  </si>
  <si>
    <t>3XS3Y1</t>
  </si>
  <si>
    <t>06/02/2018 11:21</t>
  </si>
  <si>
    <t>528057XXXXXXX9101</t>
  </si>
  <si>
    <t>243900</t>
  </si>
  <si>
    <t>06/02/2018 11:53</t>
  </si>
  <si>
    <t>498453XXXXXXX2679</t>
  </si>
  <si>
    <t>677862</t>
  </si>
  <si>
    <t>06/02/2018 16:12</t>
  </si>
  <si>
    <t>H38605</t>
  </si>
  <si>
    <t>07/02/2018 11:08</t>
  </si>
  <si>
    <t>971287</t>
  </si>
  <si>
    <t>07/02/2018 11:11</t>
  </si>
  <si>
    <t>552252XXXXXXX5409</t>
  </si>
  <si>
    <t>480907</t>
  </si>
  <si>
    <t>07/02/2018 13:32</t>
  </si>
  <si>
    <t>621996XXXXXXXXX9017</t>
  </si>
  <si>
    <t>051732</t>
  </si>
  <si>
    <t>07/02/2018 13:38</t>
  </si>
  <si>
    <t>475774XXXXXXX3527</t>
  </si>
  <si>
    <t>000588</t>
  </si>
  <si>
    <t>08/02/2018 09:33</t>
  </si>
  <si>
    <t>527496XXXXXXX2489</t>
  </si>
  <si>
    <t>045790</t>
  </si>
  <si>
    <t>09/02/2018 11:35</t>
  </si>
  <si>
    <t>663757</t>
  </si>
  <si>
    <t>10/02/2018 10:00</t>
  </si>
  <si>
    <t>297858</t>
  </si>
  <si>
    <t>10/02/2018 10:12</t>
  </si>
  <si>
    <t>024728</t>
  </si>
  <si>
    <t>11/02/2018 16:42</t>
  </si>
  <si>
    <t>51</t>
  </si>
  <si>
    <t>11/02/2018 17:45</t>
  </si>
  <si>
    <t>516292XXXXXXX7762</t>
  </si>
  <si>
    <t>PIT5Y7</t>
  </si>
  <si>
    <t>12/02/2018 12:01</t>
  </si>
  <si>
    <t>558727XXXXXXX3256</t>
  </si>
  <si>
    <t>448923</t>
  </si>
  <si>
    <t>12/02/2018 13:30</t>
  </si>
  <si>
    <t>733098</t>
  </si>
  <si>
    <t>13/02/2018 13:45</t>
  </si>
  <si>
    <t>439226XXXXXXX5226</t>
  </si>
  <si>
    <t>987546</t>
  </si>
  <si>
    <t>13/02/2018 13:46</t>
  </si>
  <si>
    <t>465901XXXXXXX7025</t>
  </si>
  <si>
    <t>098759</t>
  </si>
  <si>
    <t>13/02/2018 13:48</t>
  </si>
  <si>
    <t>414720XXXXXXX5821</t>
  </si>
  <si>
    <t>08023I</t>
  </si>
  <si>
    <t>13/02/2018 13:49</t>
  </si>
  <si>
    <t>414720XXXXXXX5332</t>
  </si>
  <si>
    <t>01766I</t>
  </si>
  <si>
    <t>13/02/2018 13:50</t>
  </si>
  <si>
    <t>549162XXXXXXX7786</t>
  </si>
  <si>
    <t>111395</t>
  </si>
  <si>
    <t>13/02/2018 13:52</t>
  </si>
  <si>
    <t>534207XXXXXXX6789</t>
  </si>
  <si>
    <t>008474</t>
  </si>
  <si>
    <t>13/02/2018 13:56</t>
  </si>
  <si>
    <t>540477XXXXXXX2583</t>
  </si>
  <si>
    <t>526992</t>
  </si>
  <si>
    <t>13/02/2018 13:58</t>
  </si>
  <si>
    <t>451248XXXXXXX4730</t>
  </si>
  <si>
    <t>984358</t>
  </si>
  <si>
    <t>13/02/2018 14:00</t>
  </si>
  <si>
    <t>04081I</t>
  </si>
  <si>
    <t>13/02/2018 14:02</t>
  </si>
  <si>
    <t>496672XXXXXXX1073</t>
  </si>
  <si>
    <t>431039</t>
  </si>
  <si>
    <t>13/02/2018 14:27</t>
  </si>
  <si>
    <t>497992XXXXXXX8712</t>
  </si>
  <si>
    <t>436412</t>
  </si>
  <si>
    <t>13/02/2018 14:29</t>
  </si>
  <si>
    <t>490979XXXXXXX0379</t>
  </si>
  <si>
    <t>654543</t>
  </si>
  <si>
    <t>13/02/2018 14:31</t>
  </si>
  <si>
    <t>377852XXXXXX7706</t>
  </si>
  <si>
    <t>34</t>
  </si>
  <si>
    <t>13/02/2018 14:32</t>
  </si>
  <si>
    <t>426354XXXXXXX5303</t>
  </si>
  <si>
    <t>575096</t>
  </si>
  <si>
    <t>13/02/2018 14:40</t>
  </si>
  <si>
    <t>521892XXXXXXX0610</t>
  </si>
  <si>
    <t>271930</t>
  </si>
  <si>
    <t>13/02/2018 16:45</t>
  </si>
  <si>
    <t>554965XXXXXXX5804</t>
  </si>
  <si>
    <t>069331</t>
  </si>
  <si>
    <t>14/02/2018 07:49</t>
  </si>
  <si>
    <t>454033XXXXXXX5025</t>
  </si>
  <si>
    <t>041047</t>
  </si>
  <si>
    <t>14/02/2018 09:12</t>
  </si>
  <si>
    <t>806976</t>
  </si>
  <si>
    <t>14/02/2018 10:48</t>
  </si>
  <si>
    <t>004332</t>
  </si>
  <si>
    <t>14/02/2018 15:22</t>
  </si>
  <si>
    <t>552188XXXXXXX8789</t>
  </si>
  <si>
    <t>027868</t>
  </si>
  <si>
    <t>14/02/2018 16:40</t>
  </si>
  <si>
    <t>422061XXXXXXX8963</t>
  </si>
  <si>
    <t>414152</t>
  </si>
  <si>
    <t>14/02/2018 17:27</t>
  </si>
  <si>
    <t>414912XXXXXXX8170</t>
  </si>
  <si>
    <t>024933</t>
  </si>
  <si>
    <t>15/02/2018 16:28</t>
  </si>
  <si>
    <t>448165XXXXXXX0389</t>
  </si>
  <si>
    <t>349051</t>
  </si>
  <si>
    <t>15/02/2018 17:48</t>
  </si>
  <si>
    <t>515590XXXXXXX9189</t>
  </si>
  <si>
    <t>494280</t>
  </si>
  <si>
    <t>17/02/2018 10:29</t>
  </si>
  <si>
    <t>416143</t>
  </si>
  <si>
    <t>17/02/2018 12:38</t>
  </si>
  <si>
    <t>422617</t>
  </si>
  <si>
    <t>18/02/2018 11:39</t>
  </si>
  <si>
    <t>498406XXXXXXX4816</t>
  </si>
  <si>
    <t>028664</t>
  </si>
  <si>
    <t>18/02/2018 11:40</t>
  </si>
  <si>
    <t>498401XXXXXXX9700</t>
  </si>
  <si>
    <t>031302</t>
  </si>
  <si>
    <t>19/02/2018 10:35</t>
  </si>
  <si>
    <t>450838XXXXXXX5039</t>
  </si>
  <si>
    <t>471441</t>
  </si>
  <si>
    <t>19/02/2018 19:22</t>
  </si>
  <si>
    <t>520953XXXXXXX6801</t>
  </si>
  <si>
    <t>026229</t>
  </si>
  <si>
    <t>20/02/2018 13:22</t>
  </si>
  <si>
    <t>414746XXXXXXX1298</t>
  </si>
  <si>
    <t>328145</t>
  </si>
  <si>
    <t>20/02/2018 13:25</t>
  </si>
  <si>
    <t>404159XXXXXXX8233</t>
  </si>
  <si>
    <t>397086</t>
  </si>
  <si>
    <t>20/02/2018 13:26</t>
  </si>
  <si>
    <t>490172XXXXXXX9697</t>
  </si>
  <si>
    <t>027135</t>
  </si>
  <si>
    <t>20/02/2018 13:32</t>
  </si>
  <si>
    <t>422061XXXXXXX3045</t>
  </si>
  <si>
    <t>340658</t>
  </si>
  <si>
    <t>20/02/2018 13:33</t>
  </si>
  <si>
    <t>459080XXXXXXX5470</t>
  </si>
  <si>
    <t>049967</t>
  </si>
  <si>
    <t>20/02/2018 13:34</t>
  </si>
  <si>
    <t>544883XXXXXXX3591</t>
  </si>
  <si>
    <t>052273</t>
  </si>
  <si>
    <t>20/02/2018 13:41</t>
  </si>
  <si>
    <t>521892XXXXXXX1489</t>
  </si>
  <si>
    <t>619850</t>
  </si>
  <si>
    <t>20/02/2018 13:43</t>
  </si>
  <si>
    <t>552289XXXXXXX3962</t>
  </si>
  <si>
    <t>062971</t>
  </si>
  <si>
    <t>20/02/2018 13:44</t>
  </si>
  <si>
    <t>415966XXXXXXX4849</t>
  </si>
  <si>
    <t>008611</t>
  </si>
  <si>
    <t>20/02/2018 13:46</t>
  </si>
  <si>
    <t>450883XXXXXXX8503</t>
  </si>
  <si>
    <t>725984</t>
  </si>
  <si>
    <t>20/02/2018 15:48</t>
  </si>
  <si>
    <t>086929</t>
  </si>
  <si>
    <t>20/02/2018 16:36</t>
  </si>
  <si>
    <t>054118</t>
  </si>
  <si>
    <t>21/02/2018 10:03</t>
  </si>
  <si>
    <t>058406</t>
  </si>
  <si>
    <t>21/02/2018 16:39</t>
  </si>
  <si>
    <t>371388XXXXXX2001</t>
  </si>
  <si>
    <t>46</t>
  </si>
  <si>
    <t>21/02/2018 16:47</t>
  </si>
  <si>
    <t>21/02/2018 21:19</t>
  </si>
  <si>
    <t>542598XXXXXXX3382</t>
  </si>
  <si>
    <t>038101</t>
  </si>
  <si>
    <t>22/02/2018 07:09</t>
  </si>
  <si>
    <t>031171</t>
  </si>
  <si>
    <t>22/02/2018 07:51</t>
  </si>
  <si>
    <t>099508</t>
  </si>
  <si>
    <t>22/02/2018 11:42</t>
  </si>
  <si>
    <t>540448XXXXXXX1064</t>
  </si>
  <si>
    <t>429090</t>
  </si>
  <si>
    <t>22/02/2018 11:44</t>
  </si>
  <si>
    <t>421847XXXXXXX3603</t>
  </si>
  <si>
    <t>068905</t>
  </si>
  <si>
    <t>22/02/2018 11:48</t>
  </si>
  <si>
    <t>377782XXXXXX8600</t>
  </si>
  <si>
    <t>70</t>
  </si>
  <si>
    <t>22/02/2018 11:55</t>
  </si>
  <si>
    <t>544038XXXXXXX8316</t>
  </si>
  <si>
    <t>257419</t>
  </si>
  <si>
    <t>22/02/2018 11:57</t>
  </si>
  <si>
    <t>440066XXXXXXX8854</t>
  </si>
  <si>
    <t>09492B</t>
  </si>
  <si>
    <t>22/02/2018 11:59</t>
  </si>
  <si>
    <t>414720XXXXXXX4064</t>
  </si>
  <si>
    <t>03679I</t>
  </si>
  <si>
    <t>22/02/2018 12:01</t>
  </si>
  <si>
    <t>419351XXXXXXX3008</t>
  </si>
  <si>
    <t>996403</t>
  </si>
  <si>
    <t>22/02/2018 12:03</t>
  </si>
  <si>
    <t>521892XXXXXXX8907</t>
  </si>
  <si>
    <t>698324</t>
  </si>
  <si>
    <t>22/02/2018 12:05</t>
  </si>
  <si>
    <t>521892XXXXXXX9643</t>
  </si>
  <si>
    <t>706923</t>
  </si>
  <si>
    <t>22/02/2018 12:15</t>
  </si>
  <si>
    <t>452088XXXXXXX8427</t>
  </si>
  <si>
    <t>02291I</t>
  </si>
  <si>
    <t>22/02/2018 12:32</t>
  </si>
  <si>
    <t>439188XXXXXXX2013</t>
  </si>
  <si>
    <t>896479</t>
  </si>
  <si>
    <t>22/02/2018 13:35</t>
  </si>
  <si>
    <t>510058XXXXXXX7103</t>
  </si>
  <si>
    <t>011690</t>
  </si>
  <si>
    <t>22/02/2018 14:56</t>
  </si>
  <si>
    <t>462705XXXXXXX3787</t>
  </si>
  <si>
    <t>744887</t>
  </si>
  <si>
    <t>22/02/2018 21:26</t>
  </si>
  <si>
    <t>523253XXXXXXX2388</t>
  </si>
  <si>
    <t>252966</t>
  </si>
  <si>
    <t>22/02/2018 22:27</t>
  </si>
  <si>
    <t>11</t>
  </si>
  <si>
    <t>22/02/2018 22:41</t>
  </si>
  <si>
    <t>88</t>
  </si>
  <si>
    <t>23/02/2018 13:48</t>
  </si>
  <si>
    <t>T00045</t>
  </si>
  <si>
    <t>23/02/2018 22:05</t>
  </si>
  <si>
    <t>032460</t>
  </si>
  <si>
    <t>24/02/2018 11:04</t>
  </si>
  <si>
    <t>09510D</t>
  </si>
  <si>
    <t>24/02/2018 12:06</t>
  </si>
  <si>
    <t>549167XXXXXXX8726</t>
  </si>
  <si>
    <t>010066</t>
  </si>
  <si>
    <t>24/02/2018 12:09</t>
  </si>
  <si>
    <t>555233XXXXXXX7885</t>
  </si>
  <si>
    <t>015337</t>
  </si>
  <si>
    <t>24/02/2018 13:11</t>
  </si>
  <si>
    <t>498406XXXXXXX5693</t>
  </si>
  <si>
    <t>058062</t>
  </si>
  <si>
    <t>24/02/2018 15:12</t>
  </si>
  <si>
    <t>497402XXXXXXX2113</t>
  </si>
  <si>
    <t>962727</t>
  </si>
  <si>
    <t>24/02/2018 16:56</t>
  </si>
  <si>
    <t>04331I</t>
  </si>
  <si>
    <t>25/02/2018 12:01</t>
  </si>
  <si>
    <t>656757</t>
  </si>
  <si>
    <t>25/02/2018 12:52</t>
  </si>
  <si>
    <t>051269</t>
  </si>
  <si>
    <t>25/02/2018 13:21</t>
  </si>
  <si>
    <t>469107XXXXXXX5942</t>
  </si>
  <si>
    <t>009752</t>
  </si>
  <si>
    <t>25/02/2018 13:22</t>
  </si>
  <si>
    <t>536568XXXXXXX6385</t>
  </si>
  <si>
    <t>890178</t>
  </si>
  <si>
    <t>25/02/2018 13:26</t>
  </si>
  <si>
    <t>555233XXXXXXX7901</t>
  </si>
  <si>
    <t>011867</t>
  </si>
  <si>
    <t>25/02/2018 13:27</t>
  </si>
  <si>
    <t>556658XXXXXXX3500</t>
  </si>
  <si>
    <t>078745</t>
  </si>
  <si>
    <t>25/02/2018 13:29</t>
  </si>
  <si>
    <t>414709XXXXXXX0817</t>
  </si>
  <si>
    <t>01709D</t>
  </si>
  <si>
    <t>25/02/2018 13:30</t>
  </si>
  <si>
    <t>490843XXXXXXX8930</t>
  </si>
  <si>
    <t>183691</t>
  </si>
  <si>
    <t>25/02/2018 13:34</t>
  </si>
  <si>
    <t>547341XXXXXXX6839</t>
  </si>
  <si>
    <t>065061</t>
  </si>
  <si>
    <t>25/02/2018 16:48</t>
  </si>
  <si>
    <t>375388XXXXXX1009</t>
  </si>
  <si>
    <t>45</t>
  </si>
  <si>
    <t>25/02/2018 17:24</t>
  </si>
  <si>
    <t>98</t>
  </si>
  <si>
    <t>26/02/2018 10:49</t>
  </si>
  <si>
    <t>459078XXXXXXX9312</t>
  </si>
  <si>
    <t>035849</t>
  </si>
  <si>
    <t>26/02/2018 11:40</t>
  </si>
  <si>
    <t>490172XXXXXXX1046</t>
  </si>
  <si>
    <t>065023</t>
  </si>
  <si>
    <t>26/02/2018 12:05</t>
  </si>
  <si>
    <t>452407XXXXXXX2068</t>
  </si>
  <si>
    <t>069508</t>
  </si>
  <si>
    <t>26/02/2018 12:07</t>
  </si>
  <si>
    <t>142863</t>
  </si>
  <si>
    <t>26/02/2018 15:26</t>
  </si>
  <si>
    <t>670107</t>
  </si>
  <si>
    <t>27/02/2018 11:55</t>
  </si>
  <si>
    <t>01054I</t>
  </si>
  <si>
    <t>27/02/2018 12:40</t>
  </si>
  <si>
    <t>521892XXXXXXX5890</t>
  </si>
  <si>
    <t>758579</t>
  </si>
  <si>
    <t>27/02/2018 14:51</t>
  </si>
  <si>
    <t>439027XXXXXXX8565</t>
  </si>
  <si>
    <t>625920</t>
  </si>
  <si>
    <t>28/02/2018 10:05</t>
  </si>
  <si>
    <t>525303XXXXXXX4418</t>
  </si>
  <si>
    <t>H04392</t>
  </si>
  <si>
    <t>28/02/2018 10:07</t>
  </si>
  <si>
    <t>067937</t>
  </si>
  <si>
    <t>28/02/2018 10:55</t>
  </si>
  <si>
    <t>545719XXXXXXX1557</t>
  </si>
  <si>
    <t>022942</t>
  </si>
  <si>
    <t>28/02/2018 16:07</t>
  </si>
  <si>
    <t>406997XXXXXXX9997</t>
  </si>
  <si>
    <t>019471</t>
  </si>
  <si>
    <t>28/02/2018 16:09</t>
  </si>
  <si>
    <t>518899XXXXXXX9595</t>
  </si>
  <si>
    <t>010649</t>
  </si>
  <si>
    <t>28/02/2018 16:10</t>
  </si>
  <si>
    <t>419731XXXXXXX0029</t>
  </si>
  <si>
    <t>011566</t>
  </si>
  <si>
    <t>28/02/2018 16:12</t>
  </si>
  <si>
    <t>493717XXXXXXX6588</t>
  </si>
  <si>
    <t>002421</t>
  </si>
  <si>
    <t>28/02/2018 16:15</t>
  </si>
  <si>
    <t>465375XXXXXXX4086</t>
  </si>
  <si>
    <t>519846</t>
  </si>
  <si>
    <t>28/02/2018 16:52</t>
  </si>
  <si>
    <t>525303XXXXXXX1532</t>
  </si>
  <si>
    <t>H34869</t>
  </si>
  <si>
    <t>28/02/2018 19:41</t>
  </si>
  <si>
    <t>497993XXXXXXX8986</t>
  </si>
  <si>
    <t>470357</t>
  </si>
  <si>
    <t>25/02/2018 13:32</t>
  </si>
  <si>
    <t>521892XXXXXXX6309</t>
  </si>
  <si>
    <t>107020</t>
  </si>
  <si>
    <t>28/02/2018 15:40</t>
  </si>
  <si>
    <t>143785</t>
  </si>
  <si>
    <t>22/02/2018 12:11</t>
  </si>
  <si>
    <t>454812XXXXXXX8863</t>
  </si>
  <si>
    <t>858788</t>
  </si>
  <si>
    <t>28/02/2018 20:58</t>
  </si>
  <si>
    <t>522832XXXXXXX9173</t>
  </si>
  <si>
    <t>934100</t>
  </si>
  <si>
    <t>22/02/2018 12:07</t>
  </si>
  <si>
    <t>434956XXXXXXX6344</t>
  </si>
  <si>
    <t>570130</t>
  </si>
  <si>
    <t>28/02/2018 21:02</t>
  </si>
  <si>
    <t>450881XXXXXXX9638</t>
  </si>
  <si>
    <t>693603</t>
  </si>
  <si>
    <t>Mario Arantes</t>
  </si>
  <si>
    <t>James Stevens</t>
  </si>
  <si>
    <t>Cid Fernandes de Castro Filho</t>
  </si>
  <si>
    <t>Eugenio Severin</t>
  </si>
  <si>
    <t>Cecilia Fanta</t>
  </si>
  <si>
    <t>Catarina Mazetto de Arruda Fernandes</t>
  </si>
  <si>
    <t>ALVARO FERRAZ</t>
  </si>
  <si>
    <t>Peter Stocher</t>
  </si>
  <si>
    <t>BASILIO marchirori FILHO</t>
  </si>
  <si>
    <t>Telma Regina Nogueira Able</t>
  </si>
  <si>
    <t>Priscilla Nogueira Able</t>
  </si>
  <si>
    <t>Claude Murray</t>
  </si>
  <si>
    <t>Adriana Dias de Jesus</t>
  </si>
  <si>
    <t>Maria Clarissa de Faria Soares Rodrigues</t>
  </si>
  <si>
    <t>YIN QI</t>
  </si>
  <si>
    <t>Reda Tittel</t>
  </si>
  <si>
    <t>Wolfgang Tittel</t>
  </si>
  <si>
    <t>Reinhold Stich</t>
  </si>
  <si>
    <t>Tania Amador</t>
  </si>
  <si>
    <t>Ruy Beck</t>
  </si>
  <si>
    <t>wendy Lo</t>
  </si>
  <si>
    <t>Paulo Josafa de Araujo Filho</t>
  </si>
  <si>
    <t>EDUARDO Jardim</t>
  </si>
  <si>
    <t>Camilo Sanchez</t>
  </si>
  <si>
    <t>camilo sanchez</t>
  </si>
  <si>
    <t>Felipe Eduardo Mendez Guajardo</t>
  </si>
  <si>
    <t>Sergio Bozzo</t>
  </si>
  <si>
    <t>oscar chávez</t>
  </si>
  <si>
    <t>Justin Folkestad</t>
  </si>
  <si>
    <t>Rima Patel</t>
  </si>
  <si>
    <t>Marco Antonini</t>
  </si>
  <si>
    <t>Gabriel Villavicencio</t>
  </si>
  <si>
    <t>Justine RIVAUD</t>
  </si>
  <si>
    <t>MARCELO ANJOS</t>
  </si>
  <si>
    <t>Vanessa Araf</t>
  </si>
  <si>
    <t>Arpad Hajnoczy</t>
  </si>
  <si>
    <t>Szilard Donka</t>
  </si>
  <si>
    <t>Danielle Menezes</t>
  </si>
  <si>
    <t>Catherine Stannard</t>
  </si>
  <si>
    <t>Mike Bennett</t>
  </si>
  <si>
    <t>fernando piotto</t>
  </si>
  <si>
    <t>Kristine Robichaud</t>
  </si>
  <si>
    <t>Varun Murthy</t>
  </si>
  <si>
    <t>Rajath Shetty</t>
  </si>
  <si>
    <t>Ting Karen</t>
  </si>
  <si>
    <t>Charles Castro</t>
  </si>
  <si>
    <t>Heraldo Martins</t>
  </si>
  <si>
    <t>Erica Maria Laurentino de Aquino</t>
  </si>
  <si>
    <t>Vanessa Casarin</t>
  </si>
  <si>
    <t>Elio Casarin</t>
  </si>
  <si>
    <t>Sofia Vanesa Starasilis</t>
  </si>
  <si>
    <t>Luis Fernandez</t>
  </si>
  <si>
    <t>Julian Mossop</t>
  </si>
  <si>
    <t>Aloma Cornejo</t>
  </si>
  <si>
    <t>MARIAN BASSO</t>
  </si>
  <si>
    <t>Gabriella Lumachi</t>
  </si>
  <si>
    <t>Lisa Hees</t>
  </si>
  <si>
    <t>Sergey Nasonov</t>
  </si>
  <si>
    <t>Celia Emmott</t>
  </si>
  <si>
    <t>Marcelo Mohr</t>
  </si>
  <si>
    <t>Kev Chavez Lazaro</t>
  </si>
  <si>
    <t>ALEXANDER SANTA ANA</t>
  </si>
  <si>
    <t>MARIANA DUARTE</t>
  </si>
  <si>
    <t>wu xiaojin</t>
  </si>
  <si>
    <t>Rafie Kazemi</t>
  </si>
  <si>
    <t>BASILIO MARCHIRORI</t>
  </si>
  <si>
    <t>Yong Bao Tan</t>
  </si>
  <si>
    <t>Monica Valladares</t>
  </si>
  <si>
    <t>Georges Leonard</t>
  </si>
  <si>
    <t>Rob van Eijck</t>
  </si>
  <si>
    <t>Sebastian Ferrer</t>
  </si>
  <si>
    <t>Chris Mumford</t>
  </si>
  <si>
    <t>Eldar Mustafaiev</t>
  </si>
  <si>
    <t>Alessandro Di Profio</t>
  </si>
  <si>
    <t>Carlos Araya</t>
  </si>
  <si>
    <t>LISA HEES</t>
  </si>
  <si>
    <t>ANTONIO SERGIO PEREIRA</t>
  </si>
  <si>
    <t>mario cesar fischer</t>
  </si>
  <si>
    <t>Benjamin Hussain</t>
  </si>
  <si>
    <t>MAARCELO ANJOS</t>
  </si>
  <si>
    <t>ADRIANA DIAS DE JESUS</t>
  </si>
  <si>
    <t>CELIA EMMOT</t>
  </si>
  <si>
    <t>CAMILO SANCHEZ</t>
  </si>
  <si>
    <t>SERGIO BOZZO</t>
  </si>
  <si>
    <t>VANESSA CASARIN</t>
  </si>
  <si>
    <t>PAULO JOSAFA</t>
  </si>
  <si>
    <t>GABRIEL VILLAVICENCIO</t>
  </si>
  <si>
    <t>JAMES STEVENS</t>
  </si>
  <si>
    <t>ARPAD HAJNOCZY</t>
  </si>
  <si>
    <t>KAREN TING</t>
  </si>
  <si>
    <t>EDUARDO JARDIM</t>
  </si>
  <si>
    <t>CATHERINE STANNARD</t>
  </si>
  <si>
    <t>TELMA NOGUEIRA</t>
  </si>
  <si>
    <t>PETER STOCHER</t>
  </si>
  <si>
    <t>RAQUEL LOPEZ</t>
  </si>
  <si>
    <t>CATARINA MAZZETTO</t>
  </si>
  <si>
    <t>PRISCILLA ABLE</t>
  </si>
  <si>
    <t>MARIO ARANTES</t>
  </si>
  <si>
    <t>GUSTAVO SZERESZEWSKI</t>
  </si>
  <si>
    <t>KEV CHAVEZ</t>
  </si>
  <si>
    <t>REINHOLD STICH</t>
  </si>
  <si>
    <t>LUIS FERNANDEZ</t>
  </si>
  <si>
    <t>VANESSA ARAF</t>
  </si>
  <si>
    <t>WENDY LO</t>
  </si>
  <si>
    <t>MARIA RODRIGUES</t>
  </si>
  <si>
    <t>EDUARDO GENERALI</t>
  </si>
  <si>
    <t>CECILIA FANTA</t>
  </si>
  <si>
    <t>SERGEY NASONOV</t>
  </si>
  <si>
    <t>YONG BAO TAN</t>
  </si>
  <si>
    <t>XIAOJIN WU</t>
  </si>
  <si>
    <t>MARCO ANTONINI</t>
  </si>
  <si>
    <t>RUY BECK</t>
  </si>
  <si>
    <t>RIMA PATEL</t>
  </si>
  <si>
    <t>ROB VAN EIJICK</t>
  </si>
  <si>
    <t>MIKE BENETT</t>
  </si>
  <si>
    <t>CID FERNANDES</t>
  </si>
  <si>
    <t>JUSTIN FOLKESTAD</t>
  </si>
  <si>
    <t>QI YIN</t>
  </si>
  <si>
    <t>REDA TITTEL</t>
  </si>
  <si>
    <t>ELDAR MUSTAFAIEV</t>
  </si>
  <si>
    <t>ALOMA CORNEJO</t>
  </si>
  <si>
    <t>KRITINE ROBICHAUD</t>
  </si>
  <si>
    <t>CHARLES CASTROS</t>
  </si>
  <si>
    <t>ALESSANDRO DI PROFIO</t>
  </si>
  <si>
    <t>CLAUSIO TEXEIRA</t>
  </si>
  <si>
    <t>GEORGES LEONARD</t>
  </si>
  <si>
    <t>FERNANDO PIOTTO</t>
  </si>
  <si>
    <t>RAFIE KAZEMI</t>
  </si>
  <si>
    <t>SEBASTIAN FERRER</t>
  </si>
  <si>
    <t>JUSTINE RIVAUD</t>
  </si>
  <si>
    <t>MONICA VALLADARES</t>
  </si>
  <si>
    <t>ALEXANDRE SANTA ANA</t>
  </si>
  <si>
    <t>HERALDO MARTINS</t>
  </si>
  <si>
    <t>OSCAR CHAVEZ</t>
  </si>
  <si>
    <t>CHRIS MUMFORD</t>
  </si>
  <si>
    <t>ANTONIO SEGIO PEREIRA</t>
  </si>
  <si>
    <t>MARIO CESAR FISCHER</t>
  </si>
  <si>
    <t>BENJAMIN HUSSAIN</t>
  </si>
  <si>
    <t>GABRIELLA LUMACHI</t>
  </si>
  <si>
    <t>CLAUDE MURRAY</t>
  </si>
  <si>
    <t>DANIELLE MENEZES</t>
  </si>
  <si>
    <t>FELIPE MENDEZ</t>
  </si>
  <si>
    <t>VARUN MURTHY</t>
  </si>
  <si>
    <t>RAJATH SHETTY</t>
  </si>
  <si>
    <t>JULIAN MOSSOP</t>
  </si>
  <si>
    <t>07-02-2018</t>
  </si>
  <si>
    <t>1288164488</t>
  </si>
  <si>
    <t>12-02-2018</t>
  </si>
  <si>
    <t>10770358</t>
  </si>
  <si>
    <t>15-02-2018</t>
  </si>
  <si>
    <t>TRANSFERENCIA DE FONDO</t>
  </si>
  <si>
    <t>1083</t>
  </si>
  <si>
    <t>1199000202</t>
  </si>
  <si>
    <t>19-02-2018</t>
  </si>
  <si>
    <t>10770185</t>
  </si>
  <si>
    <t>22-02-2018</t>
  </si>
  <si>
    <t>10770137</t>
  </si>
  <si>
    <t>26-02-2018</t>
  </si>
  <si>
    <t>10770369</t>
  </si>
  <si>
    <t>27-02-2018</t>
  </si>
  <si>
    <t>1288179658</t>
  </si>
  <si>
    <t>28-02-2018</t>
  </si>
  <si>
    <t>10770674</t>
  </si>
  <si>
    <t>2201 88845121</t>
  </si>
  <si>
    <t>COPEC CALAMA CALAMA</t>
  </si>
  <si>
    <t>2201 88862615</t>
  </si>
  <si>
    <t>2201 88862629</t>
  </si>
  <si>
    <t>2201 88393925</t>
  </si>
  <si>
    <t>21/01/2018</t>
  </si>
  <si>
    <t>RESTAURANT LA ESTAK S.P. DE ATAC</t>
  </si>
  <si>
    <t>0801 00000000</t>
  </si>
  <si>
    <t>1101 00000000</t>
  </si>
  <si>
    <t>11/01/2018</t>
  </si>
  <si>
    <t>1701 00000000</t>
  </si>
  <si>
    <t>0202 00000000</t>
  </si>
  <si>
    <t>0502 00000000</t>
  </si>
  <si>
    <t>05/02/2018</t>
  </si>
  <si>
    <t>28/02/2018</t>
  </si>
  <si>
    <t>27/02/2018</t>
  </si>
  <si>
    <t>26/02/2018</t>
  </si>
  <si>
    <t>22/02/2018</t>
  </si>
  <si>
    <t>20/02/2018</t>
  </si>
  <si>
    <t>19/02/2018</t>
  </si>
  <si>
    <t>5553258</t>
  </si>
  <si>
    <t>5553257</t>
  </si>
  <si>
    <t>16/02/2018</t>
  </si>
  <si>
    <t>5553256</t>
  </si>
  <si>
    <t>15/02/2018</t>
  </si>
  <si>
    <t>PENALOLEN</t>
  </si>
  <si>
    <t>Deposito Cheque/Documento Otros Bancos</t>
  </si>
  <si>
    <t>14/02/2018</t>
  </si>
  <si>
    <t>12/02/2018</t>
  </si>
  <si>
    <t>Amortización Línea De Sobregiro</t>
  </si>
  <si>
    <t>08/02/2018</t>
  </si>
  <si>
    <t>07/02/2018</t>
  </si>
  <si>
    <t>06/02/2018</t>
  </si>
  <si>
    <t>Transferencia Desde Línea Sobregiro a Cta Cte</t>
  </si>
  <si>
    <t>1402 ACV00000047420000474200</t>
  </si>
  <si>
    <t>1602 74579168047019719073005</t>
  </si>
  <si>
    <t>2702 24492158057637088278124</t>
  </si>
  <si>
    <t>25/02/2018</t>
  </si>
  <si>
    <t>0203 24492158060637234282454</t>
  </si>
  <si>
    <t>01/03/2018</t>
  </si>
  <si>
    <t>0203 24692168061100012397636</t>
  </si>
  <si>
    <t>02/03/2018</t>
  </si>
  <si>
    <t>51482025</t>
  </si>
  <si>
    <t>Fact 7511, 7362, 7476</t>
  </si>
  <si>
    <t>51482127</t>
  </si>
  <si>
    <t>Fact 12795</t>
  </si>
  <si>
    <t>51482196</t>
  </si>
  <si>
    <t>fact 5203</t>
  </si>
  <si>
    <t>51481923</t>
  </si>
  <si>
    <t>Fact 400565, 402413</t>
  </si>
  <si>
    <t>51474343</t>
  </si>
  <si>
    <t>86.520.500-7</t>
  </si>
  <si>
    <t>1636044001</t>
  </si>
  <si>
    <t xml:space="preserve">JOSE RIVEROS LLAMAZALES Y CIA LTDA           </t>
  </si>
  <si>
    <t>Cotizacion 103280</t>
  </si>
  <si>
    <t>51455655</t>
  </si>
  <si>
    <t>Sueldo Feb18</t>
  </si>
  <si>
    <t>51455500</t>
  </si>
  <si>
    <t>19.144.932-0</t>
  </si>
  <si>
    <t>19144932</t>
  </si>
  <si>
    <t xml:space="preserve">Claudio Caballero                            </t>
  </si>
  <si>
    <t>51455330</t>
  </si>
  <si>
    <t>51455615</t>
  </si>
  <si>
    <t>51455463</t>
  </si>
  <si>
    <t>51455574</t>
  </si>
  <si>
    <t>51455548</t>
  </si>
  <si>
    <t>51455423</t>
  </si>
  <si>
    <t>51455369</t>
  </si>
  <si>
    <t>51455685</t>
  </si>
  <si>
    <t>51455783</t>
  </si>
  <si>
    <t>51455730</t>
  </si>
  <si>
    <t>51220430</t>
  </si>
  <si>
    <t>8.297.484-9</t>
  </si>
  <si>
    <t>8297484</t>
  </si>
  <si>
    <t xml:space="preserve">Diana Paez ruiz                              </t>
  </si>
  <si>
    <t>Finiquito</t>
  </si>
  <si>
    <t>51220382</t>
  </si>
  <si>
    <t>51157355</t>
  </si>
  <si>
    <t>51111589</t>
  </si>
  <si>
    <t>Fact 159964</t>
  </si>
  <si>
    <t>51085232</t>
  </si>
  <si>
    <t>51085184</t>
  </si>
  <si>
    <t>50998792</t>
  </si>
  <si>
    <t>Contable Enero18</t>
  </si>
  <si>
    <t>50683712</t>
  </si>
  <si>
    <t>24.528.162-5</t>
  </si>
  <si>
    <t>24528162</t>
  </si>
  <si>
    <t xml:space="preserve">Junior Zaballos                              </t>
  </si>
  <si>
    <t>50683611</t>
  </si>
  <si>
    <t>50683487</t>
  </si>
  <si>
    <t>factura 367491</t>
  </si>
  <si>
    <t>10/02/2018</t>
  </si>
  <si>
    <t>Quemadores</t>
  </si>
  <si>
    <t>2302885-Transacciones operaciones financieras ABONO</t>
  </si>
  <si>
    <t>COMEX ORDEN PAGO ENTRANTE. OPE347620</t>
  </si>
  <si>
    <t>COMEX ORDEN PAGO ENTRANTE. OPE348098</t>
  </si>
  <si>
    <t>MANTENCION TARJETA DE DEBITO (UF 1,5?)</t>
  </si>
  <si>
    <t>2312934-Transacciones operaciones financieras ABONO</t>
  </si>
  <si>
    <t>COMEX ORDEN PAGO ENTRANTE. OPE346570</t>
  </si>
  <si>
    <t>2302885-Transacciones operaciones financieras CARGO</t>
  </si>
  <si>
    <t>COMEX ORDEN PAGO ENTRANTE. OPE347466</t>
  </si>
  <si>
    <t>COMEX ORDEN PAGO ENTRANTE. OPE348461</t>
  </si>
  <si>
    <t>COMEX ORDEN PAGO ENTRANTE. OPE348474</t>
  </si>
  <si>
    <t>COMEX ORDEN PAGO ENTRANTE. OPE349264</t>
  </si>
  <si>
    <t>2312934-Transacciones operaciones financieras CARGO</t>
  </si>
  <si>
    <t xml:space="preserve">LIDER </t>
  </si>
  <si>
    <t>MALL CHINO</t>
  </si>
  <si>
    <t>09/02/2018</t>
  </si>
  <si>
    <t>NORTH FACE</t>
  </si>
  <si>
    <t>SODIMAC</t>
  </si>
  <si>
    <t>13/02/2018</t>
  </si>
  <si>
    <t xml:space="preserve">STARKEN (SOLOR) </t>
  </si>
  <si>
    <t>ARREGLO COMPU RECEPCION</t>
  </si>
  <si>
    <t>MIGUEL GROSO</t>
  </si>
  <si>
    <t>S/B</t>
  </si>
  <si>
    <t xml:space="preserve">15 BIDONES AGUA </t>
  </si>
  <si>
    <t xml:space="preserve">ALMUERZO PERSONAL </t>
  </si>
  <si>
    <t>TOMATES</t>
  </si>
  <si>
    <t xml:space="preserve">LECHE </t>
  </si>
  <si>
    <t>VALIMPORT</t>
  </si>
  <si>
    <t>CARTA RENUNCIA ABRAHAN</t>
  </si>
  <si>
    <t>NOTARIA SPA</t>
  </si>
  <si>
    <t>ENVIO CARTA NILDA</t>
  </si>
  <si>
    <t>CHILEXPRESS</t>
  </si>
  <si>
    <t>COMBUSTIBLE CAMIONETA</t>
  </si>
  <si>
    <t>PILAS CAJA FUERTE</t>
  </si>
  <si>
    <t>SALAME</t>
  </si>
  <si>
    <t>HNOS VELIS</t>
  </si>
  <si>
    <t xml:space="preserve">PAN DE MOLDE, JAMON </t>
  </si>
  <si>
    <t xml:space="preserve">PARKING AGRO </t>
  </si>
  <si>
    <t>ROSAS SAN VALENTIN</t>
  </si>
  <si>
    <t>FLORERIA SPA</t>
  </si>
  <si>
    <t>FINIQUITO ABRAHAN</t>
  </si>
  <si>
    <t>JARROS CERAMICA TERRAZA PISCINA</t>
  </si>
  <si>
    <t>FDO. ALFARO</t>
  </si>
  <si>
    <t xml:space="preserve">PASAJE TURBUS </t>
  </si>
  <si>
    <t>TURBUS</t>
  </si>
  <si>
    <t>TAXI AEROPUERTO</t>
  </si>
  <si>
    <t>TAXI</t>
  </si>
  <si>
    <t>FRUTAS Y VERDURAS SPA</t>
  </si>
  <si>
    <t>CAMION CELESTE</t>
  </si>
  <si>
    <t>COPIA LLAVES</t>
  </si>
  <si>
    <t>LLAVES SPA</t>
  </si>
  <si>
    <t>12 BIDONES DE AGUA</t>
  </si>
  <si>
    <t>PAN DESAYUNI</t>
  </si>
  <si>
    <t>MELL</t>
  </si>
  <si>
    <t>MANTENCIÓN BICICLETA</t>
  </si>
  <si>
    <t>DR. BIKE</t>
  </si>
  <si>
    <t>GUANTES SILVIA</t>
  </si>
  <si>
    <t>PLASTILUZ</t>
  </si>
  <si>
    <t>BOLSAS SNAKCS</t>
  </si>
  <si>
    <t>PAN DESAYUNO</t>
  </si>
  <si>
    <t>BERTITA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</si>
</sst>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31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17" fillId="5" borderId="1" xfId="0" applyFont="1" applyFill="1" applyBorder="1"/>
    <xf numFmtId="167" fontId="17" fillId="5" borderId="1" xfId="1" applyNumberFormat="1" applyFont="1" applyFill="1" applyBorder="1" applyAlignment="1">
      <alignment horizontal="right"/>
    </xf>
    <xf numFmtId="14" fontId="17" fillId="5" borderId="1" xfId="0" applyNumberFormat="1" applyFont="1" applyFill="1" applyBorder="1" applyAlignment="1">
      <alignment horizontal="center"/>
    </xf>
    <xf numFmtId="170" fontId="19" fillId="4" borderId="1" xfId="1" applyNumberFormat="1" applyFont="1" applyFill="1" applyBorder="1"/>
    <xf numFmtId="167" fontId="19" fillId="4" borderId="1" xfId="1" applyNumberFormat="1" applyFont="1" applyFill="1" applyBorder="1"/>
    <xf numFmtId="41" fontId="7" fillId="0" borderId="1" xfId="49" applyFont="1" applyFill="1" applyBorder="1"/>
    <xf numFmtId="0" fontId="37" fillId="4" borderId="1" xfId="0" applyFont="1" applyFill="1" applyBorder="1"/>
    <xf numFmtId="167" fontId="17" fillId="5" borderId="1" xfId="1" applyNumberFormat="1" applyFont="1" applyFill="1" applyBorder="1"/>
    <xf numFmtId="167" fontId="17" fillId="5" borderId="1" xfId="1" applyNumberFormat="1" applyFont="1" applyFill="1" applyBorder="1" applyAlignment="1">
      <alignment horizontal="center"/>
    </xf>
    <xf numFmtId="167" fontId="17" fillId="0" borderId="1" xfId="0" applyNumberFormat="1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2" fillId="0" borderId="0" xfId="1" applyNumberFormat="1" applyFont="1" applyFill="1"/>
    <xf numFmtId="167" fontId="11" fillId="0" borderId="0" xfId="1" applyNumberFormat="1" applyFont="1" applyFill="1" applyBorder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38" fillId="2" borderId="1" xfId="1" applyNumberFormat="1" applyFont="1" applyFill="1" applyBorder="1"/>
    <xf numFmtId="0" fontId="2" fillId="0" borderId="0" xfId="0" applyFont="1" applyFill="1" applyBorder="1"/>
    <xf numFmtId="167" fontId="38" fillId="7" borderId="1" xfId="1" applyNumberFormat="1" applyFont="1" applyFill="1" applyBorder="1" applyAlignment="1">
      <alignment horizontal="center"/>
    </xf>
    <xf numFmtId="14" fontId="38" fillId="7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167" fontId="38" fillId="7" borderId="1" xfId="1" applyNumberFormat="1" applyFont="1" applyFill="1" applyBorder="1"/>
    <xf numFmtId="0" fontId="38" fillId="7" borderId="1" xfId="1" applyNumberFormat="1" applyFont="1" applyFill="1" applyBorder="1"/>
    <xf numFmtId="168" fontId="8" fillId="2" borderId="1" xfId="2" applyNumberFormat="1" applyFont="1" applyFill="1" applyBorder="1" applyAlignment="1">
      <alignment horizontal="center"/>
    </xf>
    <xf numFmtId="167" fontId="1" fillId="0" borderId="0" xfId="1" applyNumberFormat="1" applyFont="1" applyFill="1" applyBorder="1"/>
    <xf numFmtId="167" fontId="1" fillId="0" borderId="0" xfId="1" applyNumberFormat="1" applyFont="1" applyFill="1"/>
    <xf numFmtId="167" fontId="1" fillId="7" borderId="0" xfId="1" applyNumberFormat="1" applyFont="1" applyFill="1"/>
    <xf numFmtId="0" fontId="0" fillId="0" borderId="0" xfId="0"/>
    <xf numFmtId="167" fontId="1" fillId="41" borderId="0" xfId="1" applyNumberFormat="1" applyFon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6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/>
    <xf numFmtId="1" fontId="19" fillId="0" borderId="1" xfId="1" applyNumberFormat="1" applyFont="1" applyFill="1" applyBorder="1"/>
    <xf numFmtId="1" fontId="19" fillId="4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4" fontId="15" fillId="7" borderId="1" xfId="3" applyNumberFormat="1" applyFont="1" applyFill="1" applyBorder="1"/>
    <xf numFmtId="0" fontId="15" fillId="7" borderId="1" xfId="3" applyFont="1" applyFill="1" applyBorder="1"/>
    <xf numFmtId="1" fontId="15" fillId="7" borderId="1" xfId="3" applyNumberFormat="1" applyFont="1" applyFill="1" applyBorder="1"/>
    <xf numFmtId="167" fontId="15" fillId="7" borderId="1" xfId="1" applyNumberFormat="1" applyFont="1" applyFill="1" applyBorder="1"/>
    <xf numFmtId="1" fontId="8" fillId="7" borderId="1" xfId="1" applyNumberFormat="1" applyFont="1" applyFill="1" applyBorder="1"/>
    <xf numFmtId="0" fontId="37" fillId="7" borderId="1" xfId="0" applyFont="1" applyFill="1" applyBorder="1"/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7" fontId="16" fillId="4" borderId="5" xfId="0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78"/>
  <sheetViews>
    <sheetView workbookViewId="0"/>
  </sheetViews>
  <sheetFormatPr baseColWidth="10" defaultColWidth="11.33203125" defaultRowHeight="14.4" x14ac:dyDescent="0.3"/>
  <cols>
    <col min="1" max="1" width="11.33203125" style="153"/>
    <col min="2" max="2" width="16.6640625" style="153" customWidth="1"/>
    <col min="3" max="3" width="26.6640625" style="153" customWidth="1"/>
    <col min="4" max="4" width="15.33203125" style="153" customWidth="1"/>
    <col min="5" max="5" width="19.33203125" style="153" customWidth="1"/>
    <col min="6" max="7" width="14.109375" style="36" customWidth="1"/>
    <col min="8" max="8" width="11.6640625" style="153" customWidth="1"/>
    <col min="9" max="9" width="11" style="35" customWidth="1"/>
    <col min="10" max="10" width="11" style="312" customWidth="1"/>
    <col min="11" max="11" width="14.33203125" style="35" customWidth="1"/>
    <col min="12" max="15" width="11" style="35" customWidth="1"/>
    <col min="16" max="16" width="14.6640625" style="35" customWidth="1"/>
    <col min="17" max="17" width="13.6640625" style="153" customWidth="1"/>
    <col min="18" max="18" width="13.33203125" style="153" customWidth="1"/>
    <col min="19" max="19" width="10.109375" style="38" customWidth="1"/>
    <col min="20" max="20" width="15.33203125" style="153" customWidth="1"/>
    <col min="21" max="21" width="14.33203125" style="153" customWidth="1"/>
    <col min="22" max="22" width="15.33203125" style="153" customWidth="1"/>
    <col min="23" max="24" width="14" style="153" customWidth="1"/>
    <col min="25" max="25" width="14.88671875" style="153" customWidth="1"/>
    <col min="26" max="26" width="13.109375" style="153" bestFit="1" customWidth="1"/>
    <col min="27" max="27" width="19.33203125" style="153" customWidth="1"/>
    <col min="28" max="28" width="11.33203125" style="153"/>
    <col min="29" max="29" width="21.6640625" style="153" customWidth="1"/>
    <col min="30" max="16384" width="11.33203125" style="153"/>
  </cols>
  <sheetData>
    <row r="1" spans="1:29" ht="15" customHeight="1" x14ac:dyDescent="0.3">
      <c r="A1" s="256"/>
      <c r="B1" s="256"/>
      <c r="C1" s="256"/>
      <c r="D1" s="256"/>
      <c r="E1" s="256"/>
      <c r="F1" s="257"/>
      <c r="G1" s="257"/>
      <c r="H1" s="256"/>
      <c r="I1" s="329" t="s">
        <v>101</v>
      </c>
      <c r="J1" s="329"/>
      <c r="K1" s="329" t="s">
        <v>102</v>
      </c>
      <c r="L1" s="329"/>
      <c r="M1" s="329" t="s">
        <v>103</v>
      </c>
      <c r="N1" s="329"/>
      <c r="O1" s="329" t="s">
        <v>172</v>
      </c>
      <c r="P1" s="329"/>
      <c r="Q1" s="256"/>
      <c r="R1" s="256"/>
      <c r="S1" s="260"/>
      <c r="T1" s="256"/>
      <c r="U1" s="256"/>
      <c r="V1" s="256"/>
      <c r="W1" s="256"/>
    </row>
    <row r="2" spans="1:29" ht="30" customHeight="1" x14ac:dyDescent="0.3">
      <c r="A2" s="256" t="s">
        <v>95</v>
      </c>
      <c r="B2" s="256" t="s">
        <v>191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308" t="s">
        <v>97</v>
      </c>
      <c r="J2" s="259" t="s">
        <v>57</v>
      </c>
      <c r="K2" s="308" t="s">
        <v>97</v>
      </c>
      <c r="L2" s="308" t="s">
        <v>57</v>
      </c>
      <c r="M2" s="308" t="s">
        <v>97</v>
      </c>
      <c r="N2" s="308" t="s">
        <v>57</v>
      </c>
      <c r="O2" s="308" t="s">
        <v>97</v>
      </c>
      <c r="P2" s="30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  <c r="Y2" s="153" t="s">
        <v>107</v>
      </c>
      <c r="Z2" s="153" t="s">
        <v>108</v>
      </c>
      <c r="AA2" s="153" t="s">
        <v>183</v>
      </c>
    </row>
    <row r="3" spans="1:29" ht="15" customHeight="1" x14ac:dyDescent="0.3">
      <c r="A3" s="272">
        <v>2908</v>
      </c>
      <c r="B3" s="272">
        <v>69356</v>
      </c>
      <c r="C3" s="273" t="s">
        <v>396</v>
      </c>
      <c r="D3" s="273" t="s">
        <v>307</v>
      </c>
      <c r="E3" s="273">
        <v>1233869356</v>
      </c>
      <c r="F3" s="274">
        <v>43101</v>
      </c>
      <c r="G3" s="274">
        <v>43104</v>
      </c>
      <c r="H3" s="273">
        <v>6</v>
      </c>
      <c r="I3" s="275"/>
      <c r="J3" s="276">
        <v>780</v>
      </c>
      <c r="K3" s="275"/>
      <c r="L3" s="275"/>
      <c r="M3" s="275"/>
      <c r="N3" s="275"/>
      <c r="O3" s="275"/>
      <c r="P3" s="275">
        <v>390</v>
      </c>
      <c r="Q3" s="158">
        <f t="shared" ref="Q3:Q56" si="0">J3+L3+N3+P3</f>
        <v>1170</v>
      </c>
      <c r="R3" s="158">
        <f t="shared" ref="R3:R56" si="1">K3+M3+I3+O3</f>
        <v>0</v>
      </c>
      <c r="S3" s="156">
        <f>IF(H3=0,(Q3+R3/EERR!$D$2/1.19),(Q3+R3/EERR!$D$2/1.19)/H3)</f>
        <v>195</v>
      </c>
      <c r="T3" s="158">
        <f>R3+Q3*EERR!$D$2</f>
        <v>698256</v>
      </c>
      <c r="U3" s="153">
        <f ca="1">SUMIF(Siteminder!$A$5:$K$150,'Ene (2)'!E3,Siteminder!$K$5:$K$150)</f>
        <v>0</v>
      </c>
      <c r="V3" s="294">
        <f ca="1">SUMIF(Transbank!$A$2:$A$494,B3,Transbank!$L$2:$L$433)+(I3+M3)+(J3+N3)*EERR!$D$2</f>
        <v>465503.99999999994</v>
      </c>
      <c r="W3" s="294">
        <f ca="1">V3/EERR!$D$2</f>
        <v>780</v>
      </c>
      <c r="X3" s="162">
        <f t="shared" ref="X3:X66" ca="1" si="2">+V3-T3</f>
        <v>-232752.00000000006</v>
      </c>
      <c r="Y3" s="162">
        <f t="shared" ref="Y3:Y57" si="3">(I3+K3+M3)/1.19</f>
        <v>0</v>
      </c>
      <c r="Z3" s="162">
        <f t="shared" ref="Z3:Z57" si="4">IF(AA3="b",(I3+K3+M3)*0.19,0)</f>
        <v>0</v>
      </c>
      <c r="AA3" s="153">
        <f>IFERROR(VLOOKUP(A3,#REF!,8,FALSE),0)</f>
        <v>0</v>
      </c>
      <c r="AB3" s="39">
        <f t="shared" ref="AB3:AB57" si="5">Q3-AA3</f>
        <v>1170</v>
      </c>
      <c r="AC3" s="36"/>
    </row>
    <row r="4" spans="1:29" ht="15" customHeight="1" x14ac:dyDescent="0.3">
      <c r="A4" s="272">
        <v>2911</v>
      </c>
      <c r="B4" s="272">
        <v>38729</v>
      </c>
      <c r="C4" s="273" t="s">
        <v>397</v>
      </c>
      <c r="D4" s="273" t="s">
        <v>307</v>
      </c>
      <c r="E4" s="273">
        <v>1942438729</v>
      </c>
      <c r="F4" s="274">
        <v>43101</v>
      </c>
      <c r="G4" s="274">
        <v>43103</v>
      </c>
      <c r="H4" s="273">
        <v>2</v>
      </c>
      <c r="I4" s="275"/>
      <c r="J4" s="276"/>
      <c r="K4" s="275"/>
      <c r="L4" s="275">
        <v>410</v>
      </c>
      <c r="M4" s="275"/>
      <c r="N4" s="275"/>
      <c r="O4" s="275"/>
      <c r="P4" s="275"/>
      <c r="Q4" s="158">
        <f t="shared" si="0"/>
        <v>410</v>
      </c>
      <c r="R4" s="158">
        <f t="shared" si="1"/>
        <v>0</v>
      </c>
      <c r="S4" s="156">
        <f>IF(H4=0,(Q4+R4/EERR!$D$2/1.19),(Q4+R4/EERR!$D$2/1.19)/H4)</f>
        <v>205</v>
      </c>
      <c r="T4" s="158">
        <f>R4+Q4*EERR!$D$2</f>
        <v>244687.99999999997</v>
      </c>
      <c r="U4" s="153">
        <f ca="1">SUMIF(Siteminder!$A$5:$K$150,'Ene (2)'!E4,Siteminder!$K$5:$K$150)</f>
        <v>0</v>
      </c>
      <c r="V4" s="310">
        <f ca="1">SUMIF(Transbank!$A$2:$A$494,B4,Transbank!$L$2:$L$433)+(I4+M4)+(J4+N4)*EERR!$D$2</f>
        <v>261633.3</v>
      </c>
      <c r="W4" s="310">
        <f ca="1">V4/EERR!$D$2</f>
        <v>438.39359919571046</v>
      </c>
      <c r="X4" s="162">
        <f t="shared" ca="1" si="2"/>
        <v>16945.300000000017</v>
      </c>
      <c r="Y4" s="162">
        <f t="shared" si="3"/>
        <v>0</v>
      </c>
      <c r="Z4" s="162">
        <f t="shared" si="4"/>
        <v>0</v>
      </c>
      <c r="AA4" s="153">
        <f>IFERROR(VLOOKUP(A4,#REF!,8,FALSE),0)</f>
        <v>0</v>
      </c>
      <c r="AB4" s="39">
        <f t="shared" si="5"/>
        <v>410</v>
      </c>
    </row>
    <row r="5" spans="1:29" ht="15" customHeight="1" x14ac:dyDescent="0.3">
      <c r="A5" s="272">
        <v>2924</v>
      </c>
      <c r="B5" s="272">
        <v>82033</v>
      </c>
      <c r="C5" s="273" t="s">
        <v>398</v>
      </c>
      <c r="D5" s="273" t="s">
        <v>307</v>
      </c>
      <c r="E5" s="273">
        <v>1654582033</v>
      </c>
      <c r="F5" s="274">
        <v>43102</v>
      </c>
      <c r="G5" s="274">
        <v>43108</v>
      </c>
      <c r="H5" s="273">
        <v>6</v>
      </c>
      <c r="I5" s="275"/>
      <c r="J5" s="276"/>
      <c r="K5" s="275"/>
      <c r="L5" s="275">
        <v>975</v>
      </c>
      <c r="M5" s="275"/>
      <c r="N5" s="275"/>
      <c r="O5" s="275"/>
      <c r="P5" s="275">
        <v>195</v>
      </c>
      <c r="Q5" s="158">
        <f t="shared" si="0"/>
        <v>1170</v>
      </c>
      <c r="R5" s="158">
        <f t="shared" si="1"/>
        <v>0</v>
      </c>
      <c r="S5" s="156">
        <f>IF(H5=0,(Q5+R5/EERR!$D$2/1.19),(Q5+R5/EERR!$D$2/1.19)/H5)</f>
        <v>195</v>
      </c>
      <c r="T5" s="158">
        <f>R5+Q5*EERR!$D$2</f>
        <v>698256</v>
      </c>
      <c r="U5" s="153">
        <f ca="1">SUMIF(Siteminder!$A$5:$K$150,'Ene (2)'!E5,Siteminder!$K$5:$K$150)</f>
        <v>0</v>
      </c>
      <c r="V5" s="310">
        <f>SUMIF(Transbank!$A$2:$A$433,B5,Transbank!$L$2:$L$433)+(I5+M5)+(J5+N5)*EERR!$D$2</f>
        <v>622176.75</v>
      </c>
      <c r="W5" s="310">
        <f>V5/EERR!$D$2</f>
        <v>1042.5213639410188</v>
      </c>
      <c r="X5" s="162">
        <f t="shared" si="2"/>
        <v>-76079.25</v>
      </c>
      <c r="Y5" s="162">
        <f t="shared" si="3"/>
        <v>0</v>
      </c>
      <c r="Z5" s="162">
        <f t="shared" si="4"/>
        <v>0</v>
      </c>
      <c r="AA5" s="153">
        <f>IFERROR(VLOOKUP(A5,#REF!,8,FALSE),0)</f>
        <v>0</v>
      </c>
      <c r="AB5" s="39">
        <f t="shared" si="5"/>
        <v>1170</v>
      </c>
    </row>
    <row r="6" spans="1:29" ht="15" customHeight="1" x14ac:dyDescent="0.3">
      <c r="A6" s="272">
        <v>2912</v>
      </c>
      <c r="B6" s="272">
        <v>78488</v>
      </c>
      <c r="C6" s="273" t="s">
        <v>399</v>
      </c>
      <c r="D6" s="273" t="s">
        <v>307</v>
      </c>
      <c r="E6" s="273">
        <v>1622478488</v>
      </c>
      <c r="F6" s="274">
        <v>43103</v>
      </c>
      <c r="G6" s="274">
        <v>43107</v>
      </c>
      <c r="H6" s="273">
        <v>4</v>
      </c>
      <c r="I6" s="275"/>
      <c r="J6" s="276"/>
      <c r="K6" s="275"/>
      <c r="L6" s="275">
        <v>585</v>
      </c>
      <c r="M6" s="275"/>
      <c r="N6" s="275"/>
      <c r="O6" s="275"/>
      <c r="P6" s="275">
        <v>195</v>
      </c>
      <c r="Q6" s="158">
        <f t="shared" si="0"/>
        <v>780</v>
      </c>
      <c r="R6" s="158">
        <f t="shared" si="1"/>
        <v>0</v>
      </c>
      <c r="S6" s="156">
        <f>IF(H6=0,(Q6+R6/EERR!$D$2/1.19),(Q6+R6/EERR!$D$2/1.19)/H6)</f>
        <v>195</v>
      </c>
      <c r="T6" s="158">
        <f>R6+Q6*EERR!$D$2</f>
        <v>465503.99999999994</v>
      </c>
      <c r="U6" s="153">
        <f ca="1">SUMIF(Siteminder!$A$5:$K$150,'Ene (2)'!E6,Siteminder!$K$5:$K$150)</f>
        <v>0</v>
      </c>
      <c r="V6" s="310">
        <f>SUMIF(Transbank!$A$2:$A$433,B6,Transbank!$L$2:$L$433)+(I6+M6)+(J6+N6)*EERR!$D$2</f>
        <v>377306.05</v>
      </c>
      <c r="W6" s="310">
        <f>V6/EERR!$D$2</f>
        <v>632.21523123324403</v>
      </c>
      <c r="X6" s="162">
        <f t="shared" si="2"/>
        <v>-88197.949999999953</v>
      </c>
      <c r="Y6" s="162">
        <f t="shared" si="3"/>
        <v>0</v>
      </c>
      <c r="Z6" s="162">
        <f t="shared" si="4"/>
        <v>0</v>
      </c>
      <c r="AA6" s="153">
        <f>IFERROR(VLOOKUP(A6,#REF!,8,FALSE),0)</f>
        <v>0</v>
      </c>
      <c r="AB6" s="39">
        <f t="shared" si="5"/>
        <v>780</v>
      </c>
    </row>
    <row r="7" spans="1:29" ht="15" customHeight="1" x14ac:dyDescent="0.3">
      <c r="A7" s="272">
        <v>2913</v>
      </c>
      <c r="B7" s="272">
        <v>18342</v>
      </c>
      <c r="C7" s="273" t="s">
        <v>400</v>
      </c>
      <c r="D7" s="273" t="s">
        <v>307</v>
      </c>
      <c r="E7" s="273">
        <v>1548318342</v>
      </c>
      <c r="F7" s="274">
        <v>43103</v>
      </c>
      <c r="G7" s="274">
        <v>43108</v>
      </c>
      <c r="H7" s="273">
        <v>5</v>
      </c>
      <c r="I7" s="275"/>
      <c r="J7" s="276"/>
      <c r="K7" s="275"/>
      <c r="L7" s="275">
        <v>702</v>
      </c>
      <c r="M7" s="275"/>
      <c r="N7" s="275"/>
      <c r="O7" s="275"/>
      <c r="P7" s="275">
        <v>176</v>
      </c>
      <c r="Q7" s="158">
        <f t="shared" si="0"/>
        <v>878</v>
      </c>
      <c r="R7" s="158">
        <f t="shared" si="1"/>
        <v>0</v>
      </c>
      <c r="S7" s="156">
        <f>IF(H7=0,(Q7+R7/EERR!$D$2/1.19),(Q7+R7/EERR!$D$2/1.19)/H7)</f>
        <v>175.6</v>
      </c>
      <c r="T7" s="158">
        <f>R7+Q7*EERR!$D$2</f>
        <v>523990.39999999997</v>
      </c>
      <c r="U7" s="153">
        <f ca="1">SUMIF(Siteminder!$A$5:$K$150,'Ene (2)'!E7,Siteminder!$K$5:$K$150)</f>
        <v>0</v>
      </c>
      <c r="V7" s="310">
        <f>SUMIF(Transbank!$A$2:$A$433,B7,Transbank!$L$2:$L$433)+(I7+M7)+(J7+N7)*EERR!$D$2</f>
        <v>447967.26</v>
      </c>
      <c r="W7" s="310">
        <f>V7/EERR!$D$2</f>
        <v>750.61538203753355</v>
      </c>
      <c r="X7" s="162">
        <f t="shared" si="2"/>
        <v>-76023.139999999956</v>
      </c>
      <c r="Y7" s="162">
        <f t="shared" si="3"/>
        <v>0</v>
      </c>
      <c r="Z7" s="162">
        <f t="shared" si="4"/>
        <v>0</v>
      </c>
      <c r="AA7" s="153">
        <f>IFERROR(VLOOKUP(A7,#REF!,8,FALSE),0)</f>
        <v>0</v>
      </c>
      <c r="AB7" s="39">
        <f t="shared" si="5"/>
        <v>878</v>
      </c>
    </row>
    <row r="8" spans="1:29" ht="15" customHeight="1" x14ac:dyDescent="0.3">
      <c r="A8" s="272">
        <v>2914</v>
      </c>
      <c r="B8" s="272">
        <v>10497</v>
      </c>
      <c r="C8" s="273" t="s">
        <v>401</v>
      </c>
      <c r="D8" s="273" t="s">
        <v>307</v>
      </c>
      <c r="E8" s="273">
        <v>1220410497</v>
      </c>
      <c r="F8" s="274">
        <v>43103</v>
      </c>
      <c r="G8" s="274">
        <v>43111</v>
      </c>
      <c r="H8" s="273">
        <v>8</v>
      </c>
      <c r="I8" s="275"/>
      <c r="J8" s="276">
        <v>1365</v>
      </c>
      <c r="K8" s="275"/>
      <c r="L8" s="275"/>
      <c r="M8" s="275"/>
      <c r="N8" s="275"/>
      <c r="O8" s="275"/>
      <c r="P8" s="275">
        <v>195</v>
      </c>
      <c r="Q8" s="158">
        <f t="shared" si="0"/>
        <v>1560</v>
      </c>
      <c r="R8" s="158">
        <f t="shared" si="1"/>
        <v>0</v>
      </c>
      <c r="S8" s="156">
        <f>IF(H8=0,(Q8+R8/EERR!$D$2/1.19),(Q8+R8/EERR!$D$2/1.19)/H8)</f>
        <v>195</v>
      </c>
      <c r="T8" s="158">
        <f>R8+Q8*EERR!$D$2</f>
        <v>931007.99999999988</v>
      </c>
      <c r="U8" s="153">
        <f ca="1">SUMIF(Siteminder!$A$5:$K$150,'Ene (2)'!E8,Siteminder!$K$5:$K$150)</f>
        <v>0</v>
      </c>
      <c r="V8" s="310">
        <f>SUMIF(Transbank!$A$2:$A$433,B8,Transbank!$L$2:$L$433)+(I8+M8)+(J8+N8)*EERR!$D$2</f>
        <v>814631.99999999988</v>
      </c>
      <c r="W8" s="310">
        <f>V8/EERR!$D$2</f>
        <v>1365</v>
      </c>
      <c r="X8" s="162">
        <f t="shared" si="2"/>
        <v>-116376</v>
      </c>
      <c r="Y8" s="162">
        <f t="shared" si="3"/>
        <v>0</v>
      </c>
      <c r="Z8" s="162">
        <f t="shared" si="4"/>
        <v>0</v>
      </c>
      <c r="AA8" s="153">
        <f>IFERROR(VLOOKUP(A8,#REF!,8,FALSE),0)</f>
        <v>0</v>
      </c>
      <c r="AB8" s="39">
        <f t="shared" si="5"/>
        <v>1560</v>
      </c>
    </row>
    <row r="9" spans="1:29" ht="15" customHeight="1" x14ac:dyDescent="0.3">
      <c r="A9" s="272">
        <v>2915</v>
      </c>
      <c r="B9" s="272">
        <v>13605</v>
      </c>
      <c r="C9" s="273" t="s">
        <v>402</v>
      </c>
      <c r="D9" s="273" t="s">
        <v>307</v>
      </c>
      <c r="E9" s="154">
        <v>1200213605</v>
      </c>
      <c r="F9" s="155">
        <v>43104</v>
      </c>
      <c r="G9" s="155">
        <v>43106</v>
      </c>
      <c r="H9" s="154">
        <v>4</v>
      </c>
      <c r="I9" s="156"/>
      <c r="J9" s="157"/>
      <c r="K9" s="156"/>
      <c r="L9" s="156">
        <v>390</v>
      </c>
      <c r="M9" s="156"/>
      <c r="N9" s="156"/>
      <c r="O9" s="156"/>
      <c r="P9" s="156">
        <v>390</v>
      </c>
      <c r="Q9" s="158">
        <f t="shared" si="0"/>
        <v>780</v>
      </c>
      <c r="R9" s="158">
        <f t="shared" si="1"/>
        <v>0</v>
      </c>
      <c r="S9" s="156">
        <f>IF(H9=0,(Q9+R9/EERR!$D$2/1.19),(Q9+R9/EERR!$D$2/1.19)/H9)</f>
        <v>195</v>
      </c>
      <c r="T9" s="158">
        <f>R9+Q9*EERR!$D$2</f>
        <v>465503.99999999994</v>
      </c>
      <c r="U9" s="153">
        <f ca="1">SUMIF(Siteminder!$A$5:$K$150,'Ene (2)'!E9,Siteminder!$K$5:$K$150)</f>
        <v>0</v>
      </c>
      <c r="V9" s="310">
        <f>SUMIF(Transbank!$A$2:$A$433,B9,Transbank!$L$2:$L$433)+(I9+M9)+(J9+N9)*EERR!$D$2</f>
        <v>248870.7</v>
      </c>
      <c r="W9" s="310">
        <f>V9/EERR!$D$2</f>
        <v>417.00854557640758</v>
      </c>
      <c r="X9" s="162">
        <f t="shared" si="2"/>
        <v>-216633.29999999993</v>
      </c>
      <c r="Y9" s="162">
        <f t="shared" si="3"/>
        <v>0</v>
      </c>
      <c r="Z9" s="162">
        <f t="shared" si="4"/>
        <v>0</v>
      </c>
      <c r="AA9" s="153">
        <f>IFERROR(VLOOKUP(A9,#REF!,8,FALSE),0)</f>
        <v>0</v>
      </c>
      <c r="AB9" s="39">
        <f t="shared" si="5"/>
        <v>780</v>
      </c>
    </row>
    <row r="10" spans="1:29" ht="15" customHeight="1" x14ac:dyDescent="0.3">
      <c r="A10" s="272">
        <v>2916</v>
      </c>
      <c r="B10" s="272">
        <v>52434</v>
      </c>
      <c r="C10" s="273" t="s">
        <v>403</v>
      </c>
      <c r="D10" s="273" t="s">
        <v>307</v>
      </c>
      <c r="E10" s="273">
        <v>1963452434</v>
      </c>
      <c r="F10" s="274">
        <v>43104</v>
      </c>
      <c r="G10" s="274">
        <v>43110</v>
      </c>
      <c r="H10" s="273">
        <v>6</v>
      </c>
      <c r="I10" s="275"/>
      <c r="J10" s="276"/>
      <c r="K10" s="275"/>
      <c r="L10" s="275">
        <v>975</v>
      </c>
      <c r="M10" s="275"/>
      <c r="N10" s="275"/>
      <c r="O10" s="275"/>
      <c r="P10" s="275">
        <v>195</v>
      </c>
      <c r="Q10" s="158">
        <f t="shared" si="0"/>
        <v>1170</v>
      </c>
      <c r="R10" s="158">
        <f t="shared" si="1"/>
        <v>0</v>
      </c>
      <c r="S10" s="156">
        <f>IF(H10=0,(Q10+R10/EERR!$D$2/1.19),(Q10+R10/EERR!$D$2/1.19)/H10)</f>
        <v>195</v>
      </c>
      <c r="T10" s="158">
        <f>R10+Q10*EERR!$D$2</f>
        <v>698256</v>
      </c>
      <c r="U10" s="153">
        <f ca="1">SUMIF(Siteminder!$A$5:$K$150,'Ene (2)'!E10,Siteminder!$K$5:$K$150)</f>
        <v>0</v>
      </c>
      <c r="V10" s="310">
        <f>SUMIF(Transbank!$A$2:$A$433,B10,Transbank!$L$2:$L$433)+(I10+M10)+(J10+N10)*EERR!$D$2</f>
        <v>622176.75</v>
      </c>
      <c r="W10" s="310">
        <f>V10/EERR!$D$2</f>
        <v>1042.5213639410188</v>
      </c>
      <c r="X10" s="162">
        <f t="shared" si="2"/>
        <v>-76079.25</v>
      </c>
      <c r="Y10" s="162">
        <f t="shared" si="3"/>
        <v>0</v>
      </c>
      <c r="Z10" s="162">
        <f t="shared" si="4"/>
        <v>0</v>
      </c>
      <c r="AA10" s="153">
        <f>IFERROR(VLOOKUP(A10,#REF!,8,FALSE),0)</f>
        <v>0</v>
      </c>
      <c r="AB10" s="39">
        <f t="shared" si="5"/>
        <v>1170</v>
      </c>
    </row>
    <row r="11" spans="1:29" ht="15" customHeight="1" x14ac:dyDescent="0.3">
      <c r="A11" s="272">
        <v>2917</v>
      </c>
      <c r="B11" s="272">
        <v>18864</v>
      </c>
      <c r="C11" s="273" t="s">
        <v>404</v>
      </c>
      <c r="D11" s="273" t="s">
        <v>307</v>
      </c>
      <c r="E11" s="273">
        <v>1542218864</v>
      </c>
      <c r="F11" s="274">
        <v>43104</v>
      </c>
      <c r="G11" s="274">
        <v>43109</v>
      </c>
      <c r="H11" s="273">
        <v>5</v>
      </c>
      <c r="I11" s="275"/>
      <c r="J11" s="276"/>
      <c r="K11" s="275"/>
      <c r="L11" s="275">
        <v>820</v>
      </c>
      <c r="M11" s="275"/>
      <c r="N11" s="275"/>
      <c r="O11" s="275"/>
      <c r="P11" s="275">
        <v>205</v>
      </c>
      <c r="Q11" s="158">
        <f t="shared" si="0"/>
        <v>1025</v>
      </c>
      <c r="R11" s="158">
        <f t="shared" si="1"/>
        <v>0</v>
      </c>
      <c r="S11" s="156">
        <f>IF(H11=0,(Q11+R11/EERR!$D$2/1.19),(Q11+R11/EERR!$D$2/1.19)/H11)</f>
        <v>205</v>
      </c>
      <c r="T11" s="158">
        <f>R11+Q11*EERR!$D$2</f>
        <v>611720</v>
      </c>
      <c r="U11" s="153">
        <f ca="1">SUMIF(Siteminder!$A$5:$K$150,'Ene (2)'!E11,Siteminder!$K$5:$K$150)</f>
        <v>0</v>
      </c>
      <c r="V11" s="310">
        <f>SUMIF(Transbank!$A$2:$A$433,B11,Transbank!$L$2:$L$433)+(I11+M11)+(J11+N11)*EERR!$D$2</f>
        <v>523266.6</v>
      </c>
      <c r="W11" s="310">
        <f>V11/EERR!$D$2</f>
        <v>876.78719839142093</v>
      </c>
      <c r="X11" s="162">
        <f t="shared" si="2"/>
        <v>-88453.400000000023</v>
      </c>
      <c r="Y11" s="162">
        <f t="shared" si="3"/>
        <v>0</v>
      </c>
      <c r="Z11" s="162">
        <f t="shared" si="4"/>
        <v>0</v>
      </c>
      <c r="AA11" s="153">
        <f>IFERROR(VLOOKUP(A11,#REF!,8,FALSE),0)</f>
        <v>0</v>
      </c>
      <c r="AB11" s="39">
        <f t="shared" si="5"/>
        <v>1025</v>
      </c>
    </row>
    <row r="12" spans="1:29" ht="15" customHeight="1" x14ac:dyDescent="0.3">
      <c r="A12" s="272">
        <v>2918</v>
      </c>
      <c r="B12" s="272">
        <v>46218</v>
      </c>
      <c r="C12" s="273" t="s">
        <v>405</v>
      </c>
      <c r="D12" s="273" t="s">
        <v>307</v>
      </c>
      <c r="E12" s="273">
        <v>1696146218</v>
      </c>
      <c r="F12" s="274">
        <v>43105</v>
      </c>
      <c r="G12" s="274">
        <v>43106</v>
      </c>
      <c r="H12" s="273">
        <v>1</v>
      </c>
      <c r="I12" s="275"/>
      <c r="J12" s="276"/>
      <c r="K12" s="275"/>
      <c r="L12" s="275">
        <v>185</v>
      </c>
      <c r="M12" s="275"/>
      <c r="N12" s="275"/>
      <c r="O12" s="275"/>
      <c r="P12" s="275"/>
      <c r="Q12" s="158">
        <f t="shared" si="0"/>
        <v>185</v>
      </c>
      <c r="R12" s="158">
        <f t="shared" si="1"/>
        <v>0</v>
      </c>
      <c r="S12" s="156">
        <f>IF(H12=0,(Q12+R12/EERR!$D$2/1.19),(Q12+R12/EERR!$D$2/1.19)/H12)</f>
        <v>185</v>
      </c>
      <c r="T12" s="158">
        <f>R12+Q12*EERR!$D$2</f>
        <v>110407.99999999999</v>
      </c>
      <c r="U12" s="153">
        <f ca="1">SUMIF(Siteminder!$A$5:$K$150,'Ene (2)'!E12,Siteminder!$K$5:$K$150)</f>
        <v>0</v>
      </c>
      <c r="V12" s="310">
        <f>SUMIF(Transbank!$A$2:$A$433,B12,Transbank!$L$2:$L$433)+(I12+M12)+(J12+N12)*EERR!$D$2</f>
        <v>118054.05</v>
      </c>
      <c r="W12" s="310">
        <f>V12/EERR!$D$2</f>
        <v>197.8117459785523</v>
      </c>
      <c r="X12" s="162">
        <f t="shared" si="2"/>
        <v>7646.0500000000175</v>
      </c>
      <c r="Y12" s="162">
        <f t="shared" si="3"/>
        <v>0</v>
      </c>
      <c r="Z12" s="162">
        <f t="shared" si="4"/>
        <v>0</v>
      </c>
      <c r="AA12" s="153">
        <f>IFERROR(VLOOKUP(A12,#REF!,8,FALSE),0)</f>
        <v>0</v>
      </c>
      <c r="AB12" s="39">
        <f t="shared" si="5"/>
        <v>185</v>
      </c>
    </row>
    <row r="13" spans="1:29" ht="15" customHeight="1" x14ac:dyDescent="0.3">
      <c r="A13" s="272">
        <v>2920</v>
      </c>
      <c r="B13" s="272">
        <v>11287</v>
      </c>
      <c r="C13" s="273" t="s">
        <v>406</v>
      </c>
      <c r="D13" s="273" t="s">
        <v>307</v>
      </c>
      <c r="E13" s="273">
        <v>1517811287</v>
      </c>
      <c r="F13" s="274">
        <v>43106</v>
      </c>
      <c r="G13" s="274">
        <v>43107</v>
      </c>
      <c r="H13" s="273">
        <v>1</v>
      </c>
      <c r="I13" s="275"/>
      <c r="J13" s="276"/>
      <c r="K13" s="275"/>
      <c r="L13" s="275"/>
      <c r="M13" s="275"/>
      <c r="N13" s="275"/>
      <c r="O13" s="275"/>
      <c r="P13" s="275">
        <v>195</v>
      </c>
      <c r="Q13" s="158">
        <f t="shared" si="0"/>
        <v>195</v>
      </c>
      <c r="R13" s="158">
        <f t="shared" si="1"/>
        <v>0</v>
      </c>
      <c r="S13" s="156">
        <f>IF(H13=0,(Q13+R13/EERR!$D$2/1.19),(Q13+R13/EERR!$D$2/1.19)/H13)</f>
        <v>195</v>
      </c>
      <c r="T13" s="158">
        <f>R13+Q13*EERR!$D$2</f>
        <v>116375.99999999999</v>
      </c>
      <c r="U13" s="153">
        <f ca="1">SUMIF(Siteminder!$A$5:$K$150,'Ene (2)'!E13,Siteminder!$K$5:$K$150)</f>
        <v>0</v>
      </c>
      <c r="V13" s="310">
        <f>SUMIF(Transbank!$A$2:$A$433,B13,Transbank!$L$2:$L$433)+(I13+M13)+(J13+N13)*EERR!$D$2</f>
        <v>0</v>
      </c>
      <c r="W13" s="310">
        <f>V13/EERR!$D$2</f>
        <v>0</v>
      </c>
      <c r="X13" s="162">
        <f t="shared" si="2"/>
        <v>-116375.99999999999</v>
      </c>
      <c r="Y13" s="162">
        <f t="shared" si="3"/>
        <v>0</v>
      </c>
      <c r="Z13" s="162">
        <f t="shared" si="4"/>
        <v>0</v>
      </c>
      <c r="AA13" s="153">
        <f>IFERROR(VLOOKUP(A13,#REF!,8,FALSE),0)</f>
        <v>0</v>
      </c>
      <c r="AB13" s="39">
        <f t="shared" si="5"/>
        <v>195</v>
      </c>
    </row>
    <row r="14" spans="1:29" ht="15" customHeight="1" x14ac:dyDescent="0.3">
      <c r="A14" s="272">
        <v>2926</v>
      </c>
      <c r="B14" s="272">
        <v>65194</v>
      </c>
      <c r="C14" s="273" t="s">
        <v>407</v>
      </c>
      <c r="D14" s="273" t="s">
        <v>307</v>
      </c>
      <c r="E14" s="273">
        <v>1948165194</v>
      </c>
      <c r="F14" s="274">
        <v>43106</v>
      </c>
      <c r="G14" s="274">
        <v>43108</v>
      </c>
      <c r="H14" s="273">
        <v>2</v>
      </c>
      <c r="I14" s="275"/>
      <c r="J14" s="276"/>
      <c r="K14" s="275"/>
      <c r="L14" s="275">
        <v>205</v>
      </c>
      <c r="M14" s="275"/>
      <c r="N14" s="275"/>
      <c r="O14" s="275"/>
      <c r="P14" s="275">
        <v>205</v>
      </c>
      <c r="Q14" s="158">
        <f t="shared" si="0"/>
        <v>410</v>
      </c>
      <c r="R14" s="158">
        <f t="shared" si="1"/>
        <v>0</v>
      </c>
      <c r="S14" s="156">
        <f>IF(H14=0,(Q14+R14/EERR!$D$2/1.19),(Q14+R14/EERR!$D$2/1.19)/H14)</f>
        <v>205</v>
      </c>
      <c r="T14" s="158">
        <f>R14+Q14*EERR!$D$2</f>
        <v>244687.99999999997</v>
      </c>
      <c r="U14" s="153">
        <f ca="1">SUMIF(Siteminder!$A$5:$K$150,'Ene (2)'!E14,Siteminder!$K$5:$K$150)</f>
        <v>0</v>
      </c>
      <c r="V14" s="310">
        <f>SUMIF(Transbank!$A$2:$A$433,B14,Transbank!$L$2:$L$433)+(I14+M14)+(J14+N14)*EERR!$D$2</f>
        <v>130816.65</v>
      </c>
      <c r="W14" s="310">
        <f>V14/EERR!$D$2</f>
        <v>219.19679959785523</v>
      </c>
      <c r="X14" s="295">
        <f t="shared" si="2"/>
        <v>-113871.34999999998</v>
      </c>
      <c r="Y14" s="162">
        <f t="shared" si="3"/>
        <v>0</v>
      </c>
      <c r="Z14" s="162">
        <f t="shared" si="4"/>
        <v>0</v>
      </c>
      <c r="AA14" s="153">
        <f>IFERROR(VLOOKUP(A14,#REF!,8,FALSE),0)</f>
        <v>0</v>
      </c>
      <c r="AB14" s="39">
        <f t="shared" si="5"/>
        <v>410</v>
      </c>
    </row>
    <row r="15" spans="1:29" ht="15" customHeight="1" x14ac:dyDescent="0.3">
      <c r="A15" s="272">
        <v>2922</v>
      </c>
      <c r="B15" s="272">
        <v>35205</v>
      </c>
      <c r="C15" s="273" t="s">
        <v>408</v>
      </c>
      <c r="D15" s="273" t="s">
        <v>307</v>
      </c>
      <c r="E15" s="273">
        <v>1599735205</v>
      </c>
      <c r="F15" s="274">
        <v>43107</v>
      </c>
      <c r="G15" s="274">
        <v>43113</v>
      </c>
      <c r="H15" s="273">
        <v>6</v>
      </c>
      <c r="I15" s="275"/>
      <c r="J15" s="276"/>
      <c r="K15" s="275"/>
      <c r="L15" s="275">
        <v>1025</v>
      </c>
      <c r="M15" s="275"/>
      <c r="N15" s="275"/>
      <c r="O15" s="275"/>
      <c r="P15" s="275">
        <v>205</v>
      </c>
      <c r="Q15" s="158">
        <f t="shared" si="0"/>
        <v>1230</v>
      </c>
      <c r="R15" s="158">
        <f t="shared" si="1"/>
        <v>0</v>
      </c>
      <c r="S15" s="156">
        <f>IF(H15=0,(Q15+R15/EERR!$D$2/1.19),(Q15+R15/EERR!$D$2/1.19)/H15)</f>
        <v>205</v>
      </c>
      <c r="T15" s="158">
        <f>R15+Q15*EERR!$D$2</f>
        <v>734064</v>
      </c>
      <c r="U15" s="153">
        <f ca="1">SUMIF(Siteminder!$A$5:$K$150,'Ene (2)'!E15,Siteminder!$K$5:$K$150)</f>
        <v>0</v>
      </c>
      <c r="V15" s="310">
        <f>SUMIF(Transbank!$A$2:$A$433,B15,Transbank!$L$2:$L$433)+(I15+M15)+(J15+N15)*EERR!$D$2</f>
        <v>654083.25</v>
      </c>
      <c r="W15" s="310">
        <f>V15/EERR!$D$2</f>
        <v>1095.9839979892763</v>
      </c>
      <c r="X15" s="162">
        <f t="shared" si="2"/>
        <v>-79980.75</v>
      </c>
      <c r="Y15" s="162">
        <f t="shared" si="3"/>
        <v>0</v>
      </c>
      <c r="Z15" s="162">
        <f t="shared" si="4"/>
        <v>0</v>
      </c>
      <c r="AA15" s="153">
        <f>IFERROR(VLOOKUP(A15,#REF!,8,FALSE),0)</f>
        <v>0</v>
      </c>
      <c r="AB15" s="39">
        <f t="shared" si="5"/>
        <v>1230</v>
      </c>
    </row>
    <row r="16" spans="1:29" ht="15" customHeight="1" x14ac:dyDescent="0.3">
      <c r="A16" s="272">
        <v>2923</v>
      </c>
      <c r="B16" s="272">
        <v>56114</v>
      </c>
      <c r="C16" s="273" t="s">
        <v>409</v>
      </c>
      <c r="D16" s="273" t="s">
        <v>307</v>
      </c>
      <c r="E16" s="273">
        <v>1008156114</v>
      </c>
      <c r="F16" s="274">
        <v>43107</v>
      </c>
      <c r="G16" s="274">
        <v>43108</v>
      </c>
      <c r="H16" s="273">
        <v>1</v>
      </c>
      <c r="I16" s="275"/>
      <c r="J16" s="276"/>
      <c r="K16" s="275"/>
      <c r="L16" s="275"/>
      <c r="M16" s="275"/>
      <c r="N16" s="275"/>
      <c r="O16" s="275"/>
      <c r="P16" s="275">
        <v>185</v>
      </c>
      <c r="Q16" s="158">
        <f t="shared" si="0"/>
        <v>185</v>
      </c>
      <c r="R16" s="158">
        <f t="shared" si="1"/>
        <v>0</v>
      </c>
      <c r="S16" s="156">
        <f>IF(H16=0,(Q16+R16/EERR!$D$2/1.19),(Q16+R16/EERR!$D$2/1.19)/H16)</f>
        <v>185</v>
      </c>
      <c r="T16" s="158">
        <f>R16+Q16*EERR!$D$2</f>
        <v>110407.99999999999</v>
      </c>
      <c r="U16" s="153">
        <f ca="1">SUMIF(Siteminder!$A$5:$K$150,'Ene (2)'!E16,Siteminder!$K$5:$K$150)</f>
        <v>0</v>
      </c>
      <c r="V16" s="310">
        <f>SUMIF(Transbank!$A$2:$A$433,B16,Transbank!$L$2:$L$433)+(I16+M16)+(J16+N16)*EERR!$D$2</f>
        <v>0</v>
      </c>
      <c r="W16" s="310">
        <f>V16/EERR!$D$2</f>
        <v>0</v>
      </c>
      <c r="X16" s="162">
        <f t="shared" si="2"/>
        <v>-110407.99999999999</v>
      </c>
      <c r="Y16" s="162">
        <f t="shared" si="3"/>
        <v>0</v>
      </c>
      <c r="Z16" s="162">
        <f t="shared" si="4"/>
        <v>0</v>
      </c>
      <c r="AA16" s="153">
        <f>IFERROR(VLOOKUP(A16,#REF!,8,FALSE),0)</f>
        <v>0</v>
      </c>
      <c r="AB16" s="39">
        <f t="shared" si="5"/>
        <v>185</v>
      </c>
    </row>
    <row r="17" spans="1:28" ht="15" customHeight="1" x14ac:dyDescent="0.3">
      <c r="A17" s="272">
        <v>2934</v>
      </c>
      <c r="B17" s="272">
        <v>4723</v>
      </c>
      <c r="C17" s="273" t="s">
        <v>410</v>
      </c>
      <c r="D17" s="273" t="s">
        <v>307</v>
      </c>
      <c r="E17" s="273">
        <v>1611904723</v>
      </c>
      <c r="F17" s="274">
        <v>43107</v>
      </c>
      <c r="G17" s="274">
        <v>43112</v>
      </c>
      <c r="H17" s="273">
        <v>5</v>
      </c>
      <c r="I17" s="275"/>
      <c r="J17" s="276"/>
      <c r="K17" s="275"/>
      <c r="L17" s="275">
        <v>820</v>
      </c>
      <c r="M17" s="275"/>
      <c r="N17" s="275"/>
      <c r="O17" s="275"/>
      <c r="P17" s="275">
        <v>205</v>
      </c>
      <c r="Q17" s="158">
        <f t="shared" si="0"/>
        <v>1025</v>
      </c>
      <c r="R17" s="158">
        <f t="shared" si="1"/>
        <v>0</v>
      </c>
      <c r="S17" s="156">
        <f>IF(H17=0,(Q17+R17/EERR!$D$2/1.19),(Q17+R17/EERR!$D$2/1.19)/H17)</f>
        <v>205</v>
      </c>
      <c r="T17" s="158">
        <f>R17+Q17*EERR!$D$2</f>
        <v>611720</v>
      </c>
      <c r="U17" s="153">
        <f ca="1">SUMIF(Siteminder!$A$5:$K$150,'Ene (2)'!E17,Siteminder!$K$5:$K$150)</f>
        <v>0</v>
      </c>
      <c r="V17" s="310">
        <f>SUMIF(Transbank!$A$2:$A$433,B17,Transbank!$L$2:$L$433)+(I17+M17)+(J17+N17)*EERR!$D$2</f>
        <v>523266.6</v>
      </c>
      <c r="W17" s="310">
        <f>V17/EERR!$D$2</f>
        <v>876.78719839142093</v>
      </c>
      <c r="X17" s="162">
        <f t="shared" si="2"/>
        <v>-88453.400000000023</v>
      </c>
      <c r="Y17" s="162">
        <f t="shared" si="3"/>
        <v>0</v>
      </c>
      <c r="Z17" s="162">
        <f t="shared" si="4"/>
        <v>0</v>
      </c>
      <c r="AA17" s="153">
        <f>IFERROR(VLOOKUP(A17,#REF!,8,FALSE),0)</f>
        <v>0</v>
      </c>
      <c r="AB17" s="39">
        <f t="shared" si="5"/>
        <v>1025</v>
      </c>
    </row>
    <row r="18" spans="1:28" ht="15" customHeight="1" x14ac:dyDescent="0.3">
      <c r="A18" s="272">
        <v>2925</v>
      </c>
      <c r="B18" s="272">
        <v>69997</v>
      </c>
      <c r="C18" s="273" t="s">
        <v>411</v>
      </c>
      <c r="D18" s="273" t="s">
        <v>307</v>
      </c>
      <c r="E18" s="273">
        <v>1857469997</v>
      </c>
      <c r="F18" s="274">
        <v>43108</v>
      </c>
      <c r="G18" s="274">
        <v>43112</v>
      </c>
      <c r="H18" s="273">
        <v>4</v>
      </c>
      <c r="I18" s="275"/>
      <c r="J18" s="276"/>
      <c r="K18" s="275"/>
      <c r="L18" s="275">
        <v>615</v>
      </c>
      <c r="M18" s="275"/>
      <c r="N18" s="275"/>
      <c r="O18" s="275"/>
      <c r="P18" s="275">
        <v>205</v>
      </c>
      <c r="Q18" s="158">
        <f t="shared" si="0"/>
        <v>820</v>
      </c>
      <c r="R18" s="158">
        <f t="shared" si="1"/>
        <v>0</v>
      </c>
      <c r="S18" s="156">
        <f>IF(H18=0,(Q18+R18/EERR!$D$2/1.19),(Q18+R18/EERR!$D$2/1.19)/H18)</f>
        <v>205</v>
      </c>
      <c r="T18" s="158">
        <f>R18+Q18*EERR!$D$2</f>
        <v>489375.99999999994</v>
      </c>
      <c r="U18" s="153">
        <f ca="1">SUMIF(Siteminder!$A$5:$K$150,'Ene (2)'!E18,Siteminder!$K$5:$K$150)</f>
        <v>0</v>
      </c>
      <c r="V18" s="310">
        <f>SUMIF(Transbank!$A$2:$A$433,B18,Transbank!$L$2:$L$433)+(I18+M18)+(J18+N18)*EERR!$D$2</f>
        <v>0</v>
      </c>
      <c r="W18" s="310">
        <f>V18/EERR!$D$2</f>
        <v>0</v>
      </c>
      <c r="X18" s="162">
        <f t="shared" si="2"/>
        <v>-489375.99999999994</v>
      </c>
      <c r="Y18" s="162">
        <f t="shared" si="3"/>
        <v>0</v>
      </c>
      <c r="Z18" s="162">
        <f t="shared" si="4"/>
        <v>0</v>
      </c>
      <c r="AA18" s="153">
        <f>IFERROR(VLOOKUP(A18,#REF!,8,FALSE),0)</f>
        <v>0</v>
      </c>
      <c r="AB18" s="39">
        <f t="shared" si="5"/>
        <v>820</v>
      </c>
    </row>
    <row r="19" spans="1:28" ht="15" customHeight="1" x14ac:dyDescent="0.3">
      <c r="A19" s="272">
        <v>2927</v>
      </c>
      <c r="B19" s="272">
        <v>89556</v>
      </c>
      <c r="C19" s="273" t="s">
        <v>412</v>
      </c>
      <c r="D19" s="273" t="s">
        <v>307</v>
      </c>
      <c r="E19" s="273">
        <v>1639789556</v>
      </c>
      <c r="F19" s="274">
        <v>43108</v>
      </c>
      <c r="G19" s="274">
        <v>43109</v>
      </c>
      <c r="H19" s="273">
        <v>2</v>
      </c>
      <c r="I19" s="275"/>
      <c r="J19" s="276"/>
      <c r="K19" s="275"/>
      <c r="L19" s="275"/>
      <c r="M19" s="275"/>
      <c r="N19" s="275"/>
      <c r="O19" s="275"/>
      <c r="P19" s="275">
        <v>410</v>
      </c>
      <c r="Q19" s="158">
        <f t="shared" si="0"/>
        <v>410</v>
      </c>
      <c r="R19" s="158">
        <f t="shared" si="1"/>
        <v>0</v>
      </c>
      <c r="S19" s="156">
        <f>IF(H19=0,(Q19+R19/EERR!$D$2/1.19),(Q19+R19/EERR!$D$2/1.19)/H19)</f>
        <v>205</v>
      </c>
      <c r="T19" s="158">
        <f>R19+Q19*EERR!$D$2</f>
        <v>244687.99999999997</v>
      </c>
      <c r="U19" s="153">
        <f ca="1">SUMIF(Siteminder!$A$5:$K$150,'Ene (2)'!E19,Siteminder!$K$5:$K$150)</f>
        <v>0</v>
      </c>
      <c r="V19" s="310">
        <f>SUMIF(Transbank!$A$2:$A$433,B19,Transbank!$L$2:$L$433)+(I19+M19)+(J19+N19)*EERR!$D$2</f>
        <v>261633.3</v>
      </c>
      <c r="W19" s="310">
        <f>V19/EERR!$D$2</f>
        <v>438.39359919571046</v>
      </c>
      <c r="X19" s="162">
        <f t="shared" si="2"/>
        <v>16945.300000000017</v>
      </c>
      <c r="Y19" s="162">
        <f t="shared" si="3"/>
        <v>0</v>
      </c>
      <c r="Z19" s="162">
        <f t="shared" si="4"/>
        <v>0</v>
      </c>
      <c r="AA19" s="153">
        <f>IFERROR(VLOOKUP(A19,#REF!,8,FALSE),0)</f>
        <v>0</v>
      </c>
      <c r="AB19" s="39">
        <f t="shared" si="5"/>
        <v>410</v>
      </c>
    </row>
    <row r="20" spans="1:28" ht="15" customHeight="1" x14ac:dyDescent="0.3">
      <c r="A20" s="272">
        <v>15991</v>
      </c>
      <c r="B20" s="272">
        <v>15991</v>
      </c>
      <c r="C20" s="273" t="s">
        <v>413</v>
      </c>
      <c r="D20" s="273" t="s">
        <v>307</v>
      </c>
      <c r="E20" s="273">
        <v>1907615991</v>
      </c>
      <c r="F20" s="274">
        <v>43108</v>
      </c>
      <c r="G20" s="274">
        <v>43113</v>
      </c>
      <c r="H20" s="273">
        <v>5</v>
      </c>
      <c r="I20" s="275"/>
      <c r="J20" s="276"/>
      <c r="K20" s="275">
        <v>591334</v>
      </c>
      <c r="L20" s="275"/>
      <c r="M20" s="275"/>
      <c r="N20" s="275"/>
      <c r="O20" s="275">
        <v>160031</v>
      </c>
      <c r="P20" s="275"/>
      <c r="Q20" s="158">
        <f t="shared" si="0"/>
        <v>0</v>
      </c>
      <c r="R20" s="158">
        <f t="shared" si="1"/>
        <v>751365</v>
      </c>
      <c r="S20" s="156">
        <f>IF(H20=0,(Q20+R20/EERR!$D$2/1.19),(Q20+R20/EERR!$D$2/1.19)/H20)</f>
        <v>211.5948926487485</v>
      </c>
      <c r="T20" s="158">
        <f>R20+Q20*EERR!$D$2</f>
        <v>751365</v>
      </c>
      <c r="U20" s="153">
        <f ca="1">SUMIF(Siteminder!$A$5:$K$150,'Ene (2)'!E20,Siteminder!$K$5:$K$150)</f>
        <v>0</v>
      </c>
      <c r="V20" s="310">
        <f>SUMIF(Transbank!$A$2:$A$433,B20,Transbank!$L$2:$L$433)+(I20+M20)+(J20+N20)*EERR!$D$2</f>
        <v>591334</v>
      </c>
      <c r="W20" s="310">
        <f>V20/EERR!$D$2</f>
        <v>990.84115281501352</v>
      </c>
      <c r="X20" s="162"/>
      <c r="Y20" s="162"/>
      <c r="Z20" s="162"/>
      <c r="AB20" s="39"/>
    </row>
    <row r="21" spans="1:28" ht="15" customHeight="1" x14ac:dyDescent="0.3">
      <c r="A21" s="272">
        <v>2931</v>
      </c>
      <c r="B21" s="272">
        <v>82322</v>
      </c>
      <c r="C21" s="273" t="s">
        <v>414</v>
      </c>
      <c r="D21" s="273" t="s">
        <v>307</v>
      </c>
      <c r="E21" s="273">
        <v>2000382322</v>
      </c>
      <c r="F21" s="274">
        <v>43109</v>
      </c>
      <c r="G21" s="274">
        <v>43114</v>
      </c>
      <c r="H21" s="273">
        <v>5</v>
      </c>
      <c r="I21" s="275"/>
      <c r="J21" s="276"/>
      <c r="K21" s="275"/>
      <c r="L21" s="275">
        <v>780</v>
      </c>
      <c r="M21" s="275"/>
      <c r="N21" s="275"/>
      <c r="O21" s="275"/>
      <c r="P21" s="275">
        <v>195</v>
      </c>
      <c r="Q21" s="158">
        <f t="shared" si="0"/>
        <v>975</v>
      </c>
      <c r="R21" s="158">
        <f t="shared" si="1"/>
        <v>0</v>
      </c>
      <c r="S21" s="156">
        <f>IF(H21=0,(Q21+R21/EERR!$D$2/1.19),(Q21+R21/EERR!$D$2/1.19)/H21)</f>
        <v>195</v>
      </c>
      <c r="T21" s="158">
        <f>R21+Q21*EERR!$D$2</f>
        <v>581880</v>
      </c>
      <c r="U21" s="153">
        <f ca="1">SUMIF(Siteminder!$A$5:$K$150,'Ene (2)'!E21,Siteminder!$K$5:$K$150)</f>
        <v>0</v>
      </c>
      <c r="V21" s="310">
        <f>SUMIF(Transbank!$A$2:$A$433,B21,Transbank!$L$2:$L$433)+(I21+M21)+(J21+N21)*EERR!$D$2</f>
        <v>503741.4</v>
      </c>
      <c r="W21" s="310">
        <f>V21/EERR!$D$2</f>
        <v>844.07071045576413</v>
      </c>
      <c r="X21" s="162"/>
      <c r="Y21" s="162"/>
      <c r="Z21" s="162"/>
      <c r="AB21" s="39"/>
    </row>
    <row r="22" spans="1:28" ht="15" customHeight="1" x14ac:dyDescent="0.3">
      <c r="A22" s="272">
        <v>2932</v>
      </c>
      <c r="B22" s="272">
        <v>59595</v>
      </c>
      <c r="C22" s="273" t="s">
        <v>415</v>
      </c>
      <c r="D22" s="273" t="s">
        <v>307</v>
      </c>
      <c r="E22" s="273">
        <v>1662959595</v>
      </c>
      <c r="F22" s="274">
        <v>43111</v>
      </c>
      <c r="G22" s="274">
        <v>43115</v>
      </c>
      <c r="H22" s="273">
        <v>4</v>
      </c>
      <c r="I22" s="275"/>
      <c r="J22" s="276">
        <v>585</v>
      </c>
      <c r="K22" s="275"/>
      <c r="L22" s="275"/>
      <c r="M22" s="275"/>
      <c r="N22" s="275"/>
      <c r="O22" s="275"/>
      <c r="P22" s="275">
        <v>195</v>
      </c>
      <c r="Q22" s="158">
        <f t="shared" si="0"/>
        <v>780</v>
      </c>
      <c r="R22" s="158">
        <f t="shared" si="1"/>
        <v>0</v>
      </c>
      <c r="S22" s="156">
        <f>IF(H22=0,(Q22+R22/EERR!$D$2/1.19),(Q22+R22/EERR!$D$2/1.19)/H22)</f>
        <v>195</v>
      </c>
      <c r="T22" s="158">
        <f>R22+Q22*EERR!$D$2</f>
        <v>465503.99999999994</v>
      </c>
      <c r="U22" s="153">
        <f ca="1">SUMIF(Siteminder!$A$5:$K$150,'Ene (2)'!E22,Siteminder!$K$5:$K$150)</f>
        <v>0</v>
      </c>
      <c r="V22" s="310">
        <f>SUMIF(Transbank!$A$2:$A$433,B22,Transbank!$L$2:$L$433)+(I22+M22)+(J22+N22)*EERR!$D$2</f>
        <v>349128</v>
      </c>
      <c r="W22" s="310">
        <f>V22/EERR!$D$2</f>
        <v>585</v>
      </c>
      <c r="X22" s="162"/>
      <c r="Y22" s="162"/>
      <c r="Z22" s="162"/>
      <c r="AB22" s="39"/>
    </row>
    <row r="23" spans="1:28" ht="15" customHeight="1" x14ac:dyDescent="0.3">
      <c r="A23" s="272">
        <v>2933</v>
      </c>
      <c r="B23" s="272">
        <v>14629</v>
      </c>
      <c r="C23" s="273" t="s">
        <v>416</v>
      </c>
      <c r="D23" s="273" t="s">
        <v>307</v>
      </c>
      <c r="E23" s="273">
        <v>1189314629</v>
      </c>
      <c r="F23" s="274">
        <v>43111</v>
      </c>
      <c r="G23" s="274">
        <v>43115</v>
      </c>
      <c r="H23" s="273">
        <v>4</v>
      </c>
      <c r="I23" s="275"/>
      <c r="J23" s="276"/>
      <c r="K23" s="275"/>
      <c r="L23" s="275">
        <v>585</v>
      </c>
      <c r="M23" s="275"/>
      <c r="N23" s="275"/>
      <c r="O23" s="275"/>
      <c r="P23" s="275">
        <v>195</v>
      </c>
      <c r="Q23" s="158">
        <f t="shared" si="0"/>
        <v>780</v>
      </c>
      <c r="R23" s="158">
        <f t="shared" si="1"/>
        <v>0</v>
      </c>
      <c r="S23" s="156">
        <f>IF(H23=0,(Q23+R23/EERR!$D$2/1.19),(Q23+R23/EERR!$D$2/1.19)/H23)</f>
        <v>195</v>
      </c>
      <c r="T23" s="158">
        <f>R23+Q23*EERR!$D$2</f>
        <v>465503.99999999994</v>
      </c>
      <c r="U23" s="153">
        <f ca="1">SUMIF(Siteminder!$A$5:$K$150,'Ene (2)'!E23,Siteminder!$K$5:$K$150)</f>
        <v>0</v>
      </c>
      <c r="V23" s="310">
        <f>SUMIF(Transbank!$A$2:$A$433,B23,Transbank!$L$2:$L$433)+(I23+M23)+(J23+N23)*EERR!$D$2</f>
        <v>373306.05</v>
      </c>
      <c r="W23" s="310">
        <f>V23/EERR!$D$2</f>
        <v>625.51281836461123</v>
      </c>
      <c r="X23" s="162">
        <f t="shared" si="2"/>
        <v>-92197.949999999953</v>
      </c>
      <c r="Y23" s="162">
        <f t="shared" si="3"/>
        <v>0</v>
      </c>
      <c r="Z23" s="162">
        <f t="shared" si="4"/>
        <v>0</v>
      </c>
      <c r="AA23" s="153">
        <f>IFERROR(VLOOKUP(A23,#REF!,8,FALSE),0)</f>
        <v>0</v>
      </c>
      <c r="AB23" s="39">
        <f t="shared" si="5"/>
        <v>780</v>
      </c>
    </row>
    <row r="24" spans="1:28" ht="15" customHeight="1" x14ac:dyDescent="0.3">
      <c r="A24" s="272">
        <v>2935</v>
      </c>
      <c r="B24" s="272">
        <v>30311</v>
      </c>
      <c r="C24" s="273" t="s">
        <v>417</v>
      </c>
      <c r="D24" s="273" t="s">
        <v>307</v>
      </c>
      <c r="E24" s="273">
        <v>1766930311</v>
      </c>
      <c r="F24" s="274">
        <v>43111</v>
      </c>
      <c r="G24" s="274">
        <v>43115</v>
      </c>
      <c r="H24" s="273">
        <v>4</v>
      </c>
      <c r="I24" s="275"/>
      <c r="J24" s="276"/>
      <c r="K24" s="275"/>
      <c r="L24" s="275">
        <v>820</v>
      </c>
      <c r="M24" s="275"/>
      <c r="N24" s="275"/>
      <c r="O24" s="275"/>
      <c r="P24" s="275"/>
      <c r="Q24" s="158">
        <f t="shared" si="0"/>
        <v>820</v>
      </c>
      <c r="R24" s="158">
        <f t="shared" si="1"/>
        <v>0</v>
      </c>
      <c r="S24" s="156">
        <f>IF(H24=0,(Q24+R24/EERR!$D$2/1.19),(Q24+R24/EERR!$D$2/1.19)/H24)</f>
        <v>205</v>
      </c>
      <c r="T24" s="158">
        <f>R24+Q24*EERR!$D$2</f>
        <v>489375.99999999994</v>
      </c>
      <c r="U24" s="153">
        <f ca="1">SUMIF(Siteminder!$A$5:$K$150,'Ene (2)'!E24,Siteminder!$K$5:$K$150)</f>
        <v>0</v>
      </c>
      <c r="V24" s="311">
        <f>SUMIF(Transbank!$A$2:$A$433,B24,Transbank!$L$2:$L$433)+(I24+M24)+(J24+N24)*EERR!$D$2</f>
        <v>523266.6</v>
      </c>
      <c r="W24" s="310">
        <f>V24/EERR!$D$2</f>
        <v>876.78719839142093</v>
      </c>
      <c r="X24" s="162">
        <f t="shared" si="2"/>
        <v>33890.600000000035</v>
      </c>
      <c r="Y24" s="162">
        <f t="shared" si="3"/>
        <v>0</v>
      </c>
      <c r="Z24" s="162">
        <f t="shared" si="4"/>
        <v>0</v>
      </c>
      <c r="AA24" s="153">
        <f>IFERROR(VLOOKUP(A24,#REF!,8,FALSE),0)</f>
        <v>0</v>
      </c>
      <c r="AB24" s="39">
        <f t="shared" si="5"/>
        <v>820</v>
      </c>
    </row>
    <row r="25" spans="1:28" ht="15" customHeight="1" x14ac:dyDescent="0.3">
      <c r="A25" s="272">
        <v>87536</v>
      </c>
      <c r="B25" s="272">
        <v>87536</v>
      </c>
      <c r="C25" s="273" t="s">
        <v>417</v>
      </c>
      <c r="D25" s="273" t="s">
        <v>307</v>
      </c>
      <c r="E25" s="273">
        <v>1187287536</v>
      </c>
      <c r="F25" s="274">
        <v>43111</v>
      </c>
      <c r="G25" s="274">
        <v>43115</v>
      </c>
      <c r="H25" s="273">
        <v>4</v>
      </c>
      <c r="I25" s="275"/>
      <c r="J25" s="276"/>
      <c r="K25" s="275">
        <v>401127</v>
      </c>
      <c r="L25" s="275"/>
      <c r="M25" s="275"/>
      <c r="N25" s="275"/>
      <c r="O25" s="275">
        <v>142492</v>
      </c>
      <c r="P25" s="275"/>
      <c r="Q25" s="158">
        <f t="shared" si="0"/>
        <v>0</v>
      </c>
      <c r="R25" s="158">
        <f t="shared" si="1"/>
        <v>543619</v>
      </c>
      <c r="S25" s="156">
        <f>IF(H25=0,(Q25+R25/EERR!$D$2/1.19),(Q25+R25/EERR!$D$2/1.19)/H25)</f>
        <v>191.36339187149392</v>
      </c>
      <c r="T25" s="158">
        <f>R25+Q25*EERR!$D$2</f>
        <v>543619</v>
      </c>
      <c r="U25" s="153">
        <f ca="1">SUMIF(Siteminder!$A$5:$K$150,'Ene (2)'!E25,Siteminder!$K$5:$K$150)</f>
        <v>0</v>
      </c>
      <c r="V25" s="310">
        <f>SUMIF(Transbank!$A$2:$A$433,B25,Transbank!$L$2:$L$433)+(I25+M25)+(J25+N25)*EERR!$D$2</f>
        <v>401127</v>
      </c>
      <c r="W25" s="310">
        <f>V25/EERR!$D$2</f>
        <v>672.12969168900804</v>
      </c>
      <c r="X25" s="162">
        <f t="shared" si="2"/>
        <v>-142492</v>
      </c>
      <c r="Y25" s="162">
        <f t="shared" si="3"/>
        <v>337081.51260504202</v>
      </c>
      <c r="Z25" s="162">
        <f t="shared" si="4"/>
        <v>0</v>
      </c>
      <c r="AA25" s="153">
        <f>IFERROR(VLOOKUP(A25,#REF!,8,FALSE),0)</f>
        <v>0</v>
      </c>
      <c r="AB25" s="39">
        <f t="shared" si="5"/>
        <v>0</v>
      </c>
    </row>
    <row r="26" spans="1:28" ht="15" customHeight="1" x14ac:dyDescent="0.3">
      <c r="A26" s="272">
        <v>2936</v>
      </c>
      <c r="B26" s="272">
        <v>78654</v>
      </c>
      <c r="C26" s="273" t="s">
        <v>418</v>
      </c>
      <c r="D26" s="273" t="s">
        <v>307</v>
      </c>
      <c r="E26" s="273">
        <v>1488378654</v>
      </c>
      <c r="F26" s="274">
        <v>43112</v>
      </c>
      <c r="G26" s="274">
        <v>43115</v>
      </c>
      <c r="H26" s="273">
        <v>3</v>
      </c>
      <c r="I26" s="275"/>
      <c r="J26" s="276"/>
      <c r="K26" s="275"/>
      <c r="L26" s="275">
        <v>369</v>
      </c>
      <c r="M26" s="275"/>
      <c r="N26" s="275"/>
      <c r="O26" s="275"/>
      <c r="P26" s="275">
        <v>185</v>
      </c>
      <c r="Q26" s="158">
        <f t="shared" si="0"/>
        <v>554</v>
      </c>
      <c r="R26" s="158">
        <f t="shared" si="1"/>
        <v>0</v>
      </c>
      <c r="S26" s="156">
        <f>IF(H26=0,(Q26+R26/EERR!$D$2/1.19),(Q26+R26/EERR!$D$2/1.19)/H26)</f>
        <v>184.66666666666666</v>
      </c>
      <c r="T26" s="158">
        <f>R26+Q26*EERR!$D$2</f>
        <v>330627.19999999995</v>
      </c>
      <c r="U26" s="153">
        <f ca="1">SUMIF(Siteminder!$A$5:$K$150,'Ene (2)'!E26,Siteminder!$K$5:$K$150)</f>
        <v>0</v>
      </c>
      <c r="V26" s="310">
        <f>SUMIF(Transbank!$A$2:$A$433,B26,Transbank!$L$2:$L$433)+(I26+M26)+(J26+N26)*EERR!$D$2</f>
        <v>235469.97</v>
      </c>
      <c r="W26" s="310">
        <f>V26/EERR!$D$2</f>
        <v>394.55423927613947</v>
      </c>
      <c r="X26" s="162">
        <f t="shared" si="2"/>
        <v>-95157.229999999952</v>
      </c>
      <c r="Y26" s="162">
        <f t="shared" si="3"/>
        <v>0</v>
      </c>
      <c r="Z26" s="162">
        <f t="shared" si="4"/>
        <v>0</v>
      </c>
      <c r="AA26" s="153">
        <f>IFERROR(VLOOKUP(A26,#REF!,8,FALSE),0)</f>
        <v>0</v>
      </c>
      <c r="AB26" s="39">
        <f t="shared" si="5"/>
        <v>554</v>
      </c>
    </row>
    <row r="27" spans="1:28" ht="15" customHeight="1" x14ac:dyDescent="0.3">
      <c r="A27" s="272">
        <v>2937</v>
      </c>
      <c r="B27" s="272">
        <v>96784</v>
      </c>
      <c r="C27" s="273" t="s">
        <v>419</v>
      </c>
      <c r="D27" s="273" t="s">
        <v>307</v>
      </c>
      <c r="E27" s="273">
        <v>1664696784</v>
      </c>
      <c r="F27" s="274">
        <v>43112</v>
      </c>
      <c r="G27" s="274">
        <v>43113</v>
      </c>
      <c r="H27" s="273">
        <v>1</v>
      </c>
      <c r="I27" s="275"/>
      <c r="J27" s="276"/>
      <c r="K27" s="275"/>
      <c r="L27" s="275"/>
      <c r="M27" s="275"/>
      <c r="N27" s="275"/>
      <c r="O27" s="275"/>
      <c r="P27" s="275">
        <v>195</v>
      </c>
      <c r="Q27" s="158">
        <f t="shared" si="0"/>
        <v>195</v>
      </c>
      <c r="R27" s="158">
        <f t="shared" si="1"/>
        <v>0</v>
      </c>
      <c r="S27" s="156">
        <f>IF(H27=0,(Q27+R27/EERR!$D$2/1.19),(Q27+R27/EERR!$D$2/1.19)/H27)</f>
        <v>195</v>
      </c>
      <c r="T27" s="158">
        <f>R27+Q27*EERR!$D$2</f>
        <v>116375.99999999999</v>
      </c>
      <c r="U27" s="153">
        <f ca="1">SUMIF(Siteminder!$A$5:$K$150,'Ene (2)'!E27,Siteminder!$K$5:$K$150)</f>
        <v>0</v>
      </c>
      <c r="V27" s="310">
        <f>SUMIF(Transbank!$A$2:$A$433,B27,Transbank!$L$2:$L$433)+(I27+M27)+(J27+N27)*EERR!$D$2</f>
        <v>0</v>
      </c>
      <c r="W27" s="310">
        <f>V27/EERR!$D$2</f>
        <v>0</v>
      </c>
      <c r="X27" s="162">
        <f t="shared" si="2"/>
        <v>-116375.99999999999</v>
      </c>
      <c r="Y27" s="162">
        <f t="shared" si="3"/>
        <v>0</v>
      </c>
      <c r="Z27" s="162">
        <f t="shared" si="4"/>
        <v>0</v>
      </c>
      <c r="AA27" s="153">
        <f>IFERROR(VLOOKUP(A27,#REF!,8,FALSE),0)</f>
        <v>0</v>
      </c>
      <c r="AB27" s="39">
        <f t="shared" si="5"/>
        <v>195</v>
      </c>
    </row>
    <row r="28" spans="1:28" ht="15" customHeight="1" x14ac:dyDescent="0.3">
      <c r="A28" s="272">
        <v>17213</v>
      </c>
      <c r="B28" s="272">
        <v>17213</v>
      </c>
      <c r="C28" s="273" t="s">
        <v>420</v>
      </c>
      <c r="D28" s="273" t="s">
        <v>307</v>
      </c>
      <c r="E28" s="273">
        <v>1239917213</v>
      </c>
      <c r="F28" s="274">
        <v>43112</v>
      </c>
      <c r="G28" s="274">
        <v>43114</v>
      </c>
      <c r="H28" s="273">
        <v>2</v>
      </c>
      <c r="I28" s="275"/>
      <c r="J28" s="276"/>
      <c r="K28" s="275">
        <v>148566</v>
      </c>
      <c r="L28" s="275"/>
      <c r="M28" s="275"/>
      <c r="N28" s="275"/>
      <c r="O28" s="275">
        <v>158324</v>
      </c>
      <c r="P28" s="275"/>
      <c r="Q28" s="158">
        <f t="shared" si="0"/>
        <v>0</v>
      </c>
      <c r="R28" s="158">
        <f t="shared" si="1"/>
        <v>306890</v>
      </c>
      <c r="S28" s="156">
        <f>IF(H28=0,(Q28+R28/EERR!$D$2/1.19),(Q28+R28/EERR!$D$2/1.19)/H28)</f>
        <v>216.06129046792984</v>
      </c>
      <c r="T28" s="158">
        <f>R28+Q28*EERR!$D$2</f>
        <v>306890</v>
      </c>
      <c r="U28" s="153">
        <f ca="1">SUMIF(Siteminder!$A$5:$K$150,'Ene (2)'!E28,Siteminder!$K$5:$K$150)</f>
        <v>0</v>
      </c>
      <c r="V28" s="310">
        <f>SUMIF(Transbank!$A$2:$A$433,B28,Transbank!$L$2:$L$433)+(I28+M28)+(J28+N28)*EERR!$D$2</f>
        <v>148566</v>
      </c>
      <c r="W28" s="310">
        <f>V28/EERR!$D$2</f>
        <v>248.93766756032173</v>
      </c>
      <c r="X28" s="162">
        <f t="shared" si="2"/>
        <v>-158324</v>
      </c>
      <c r="Y28" s="162">
        <f t="shared" si="3"/>
        <v>124845.37815126051</v>
      </c>
      <c r="Z28" s="162">
        <f t="shared" si="4"/>
        <v>0</v>
      </c>
      <c r="AA28" s="153">
        <f>IFERROR(VLOOKUP(A28,#REF!,8,FALSE),0)</f>
        <v>0</v>
      </c>
      <c r="AB28" s="39">
        <f t="shared" si="5"/>
        <v>0</v>
      </c>
    </row>
    <row r="29" spans="1:28" ht="15" customHeight="1" x14ac:dyDescent="0.3">
      <c r="A29" s="272">
        <v>2938</v>
      </c>
      <c r="B29" s="272">
        <v>18219</v>
      </c>
      <c r="C29" s="273" t="s">
        <v>421</v>
      </c>
      <c r="D29" s="273" t="s">
        <v>307</v>
      </c>
      <c r="E29" s="273">
        <v>1451418219</v>
      </c>
      <c r="F29" s="274">
        <v>43113</v>
      </c>
      <c r="G29" s="274">
        <v>43116</v>
      </c>
      <c r="H29" s="273">
        <v>3</v>
      </c>
      <c r="I29" s="275"/>
      <c r="J29" s="276"/>
      <c r="K29" s="275"/>
      <c r="L29" s="275">
        <v>410</v>
      </c>
      <c r="M29" s="275"/>
      <c r="N29" s="275"/>
      <c r="O29" s="275"/>
      <c r="P29" s="275">
        <v>205</v>
      </c>
      <c r="Q29" s="158">
        <f t="shared" si="0"/>
        <v>615</v>
      </c>
      <c r="R29" s="158">
        <f t="shared" si="1"/>
        <v>0</v>
      </c>
      <c r="S29" s="156">
        <f>IF(H29=0,(Q29+R29/EERR!$D$2/1.19),(Q29+R29/EERR!$D$2/1.19)/H29)</f>
        <v>205</v>
      </c>
      <c r="T29" s="158">
        <f>R29+Q29*EERR!$D$2</f>
        <v>367032</v>
      </c>
      <c r="U29" s="153">
        <f ca="1">SUMIF(Siteminder!$A$5:$K$150,'Ene (2)'!E29,Siteminder!$K$5:$K$150)</f>
        <v>0</v>
      </c>
      <c r="V29" s="310">
        <f>SUMIF(Transbank!$A$2:$A$433,B29,Transbank!$L$2:$L$433)+(I29+M29)+(J29+N29)*EERR!$D$2</f>
        <v>261633.3</v>
      </c>
      <c r="W29" s="310">
        <f>V29/EERR!$D$2</f>
        <v>438.39359919571046</v>
      </c>
      <c r="X29" s="162">
        <f t="shared" si="2"/>
        <v>-105398.70000000001</v>
      </c>
      <c r="Y29" s="162">
        <f t="shared" si="3"/>
        <v>0</v>
      </c>
      <c r="Z29" s="162">
        <f t="shared" si="4"/>
        <v>0</v>
      </c>
      <c r="AA29" s="153">
        <f>IFERROR(VLOOKUP(A29,#REF!,8,FALSE),0)</f>
        <v>0</v>
      </c>
      <c r="AB29" s="39">
        <f t="shared" si="5"/>
        <v>615</v>
      </c>
    </row>
    <row r="30" spans="1:28" ht="15" customHeight="1" x14ac:dyDescent="0.3">
      <c r="A30" s="272">
        <v>2939</v>
      </c>
      <c r="B30" s="272">
        <v>43519</v>
      </c>
      <c r="C30" s="273" t="s">
        <v>422</v>
      </c>
      <c r="D30" s="273" t="s">
        <v>307</v>
      </c>
      <c r="E30" s="273">
        <v>1862843519</v>
      </c>
      <c r="F30" s="274">
        <v>43113</v>
      </c>
      <c r="G30" s="274">
        <v>43116</v>
      </c>
      <c r="H30" s="273">
        <v>3</v>
      </c>
      <c r="I30" s="275"/>
      <c r="J30" s="276"/>
      <c r="K30" s="275"/>
      <c r="L30" s="275">
        <v>390</v>
      </c>
      <c r="M30" s="275"/>
      <c r="N30" s="275"/>
      <c r="O30" s="275"/>
      <c r="P30" s="275">
        <v>195</v>
      </c>
      <c r="Q30" s="158">
        <f t="shared" si="0"/>
        <v>585</v>
      </c>
      <c r="R30" s="158">
        <f t="shared" si="1"/>
        <v>0</v>
      </c>
      <c r="S30" s="156">
        <f>IF(H30=0,(Q30+R30/EERR!$D$2/1.19),(Q30+R30/EERR!$D$2/1.19)/H30)</f>
        <v>195</v>
      </c>
      <c r="T30" s="158">
        <f>R30+Q30*EERR!$D$2</f>
        <v>349128</v>
      </c>
      <c r="U30" s="153">
        <f ca="1">SUMIF(Siteminder!$A$5:$K$150,'Ene (2)'!E30,Siteminder!$K$5:$K$150)</f>
        <v>0</v>
      </c>
      <c r="V30" s="310">
        <f>SUMIF(Transbank!$A$2:$A$433,B30,Transbank!$L$2:$L$433)+(I30+M30)+(J30+N30)*EERR!$D$2</f>
        <v>248870.7</v>
      </c>
      <c r="W30" s="310">
        <f>V30/EERR!$D$2</f>
        <v>417.00854557640758</v>
      </c>
      <c r="X30" s="162">
        <f t="shared" si="2"/>
        <v>-100257.29999999999</v>
      </c>
      <c r="Y30" s="162">
        <f t="shared" si="3"/>
        <v>0</v>
      </c>
      <c r="Z30" s="162">
        <f t="shared" si="4"/>
        <v>0</v>
      </c>
      <c r="AA30" s="153">
        <f>IFERROR(VLOOKUP(A30,#REF!,8,FALSE),0)</f>
        <v>0</v>
      </c>
      <c r="AB30" s="39">
        <f t="shared" si="5"/>
        <v>585</v>
      </c>
    </row>
    <row r="31" spans="1:28" ht="15" customHeight="1" x14ac:dyDescent="0.3">
      <c r="A31" s="272">
        <v>2942</v>
      </c>
      <c r="B31" s="272">
        <v>14444</v>
      </c>
      <c r="C31" s="273" t="s">
        <v>423</v>
      </c>
      <c r="D31" s="273" t="s">
        <v>307</v>
      </c>
      <c r="E31" s="273">
        <v>168514444</v>
      </c>
      <c r="F31" s="274">
        <v>43115</v>
      </c>
      <c r="G31" s="274">
        <v>43122</v>
      </c>
      <c r="H31" s="273">
        <v>7</v>
      </c>
      <c r="I31" s="275"/>
      <c r="J31" s="276">
        <v>1170</v>
      </c>
      <c r="K31" s="275"/>
      <c r="L31" s="275"/>
      <c r="M31" s="275"/>
      <c r="N31" s="275"/>
      <c r="O31" s="275"/>
      <c r="P31" s="275">
        <v>195</v>
      </c>
      <c r="Q31" s="158">
        <f t="shared" si="0"/>
        <v>1365</v>
      </c>
      <c r="R31" s="158">
        <f t="shared" si="1"/>
        <v>0</v>
      </c>
      <c r="S31" s="156">
        <f>IF(H31=0,(Q31+R31/EERR!$D$2/1.19),(Q31+R31/EERR!$D$2/1.19)/H31)</f>
        <v>195</v>
      </c>
      <c r="T31" s="158">
        <f>R31+Q31*EERR!$D$2</f>
        <v>814631.99999999988</v>
      </c>
      <c r="U31" s="153">
        <f ca="1">SUMIF(Siteminder!$A$5:$K$150,'Ene (2)'!E31,Siteminder!$K$5:$K$150)</f>
        <v>0</v>
      </c>
      <c r="V31" s="310">
        <f>SUMIF(Transbank!$A$2:$A$433,B31,Transbank!$L$2:$L$433)+(I31+M31)+(J31+N31)*EERR!$D$2</f>
        <v>698256</v>
      </c>
      <c r="W31" s="310">
        <f>V31/EERR!$D$2</f>
        <v>1170</v>
      </c>
      <c r="X31" s="162">
        <f t="shared" si="2"/>
        <v>-116375.99999999988</v>
      </c>
      <c r="Y31" s="162">
        <f t="shared" si="3"/>
        <v>0</v>
      </c>
      <c r="Z31" s="162">
        <f t="shared" si="4"/>
        <v>0</v>
      </c>
      <c r="AA31" s="153">
        <f>IFERROR(VLOOKUP(A31,#REF!,8,FALSE),0)</f>
        <v>0</v>
      </c>
      <c r="AB31" s="39">
        <f t="shared" si="5"/>
        <v>1365</v>
      </c>
    </row>
    <row r="32" spans="1:28" ht="15" customHeight="1" x14ac:dyDescent="0.3">
      <c r="A32" s="272" t="s">
        <v>590</v>
      </c>
      <c r="B32" s="272">
        <v>65464</v>
      </c>
      <c r="C32" s="273" t="s">
        <v>424</v>
      </c>
      <c r="D32" s="273" t="s">
        <v>307</v>
      </c>
      <c r="E32" s="273">
        <v>1471665464</v>
      </c>
      <c r="F32" s="274">
        <v>43115</v>
      </c>
      <c r="G32" s="274">
        <v>43121</v>
      </c>
      <c r="H32" s="273">
        <v>6</v>
      </c>
      <c r="I32" s="275"/>
      <c r="J32" s="276"/>
      <c r="K32" s="275"/>
      <c r="L32" s="275">
        <f>975+98</f>
        <v>1073</v>
      </c>
      <c r="M32" s="275"/>
      <c r="N32" s="275"/>
      <c r="O32" s="275"/>
      <c r="P32" s="275">
        <v>195</v>
      </c>
      <c r="Q32" s="158">
        <f>J32+L32+N32+P32</f>
        <v>1268</v>
      </c>
      <c r="R32" s="158">
        <f t="shared" si="1"/>
        <v>0</v>
      </c>
      <c r="S32" s="156">
        <f>IF(H32=0,(Q32+R32/EERR!$D$2/1.19),(Q32+R32/EERR!$D$2/1.19)/H32)</f>
        <v>211.33333333333334</v>
      </c>
      <c r="T32" s="158">
        <f>R32+Q32*EERR!$D$2</f>
        <v>756742.39999999991</v>
      </c>
      <c r="U32" s="153">
        <f ca="1">SUMIF(Siteminder!$A$5:$K$150,'Ene (2)'!E32,Siteminder!$K$5:$K$150)</f>
        <v>0</v>
      </c>
      <c r="V32" s="310">
        <f>SUMIF(Transbank!$A$2:$A$433,B32,Transbank!$L$2:$L$433)+(I32+M32)+(J32+N32)*EERR!$D$2</f>
        <v>684713.49</v>
      </c>
      <c r="W32" s="310">
        <f>V32/EERR!$D$2</f>
        <v>1147.3081266756033</v>
      </c>
      <c r="X32" s="162">
        <f t="shared" si="2"/>
        <v>-72028.909999999916</v>
      </c>
      <c r="Y32" s="162">
        <f t="shared" si="3"/>
        <v>0</v>
      </c>
      <c r="Z32" s="162">
        <f t="shared" si="4"/>
        <v>0</v>
      </c>
      <c r="AA32" s="153">
        <f>IFERROR(VLOOKUP(A32,#REF!,8,FALSE),0)</f>
        <v>0</v>
      </c>
      <c r="AB32" s="39">
        <f t="shared" si="5"/>
        <v>1268</v>
      </c>
    </row>
    <row r="33" spans="1:28" ht="15" customHeight="1" x14ac:dyDescent="0.3">
      <c r="A33" s="272">
        <v>2944</v>
      </c>
      <c r="B33" s="272">
        <v>81210</v>
      </c>
      <c r="C33" s="273" t="s">
        <v>425</v>
      </c>
      <c r="D33" s="273" t="s">
        <v>307</v>
      </c>
      <c r="E33" s="273">
        <v>1995581210</v>
      </c>
      <c r="F33" s="274">
        <v>43115</v>
      </c>
      <c r="G33" s="274">
        <v>43122</v>
      </c>
      <c r="H33" s="273">
        <v>7</v>
      </c>
      <c r="I33" s="275"/>
      <c r="J33" s="276"/>
      <c r="K33" s="275"/>
      <c r="L33" s="275">
        <v>176</v>
      </c>
      <c r="M33" s="275"/>
      <c r="N33" s="275"/>
      <c r="O33" s="275"/>
      <c r="P33" s="275">
        <v>1053</v>
      </c>
      <c r="Q33" s="158">
        <f t="shared" si="0"/>
        <v>1229</v>
      </c>
      <c r="R33" s="158">
        <f t="shared" si="1"/>
        <v>0</v>
      </c>
      <c r="S33" s="156">
        <f>IF(H33=0,(Q33+R33/EERR!$D$2/1.19),(Q33+R33/EERR!$D$2/1.19)/H33)</f>
        <v>175.57142857142858</v>
      </c>
      <c r="T33" s="158">
        <f>R33+Q33*EERR!$D$2</f>
        <v>733467.2</v>
      </c>
      <c r="U33" s="153">
        <f ca="1">SUMIF(Siteminder!$A$5:$K$150,'Ene (2)'!E33,Siteminder!$K$5:$K$150)</f>
        <v>0</v>
      </c>
      <c r="V33" s="310">
        <f>SUMIF(Transbank!$A$2:$A$433,B33,Transbank!$L$2:$L$433)+(I33+M33)+(J33+N33)*EERR!$D$2</f>
        <v>671950.89</v>
      </c>
      <c r="W33" s="310">
        <f>V33/EERR!$D$2</f>
        <v>1125.9230730563004</v>
      </c>
      <c r="X33" s="162">
        <f t="shared" si="2"/>
        <v>-61516.309999999939</v>
      </c>
      <c r="Y33" s="162">
        <f t="shared" si="3"/>
        <v>0</v>
      </c>
      <c r="Z33" s="162">
        <f t="shared" si="4"/>
        <v>0</v>
      </c>
      <c r="AA33" s="153">
        <f>IFERROR(VLOOKUP(A33,#REF!,8,FALSE),0)</f>
        <v>0</v>
      </c>
      <c r="AB33" s="39">
        <f t="shared" si="5"/>
        <v>1229</v>
      </c>
    </row>
    <row r="34" spans="1:28" ht="15" customHeight="1" x14ac:dyDescent="0.3">
      <c r="A34" s="272">
        <v>2949</v>
      </c>
      <c r="B34" s="272">
        <v>53458</v>
      </c>
      <c r="C34" s="273" t="s">
        <v>426</v>
      </c>
      <c r="D34" s="273" t="s">
        <v>307</v>
      </c>
      <c r="E34" s="273">
        <v>1053953458</v>
      </c>
      <c r="F34" s="274">
        <v>43115</v>
      </c>
      <c r="G34" s="274">
        <v>43118</v>
      </c>
      <c r="H34" s="273">
        <v>3</v>
      </c>
      <c r="I34" s="275"/>
      <c r="J34" s="276"/>
      <c r="K34" s="275"/>
      <c r="L34" s="275"/>
      <c r="M34" s="275"/>
      <c r="N34" s="275"/>
      <c r="O34" s="275"/>
      <c r="P34" s="275"/>
      <c r="Q34" s="158">
        <f t="shared" si="0"/>
        <v>0</v>
      </c>
      <c r="R34" s="158">
        <f t="shared" si="1"/>
        <v>0</v>
      </c>
      <c r="S34" s="156">
        <f>IF(H34=0,(Q34+R34/EERR!$D$2/1.19),(Q34+R34/EERR!$D$2/1.19)/H34)</f>
        <v>0</v>
      </c>
      <c r="T34" s="158">
        <f>R34+Q34*EERR!$D$2</f>
        <v>0</v>
      </c>
      <c r="U34" s="153">
        <f ca="1">SUMIF(Siteminder!$A$5:$K$150,'Ene (2)'!E34,Siteminder!$K$5:$K$150)</f>
        <v>0</v>
      </c>
      <c r="V34" s="310">
        <f>SUMIF(Transbank!$A$2:$A$433,B34,Transbank!$L$2:$L$433)+(I34+M34)+(J34+N34)*EERR!$D$2</f>
        <v>223983.63</v>
      </c>
      <c r="W34" s="310">
        <f>V34/EERR!$D$2</f>
        <v>375.30769101876677</v>
      </c>
      <c r="X34" s="162">
        <f t="shared" si="2"/>
        <v>223983.63</v>
      </c>
      <c r="Y34" s="162">
        <f t="shared" si="3"/>
        <v>0</v>
      </c>
      <c r="Z34" s="162">
        <f t="shared" si="4"/>
        <v>0</v>
      </c>
      <c r="AA34" s="153">
        <f>IFERROR(VLOOKUP(A34,#REF!,8,FALSE),0)</f>
        <v>0</v>
      </c>
      <c r="AB34" s="39">
        <f t="shared" si="5"/>
        <v>0</v>
      </c>
    </row>
    <row r="35" spans="1:28" ht="15" customHeight="1" x14ac:dyDescent="0.3">
      <c r="A35" s="272">
        <v>2946</v>
      </c>
      <c r="B35" s="272">
        <v>13528</v>
      </c>
      <c r="C35" s="273" t="s">
        <v>427</v>
      </c>
      <c r="D35" s="273" t="s">
        <v>307</v>
      </c>
      <c r="E35" s="273">
        <v>1889013528</v>
      </c>
      <c r="F35" s="274">
        <v>43117</v>
      </c>
      <c r="G35" s="274">
        <v>43122</v>
      </c>
      <c r="H35" s="273">
        <v>5</v>
      </c>
      <c r="I35" s="275"/>
      <c r="J35" s="276">
        <v>780</v>
      </c>
      <c r="K35" s="275"/>
      <c r="L35" s="275"/>
      <c r="M35" s="275"/>
      <c r="N35" s="275"/>
      <c r="O35" s="275"/>
      <c r="P35" s="275">
        <v>195</v>
      </c>
      <c r="Q35" s="158">
        <f t="shared" si="0"/>
        <v>975</v>
      </c>
      <c r="R35" s="158">
        <f t="shared" si="1"/>
        <v>0</v>
      </c>
      <c r="S35" s="156">
        <f>IF(H35=0,(Q35+R35/EERR!$D$2/1.19),(Q35+R35/EERR!$D$2/1.19)/H35)</f>
        <v>195</v>
      </c>
      <c r="T35" s="158">
        <f>R35+Q35*EERR!$D$2</f>
        <v>581880</v>
      </c>
      <c r="U35" s="153">
        <f ca="1">SUMIF(Siteminder!$A$5:$K$150,'Ene (2)'!E35,Siteminder!$K$5:$K$150)</f>
        <v>0</v>
      </c>
      <c r="V35" s="310">
        <f>SUMIF(Transbank!$A$2:$A$433,B35,Transbank!$L$2:$L$433)+(I35+M35)+(J35+N35)*EERR!$D$2</f>
        <v>465503.99999999994</v>
      </c>
      <c r="W35" s="310">
        <f>V35/EERR!$D$2</f>
        <v>780</v>
      </c>
      <c r="X35" s="162">
        <f t="shared" si="2"/>
        <v>-116376.00000000006</v>
      </c>
      <c r="Y35" s="162">
        <f t="shared" si="3"/>
        <v>0</v>
      </c>
      <c r="Z35" s="162">
        <f t="shared" si="4"/>
        <v>0</v>
      </c>
      <c r="AA35" s="153">
        <f>IFERROR(VLOOKUP(A35,#REF!,8,FALSE),0)</f>
        <v>0</v>
      </c>
      <c r="AB35" s="39">
        <f t="shared" si="5"/>
        <v>975</v>
      </c>
    </row>
    <row r="36" spans="1:28" ht="15" customHeight="1" x14ac:dyDescent="0.3">
      <c r="A36" s="272">
        <v>2947</v>
      </c>
      <c r="B36" s="272">
        <v>10319</v>
      </c>
      <c r="C36" s="273" t="s">
        <v>428</v>
      </c>
      <c r="D36" s="273" t="s">
        <v>307</v>
      </c>
      <c r="E36" s="273">
        <v>1967510319</v>
      </c>
      <c r="F36" s="274">
        <v>43118</v>
      </c>
      <c r="G36" s="274">
        <v>43122</v>
      </c>
      <c r="H36" s="273">
        <v>4</v>
      </c>
      <c r="I36" s="275"/>
      <c r="J36" s="276"/>
      <c r="K36" s="275"/>
      <c r="L36" s="275">
        <v>615</v>
      </c>
      <c r="M36" s="275"/>
      <c r="N36" s="275"/>
      <c r="O36" s="275"/>
      <c r="P36" s="275">
        <v>205</v>
      </c>
      <c r="Q36" s="158">
        <f t="shared" si="0"/>
        <v>820</v>
      </c>
      <c r="R36" s="158">
        <f t="shared" si="1"/>
        <v>0</v>
      </c>
      <c r="S36" s="156">
        <f>IF(H36=0,(Q36+R36/EERR!$D$2/1.19),(Q36+R36/EERR!$D$2/1.19)/H36)</f>
        <v>205</v>
      </c>
      <c r="T36" s="158">
        <f>R36+Q36*EERR!$D$2</f>
        <v>489375.99999999994</v>
      </c>
      <c r="U36" s="153">
        <f ca="1">SUMIF(Siteminder!$A$5:$K$150,'Ene (2)'!E36,Siteminder!$K$5:$K$150)</f>
        <v>0</v>
      </c>
      <c r="V36" s="310">
        <f>SUMIF(Transbank!$A$2:$A$433,B36,Transbank!$L$2:$L$433)+(I36+M36)+(J36+N36)*EERR!$D$2</f>
        <v>392449.95</v>
      </c>
      <c r="W36" s="310">
        <f>V36/EERR!$D$2</f>
        <v>657.59039879356578</v>
      </c>
      <c r="X36" s="162">
        <f t="shared" si="2"/>
        <v>-96926.04999999993</v>
      </c>
      <c r="Y36" s="162">
        <f t="shared" si="3"/>
        <v>0</v>
      </c>
      <c r="Z36" s="162">
        <f t="shared" si="4"/>
        <v>0</v>
      </c>
      <c r="AA36" s="153">
        <f>IFERROR(VLOOKUP(A36,#REF!,8,FALSE),0)</f>
        <v>0</v>
      </c>
      <c r="AB36" s="39">
        <f t="shared" si="5"/>
        <v>820</v>
      </c>
    </row>
    <row r="37" spans="1:28" ht="15" customHeight="1" x14ac:dyDescent="0.3">
      <c r="A37" s="272">
        <v>2950</v>
      </c>
      <c r="B37" s="272">
        <v>1998</v>
      </c>
      <c r="C37" s="273" t="s">
        <v>429</v>
      </c>
      <c r="D37" s="273" t="s">
        <v>307</v>
      </c>
      <c r="E37" s="273">
        <v>1851501998</v>
      </c>
      <c r="F37" s="274">
        <v>43119</v>
      </c>
      <c r="G37" s="274">
        <v>43123</v>
      </c>
      <c r="H37" s="273">
        <v>4</v>
      </c>
      <c r="I37" s="275"/>
      <c r="J37" s="276"/>
      <c r="K37" s="275"/>
      <c r="L37" s="275">
        <v>615</v>
      </c>
      <c r="M37" s="275"/>
      <c r="N37" s="275"/>
      <c r="O37" s="275"/>
      <c r="P37" s="275">
        <v>205</v>
      </c>
      <c r="Q37" s="158">
        <f t="shared" si="0"/>
        <v>820</v>
      </c>
      <c r="R37" s="158">
        <f t="shared" si="1"/>
        <v>0</v>
      </c>
      <c r="S37" s="156">
        <f>IF(H37=0,(Q37+R37/EERR!$D$2/1.19),(Q37+R37/EERR!$D$2/1.19)/H37)</f>
        <v>205</v>
      </c>
      <c r="T37" s="158">
        <f>R37+Q37*EERR!$D$2</f>
        <v>489375.99999999994</v>
      </c>
      <c r="U37" s="153">
        <f ca="1">SUMIF(Siteminder!$A$5:$K$150,'Ene (2)'!E37,Siteminder!$K$5:$K$150)</f>
        <v>0</v>
      </c>
      <c r="V37" s="310">
        <f>SUMIF(Transbank!$A$2:$A$433,B37,Transbank!$L$2:$L$433)+(I37+M37)+(J37+N37)*EERR!$D$2</f>
        <v>392449.95</v>
      </c>
      <c r="W37" s="310">
        <f>V37/EERR!$D$2</f>
        <v>657.59039879356578</v>
      </c>
      <c r="X37" s="162">
        <f t="shared" si="2"/>
        <v>-96926.04999999993</v>
      </c>
      <c r="Y37" s="162">
        <f t="shared" si="3"/>
        <v>0</v>
      </c>
      <c r="Z37" s="162">
        <f t="shared" si="4"/>
        <v>0</v>
      </c>
      <c r="AA37" s="153">
        <f>IFERROR(VLOOKUP(A37,#REF!,8,FALSE),0)</f>
        <v>0</v>
      </c>
      <c r="AB37" s="39">
        <f t="shared" si="5"/>
        <v>820</v>
      </c>
    </row>
    <row r="38" spans="1:28" ht="15" customHeight="1" x14ac:dyDescent="0.3">
      <c r="A38" s="272">
        <v>2953</v>
      </c>
      <c r="B38" s="272">
        <v>98230</v>
      </c>
      <c r="C38" s="273" t="s">
        <v>430</v>
      </c>
      <c r="D38" s="273" t="s">
        <v>307</v>
      </c>
      <c r="E38" s="273">
        <v>1862898230</v>
      </c>
      <c r="F38" s="274">
        <v>43120</v>
      </c>
      <c r="G38" s="274">
        <v>43125</v>
      </c>
      <c r="H38" s="273">
        <v>10</v>
      </c>
      <c r="I38" s="275"/>
      <c r="J38" s="276"/>
      <c r="K38" s="275"/>
      <c r="L38" s="275">
        <v>1560</v>
      </c>
      <c r="M38" s="275"/>
      <c r="N38" s="275"/>
      <c r="O38" s="275"/>
      <c r="P38" s="275">
        <v>390</v>
      </c>
      <c r="Q38" s="158">
        <f t="shared" si="0"/>
        <v>1950</v>
      </c>
      <c r="R38" s="158">
        <f t="shared" si="1"/>
        <v>0</v>
      </c>
      <c r="S38" s="156">
        <f>IF(H38=0,(Q38+R38/EERR!$D$2/1.19),(Q38+R38/EERR!$D$2/1.19)/H38)</f>
        <v>195</v>
      </c>
      <c r="T38" s="158">
        <f>R38+Q38*EERR!$D$2</f>
        <v>1163760</v>
      </c>
      <c r="U38" s="153">
        <f ca="1">SUMIF(Siteminder!$A$5:$K$150,'Ene (2)'!E38,Siteminder!$K$5:$K$150)</f>
        <v>0</v>
      </c>
      <c r="V38" s="310">
        <f>SUMIF(Transbank!$A$2:$A$433,B38,Transbank!$L$2:$L$433)+(I38+M38)+(J38+N38)*EERR!$D$2</f>
        <v>995482.8</v>
      </c>
      <c r="W38" s="310">
        <f>V38/EERR!$D$2</f>
        <v>1668.0341823056303</v>
      </c>
      <c r="X38" s="162">
        <f t="shared" si="2"/>
        <v>-168277.19999999995</v>
      </c>
      <c r="Y38" s="162">
        <f t="shared" si="3"/>
        <v>0</v>
      </c>
      <c r="Z38" s="162">
        <f t="shared" si="4"/>
        <v>0</v>
      </c>
      <c r="AA38" s="153">
        <f>IFERROR(VLOOKUP(A38,#REF!,8,FALSE),0)</f>
        <v>0</v>
      </c>
      <c r="AB38" s="39">
        <f t="shared" si="5"/>
        <v>1950</v>
      </c>
    </row>
    <row r="39" spans="1:28" ht="15" customHeight="1" x14ac:dyDescent="0.3">
      <c r="A39" s="272">
        <v>2948</v>
      </c>
      <c r="B39" s="272">
        <v>13033</v>
      </c>
      <c r="C39" s="273" t="s">
        <v>428</v>
      </c>
      <c r="D39" s="273" t="s">
        <v>307</v>
      </c>
      <c r="E39" s="273">
        <v>1694613033</v>
      </c>
      <c r="F39" s="274">
        <v>43122</v>
      </c>
      <c r="G39" s="274">
        <v>43123</v>
      </c>
      <c r="H39" s="273">
        <v>1</v>
      </c>
      <c r="I39" s="275"/>
      <c r="J39" s="276"/>
      <c r="K39" s="275"/>
      <c r="L39" s="275">
        <v>205</v>
      </c>
      <c r="M39" s="275"/>
      <c r="N39" s="275"/>
      <c r="O39" s="275"/>
      <c r="P39" s="275"/>
      <c r="Q39" s="158">
        <f t="shared" si="0"/>
        <v>205</v>
      </c>
      <c r="R39" s="158">
        <f t="shared" si="1"/>
        <v>0</v>
      </c>
      <c r="S39" s="156">
        <f>IF(H39=0,(Q39+R39/EERR!$D$2/1.19),(Q39+R39/EERR!$D$2/1.19)/H39)</f>
        <v>205</v>
      </c>
      <c r="T39" s="158">
        <f>R39+Q39*EERR!$D$2</f>
        <v>122343.99999999999</v>
      </c>
      <c r="U39" s="153">
        <f ca="1">SUMIF(Siteminder!$A$5:$K$150,'Ene (2)'!E39,Siteminder!$K$5:$K$150)</f>
        <v>0</v>
      </c>
      <c r="V39" s="310">
        <f>SUMIF(Transbank!$A$2:$A$433,B39,Transbank!$L$2:$L$433)+(I39+M39)+(J39+N39)*EERR!$D$2</f>
        <v>130816.65</v>
      </c>
      <c r="W39" s="310">
        <f>V39/EERR!$D$2</f>
        <v>219.19679959785523</v>
      </c>
      <c r="X39" s="162">
        <f t="shared" si="2"/>
        <v>8472.6500000000087</v>
      </c>
      <c r="Y39" s="162">
        <f t="shared" si="3"/>
        <v>0</v>
      </c>
      <c r="Z39" s="162">
        <f t="shared" si="4"/>
        <v>0</v>
      </c>
      <c r="AA39" s="153">
        <f>IFERROR(VLOOKUP(A39,#REF!,8,FALSE),0)</f>
        <v>0</v>
      </c>
      <c r="AB39" s="39">
        <f t="shared" si="5"/>
        <v>205</v>
      </c>
    </row>
    <row r="40" spans="1:28" ht="15" customHeight="1" x14ac:dyDescent="0.3">
      <c r="A40" s="272">
        <v>2955</v>
      </c>
      <c r="B40" s="272">
        <v>19638</v>
      </c>
      <c r="C40" s="273" t="s">
        <v>431</v>
      </c>
      <c r="D40" s="273" t="s">
        <v>307</v>
      </c>
      <c r="E40" s="273">
        <v>1069019638</v>
      </c>
      <c r="F40" s="274">
        <v>43122</v>
      </c>
      <c r="G40" s="274">
        <v>43126</v>
      </c>
      <c r="H40" s="273">
        <v>4</v>
      </c>
      <c r="I40" s="275"/>
      <c r="J40" s="276"/>
      <c r="K40" s="275"/>
      <c r="L40" s="275">
        <v>585</v>
      </c>
      <c r="M40" s="275"/>
      <c r="N40" s="275"/>
      <c r="O40" s="275"/>
      <c r="P40" s="275">
        <v>195</v>
      </c>
      <c r="Q40" s="158">
        <f t="shared" si="0"/>
        <v>780</v>
      </c>
      <c r="R40" s="158">
        <f t="shared" si="1"/>
        <v>0</v>
      </c>
      <c r="S40" s="156">
        <f>IF(H40=0,(Q40+R40/EERR!$D$2/1.19),(Q40+R40/EERR!$D$2/1.19)/H40)</f>
        <v>195</v>
      </c>
      <c r="T40" s="158">
        <f>R40+Q40*EERR!$D$2</f>
        <v>465503.99999999994</v>
      </c>
      <c r="U40" s="153">
        <f ca="1">SUMIF(Siteminder!$A$5:$K$150,'Ene (2)'!E40,Siteminder!$K$5:$K$150)</f>
        <v>0</v>
      </c>
      <c r="V40" s="310">
        <f>SUMIF(Transbank!$A$2:$A$433,B40,Transbank!$L$2:$L$433)+(I40+M40)+(J40+N40)*EERR!$D$2</f>
        <v>373306.05</v>
      </c>
      <c r="W40" s="310">
        <f>V40/EERR!$D$2</f>
        <v>625.51281836461123</v>
      </c>
      <c r="X40" s="162">
        <f t="shared" si="2"/>
        <v>-92197.949999999953</v>
      </c>
      <c r="Y40" s="162">
        <f t="shared" si="3"/>
        <v>0</v>
      </c>
      <c r="Z40" s="162">
        <f t="shared" si="4"/>
        <v>0</v>
      </c>
      <c r="AA40" s="153">
        <f>IFERROR(VLOOKUP(A40,#REF!,8,FALSE),0)</f>
        <v>0</v>
      </c>
      <c r="AB40" s="39">
        <f t="shared" si="5"/>
        <v>780</v>
      </c>
    </row>
    <row r="41" spans="1:28" ht="15" customHeight="1" x14ac:dyDescent="0.3">
      <c r="A41" s="272">
        <v>2959</v>
      </c>
      <c r="B41" s="272">
        <v>89967</v>
      </c>
      <c r="C41" s="273" t="s">
        <v>432</v>
      </c>
      <c r="D41" s="273" t="s">
        <v>307</v>
      </c>
      <c r="E41" s="273">
        <v>2096789967</v>
      </c>
      <c r="F41" s="274">
        <v>43123</v>
      </c>
      <c r="G41" s="274">
        <v>43126</v>
      </c>
      <c r="H41" s="273">
        <v>3</v>
      </c>
      <c r="I41" s="275"/>
      <c r="J41" s="276"/>
      <c r="K41" s="275"/>
      <c r="L41" s="275"/>
      <c r="M41" s="275"/>
      <c r="N41" s="275">
        <v>585</v>
      </c>
      <c r="O41" s="275"/>
      <c r="P41" s="275"/>
      <c r="Q41" s="158">
        <f t="shared" si="0"/>
        <v>585</v>
      </c>
      <c r="R41" s="158">
        <f t="shared" si="1"/>
        <v>0</v>
      </c>
      <c r="S41" s="156">
        <f>IF(H41=0,(Q41+R41/EERR!$D$2/1.19),(Q41+R41/EERR!$D$2/1.19)/H41)</f>
        <v>195</v>
      </c>
      <c r="T41" s="158">
        <f>R41+Q41*EERR!$D$2</f>
        <v>349128</v>
      </c>
      <c r="U41" s="153">
        <f ca="1">SUMIF(Siteminder!$A$5:$K$150,'Ene (2)'!E41,Siteminder!$K$5:$K$150)</f>
        <v>0</v>
      </c>
      <c r="V41" s="310">
        <f>SUMIF(Transbank!$A$2:$A$433,B41,Transbank!$L$2:$L$433)+(I41+M41)+(J41+N41)*EERR!$D$2</f>
        <v>349128</v>
      </c>
      <c r="W41" s="310">
        <f>V41/EERR!$D$2</f>
        <v>585</v>
      </c>
      <c r="X41" s="162">
        <f t="shared" si="2"/>
        <v>0</v>
      </c>
      <c r="Y41" s="162">
        <f t="shared" si="3"/>
        <v>0</v>
      </c>
      <c r="Z41" s="162">
        <f t="shared" si="4"/>
        <v>0</v>
      </c>
      <c r="AA41" s="153">
        <f>IFERROR(VLOOKUP(A41,#REF!,8,FALSE),0)</f>
        <v>0</v>
      </c>
      <c r="AB41" s="39">
        <f t="shared" si="5"/>
        <v>585</v>
      </c>
    </row>
    <row r="42" spans="1:28" ht="15" customHeight="1" x14ac:dyDescent="0.3">
      <c r="A42" s="272">
        <v>2960</v>
      </c>
      <c r="B42" s="272">
        <v>65469</v>
      </c>
      <c r="C42" s="273" t="s">
        <v>433</v>
      </c>
      <c r="D42" s="273" t="s">
        <v>307</v>
      </c>
      <c r="E42" s="273">
        <v>1830265469</v>
      </c>
      <c r="F42" s="274">
        <v>43123</v>
      </c>
      <c r="G42" s="274">
        <v>43126</v>
      </c>
      <c r="H42" s="273">
        <v>3</v>
      </c>
      <c r="I42" s="275"/>
      <c r="J42" s="276"/>
      <c r="K42" s="275"/>
      <c r="L42" s="275">
        <v>351</v>
      </c>
      <c r="M42" s="275"/>
      <c r="N42" s="275"/>
      <c r="O42" s="275"/>
      <c r="P42" s="275">
        <v>176</v>
      </c>
      <c r="Q42" s="158">
        <f t="shared" si="0"/>
        <v>527</v>
      </c>
      <c r="R42" s="158">
        <f t="shared" si="1"/>
        <v>0</v>
      </c>
      <c r="S42" s="156">
        <f>IF(H42=0,(Q42+R42/EERR!$D$2/1.19),(Q42+R42/EERR!$D$2/1.19)/H42)</f>
        <v>175.66666666666666</v>
      </c>
      <c r="T42" s="158">
        <f>R42+Q42*EERR!$D$2</f>
        <v>314513.59999999998</v>
      </c>
      <c r="U42" s="153">
        <f ca="1">SUMIF(Siteminder!$A$5:$K$150,'Ene (2)'!E42,Siteminder!$K$5:$K$150)</f>
        <v>0</v>
      </c>
      <c r="V42" s="310">
        <f>SUMIF(Transbank!$A$2:$A$433,B42,Transbank!$L$2:$L$433)+(I42+M42)+(J42+N42)*EERR!$D$2</f>
        <v>223983.63</v>
      </c>
      <c r="W42" s="310">
        <f>V42/EERR!$D$2</f>
        <v>375.30769101876677</v>
      </c>
      <c r="X42" s="162">
        <f t="shared" si="2"/>
        <v>-90529.969999999972</v>
      </c>
      <c r="Y42" s="162">
        <f t="shared" si="3"/>
        <v>0</v>
      </c>
      <c r="Z42" s="162">
        <f t="shared" si="4"/>
        <v>0</v>
      </c>
      <c r="AA42" s="153">
        <f>IFERROR(VLOOKUP(A42,#REF!,8,FALSE),0)</f>
        <v>0</v>
      </c>
      <c r="AB42" s="39">
        <f t="shared" si="5"/>
        <v>527</v>
      </c>
    </row>
    <row r="43" spans="1:28" ht="15" customHeight="1" x14ac:dyDescent="0.3">
      <c r="A43" s="272">
        <v>2961</v>
      </c>
      <c r="B43" s="272">
        <v>82739</v>
      </c>
      <c r="C43" s="273" t="s">
        <v>434</v>
      </c>
      <c r="D43" s="273" t="s">
        <v>307</v>
      </c>
      <c r="E43" s="273">
        <v>1760982739</v>
      </c>
      <c r="F43" s="274">
        <v>43125</v>
      </c>
      <c r="G43" s="274">
        <v>43129</v>
      </c>
      <c r="H43" s="273">
        <v>4</v>
      </c>
      <c r="I43" s="275"/>
      <c r="J43" s="276">
        <v>585</v>
      </c>
      <c r="K43" s="275"/>
      <c r="L43" s="275"/>
      <c r="M43" s="275"/>
      <c r="N43" s="275"/>
      <c r="O43" s="275"/>
      <c r="P43" s="275">
        <v>195</v>
      </c>
      <c r="Q43" s="158">
        <f t="shared" si="0"/>
        <v>780</v>
      </c>
      <c r="R43" s="158">
        <f t="shared" si="1"/>
        <v>0</v>
      </c>
      <c r="S43" s="156">
        <f>IF(H43=0,(Q43+R43/EERR!$D$2/1.19),(Q43+R43/EERR!$D$2/1.19)/H43)</f>
        <v>195</v>
      </c>
      <c r="T43" s="158">
        <f>R43+Q43*EERR!$D$2</f>
        <v>465503.99999999994</v>
      </c>
      <c r="U43" s="153">
        <f ca="1">SUMIF(Siteminder!$A$5:$K$150,'Ene (2)'!E43,Siteminder!$K$5:$K$150)</f>
        <v>0</v>
      </c>
      <c r="V43" s="310">
        <f>SUMIF(Transbank!$A$2:$A$433,B43,Transbank!$L$2:$L$433)+(I43+M43)+(J43+N43)*EERR!$D$2</f>
        <v>349128</v>
      </c>
      <c r="W43" s="310">
        <f>V43/EERR!$D$2</f>
        <v>585</v>
      </c>
      <c r="X43" s="162">
        <f t="shared" si="2"/>
        <v>-116375.99999999994</v>
      </c>
      <c r="Y43" s="162">
        <f t="shared" si="3"/>
        <v>0</v>
      </c>
      <c r="Z43" s="162">
        <f t="shared" si="4"/>
        <v>0</v>
      </c>
      <c r="AA43" s="153" t="s">
        <v>348</v>
      </c>
      <c r="AB43" s="39" t="e">
        <f t="shared" si="5"/>
        <v>#VALUE!</v>
      </c>
    </row>
    <row r="44" spans="1:28" ht="15" customHeight="1" x14ac:dyDescent="0.3">
      <c r="A44" s="272">
        <v>55399</v>
      </c>
      <c r="B44" s="272">
        <v>55399</v>
      </c>
      <c r="C44" s="273" t="s">
        <v>435</v>
      </c>
      <c r="D44" s="273" t="s">
        <v>307</v>
      </c>
      <c r="E44" s="273">
        <v>1458255399</v>
      </c>
      <c r="F44" s="274">
        <v>43125</v>
      </c>
      <c r="G44" s="274">
        <v>43128</v>
      </c>
      <c r="H44" s="273">
        <v>3</v>
      </c>
      <c r="I44" s="275"/>
      <c r="J44" s="276"/>
      <c r="K44" s="275">
        <v>266979</v>
      </c>
      <c r="L44" s="275"/>
      <c r="M44" s="275"/>
      <c r="N44" s="275"/>
      <c r="O44" s="275">
        <v>136563</v>
      </c>
      <c r="P44" s="275"/>
      <c r="Q44" s="158">
        <f t="shared" si="0"/>
        <v>0</v>
      </c>
      <c r="R44" s="158">
        <f t="shared" si="1"/>
        <v>403542</v>
      </c>
      <c r="S44" s="156">
        <f>IF(H44=0,(Q44+R44/EERR!$D$2/1.19),(Q44+R44/EERR!$D$2/1.19)/H44)</f>
        <v>189.40511861581095</v>
      </c>
      <c r="T44" s="158">
        <f>R44+Q44*EERR!$D$2</f>
        <v>403542</v>
      </c>
      <c r="U44" s="153">
        <f ca="1">SUMIF(Siteminder!$A$5:$K$150,'Ene (2)'!E44,Siteminder!$K$5:$K$150)</f>
        <v>0</v>
      </c>
      <c r="V44" s="310">
        <f>SUMIF(Transbank!$A$2:$A$433,B44,Transbank!$L$2:$L$433)+(I44+M44)+(J44+N44)*EERR!$D$2</f>
        <v>266979</v>
      </c>
      <c r="W44" s="310">
        <f>V44/EERR!$D$2</f>
        <v>447.35087131367294</v>
      </c>
      <c r="X44" s="162">
        <f t="shared" si="2"/>
        <v>-136563</v>
      </c>
      <c r="Y44" s="162">
        <f t="shared" si="3"/>
        <v>224352.10084033615</v>
      </c>
      <c r="Z44" s="162">
        <f t="shared" si="4"/>
        <v>0</v>
      </c>
      <c r="AA44" s="153">
        <f>IFERROR(VLOOKUP(A44,#REF!,8,FALSE),0)</f>
        <v>0</v>
      </c>
      <c r="AB44" s="39">
        <f t="shared" si="5"/>
        <v>0</v>
      </c>
    </row>
    <row r="45" spans="1:28" ht="15" customHeight="1" x14ac:dyDescent="0.3">
      <c r="A45" s="272">
        <v>2965</v>
      </c>
      <c r="B45" s="272">
        <v>75247</v>
      </c>
      <c r="C45" s="273" t="s">
        <v>436</v>
      </c>
      <c r="D45" s="273" t="s">
        <v>307</v>
      </c>
      <c r="E45" s="273">
        <v>2023575247</v>
      </c>
      <c r="F45" s="274">
        <v>43125</v>
      </c>
      <c r="G45" s="274">
        <v>43129</v>
      </c>
      <c r="H45" s="273">
        <v>4</v>
      </c>
      <c r="I45" s="275"/>
      <c r="J45" s="276"/>
      <c r="K45" s="275"/>
      <c r="L45" s="275">
        <v>615</v>
      </c>
      <c r="M45" s="275"/>
      <c r="N45" s="275"/>
      <c r="O45" s="275"/>
      <c r="P45" s="275">
        <v>205</v>
      </c>
      <c r="Q45" s="158">
        <f t="shared" si="0"/>
        <v>820</v>
      </c>
      <c r="R45" s="158">
        <f t="shared" si="1"/>
        <v>0</v>
      </c>
      <c r="S45" s="156">
        <f>IF(H45=0,(Q45+R45/EERR!$D$2/1.19),(Q45+R45/EERR!$D$2/1.19)/H45)</f>
        <v>205</v>
      </c>
      <c r="T45" s="158">
        <f>R45+Q45*EERR!$D$2</f>
        <v>489375.99999999994</v>
      </c>
      <c r="U45" s="153">
        <f ca="1">SUMIF(Siteminder!$A$5:$K$150,'Ene (2)'!E45,Siteminder!$K$5:$K$150)</f>
        <v>0</v>
      </c>
      <c r="V45" s="310">
        <f>SUMIF(Transbank!$A$2:$A$433,B45,Transbank!$L$2:$L$433)+(I45+M45)+(J45+N45)*EERR!$D$2</f>
        <v>523266.6</v>
      </c>
      <c r="W45" s="310">
        <f>V45/EERR!$D$2</f>
        <v>876.78719839142093</v>
      </c>
      <c r="X45" s="162">
        <f t="shared" si="2"/>
        <v>33890.600000000035</v>
      </c>
      <c r="Y45" s="162">
        <f t="shared" si="3"/>
        <v>0</v>
      </c>
      <c r="Z45" s="162">
        <f t="shared" si="4"/>
        <v>0</v>
      </c>
      <c r="AA45" s="153">
        <f>IFERROR(VLOOKUP(A45,#REF!,8,FALSE),0)</f>
        <v>0</v>
      </c>
      <c r="AB45" s="39">
        <f t="shared" si="5"/>
        <v>820</v>
      </c>
    </row>
    <row r="46" spans="1:28" ht="15" customHeight="1" x14ac:dyDescent="0.3">
      <c r="A46" s="272">
        <v>67313</v>
      </c>
      <c r="B46" s="272">
        <v>67313</v>
      </c>
      <c r="C46" s="273" t="s">
        <v>437</v>
      </c>
      <c r="D46" s="273" t="s">
        <v>307</v>
      </c>
      <c r="E46" s="273">
        <v>1059367313</v>
      </c>
      <c r="F46" s="274">
        <v>43126</v>
      </c>
      <c r="G46" s="274">
        <v>43127</v>
      </c>
      <c r="H46" s="273">
        <v>1</v>
      </c>
      <c r="I46" s="275"/>
      <c r="J46" s="276"/>
      <c r="K46" s="275"/>
      <c r="L46" s="275"/>
      <c r="M46" s="275"/>
      <c r="N46" s="275"/>
      <c r="O46" s="275">
        <v>147345</v>
      </c>
      <c r="P46" s="275"/>
      <c r="Q46" s="158">
        <f t="shared" si="0"/>
        <v>0</v>
      </c>
      <c r="R46" s="158">
        <f t="shared" si="1"/>
        <v>147345</v>
      </c>
      <c r="S46" s="156">
        <f>IF(H46=0,(Q46+R46/EERR!$D$2/1.19),(Q46+R46/EERR!$D$2/1.19)/H46)</f>
        <v>207.47206389258119</v>
      </c>
      <c r="T46" s="158">
        <f>R46+Q46*EERR!$D$2</f>
        <v>147345</v>
      </c>
      <c r="U46" s="153">
        <f ca="1">SUMIF(Siteminder!$A$5:$K$150,'Ene (2)'!E46,Siteminder!$K$5:$K$150)</f>
        <v>0</v>
      </c>
      <c r="V46" s="310">
        <f>SUMIF(Transbank!$A$2:$A$433,B46,Transbank!$L$2:$L$433)+(I46+M46)+(J46+N46)*EERR!$D$2</f>
        <v>147345</v>
      </c>
      <c r="W46" s="310">
        <f>V46/EERR!$D$2</f>
        <v>246.8917560321716</v>
      </c>
      <c r="X46" s="162">
        <f t="shared" si="2"/>
        <v>0</v>
      </c>
      <c r="Y46" s="162">
        <f t="shared" si="3"/>
        <v>0</v>
      </c>
      <c r="Z46" s="162">
        <f t="shared" si="4"/>
        <v>0</v>
      </c>
      <c r="AA46" s="153">
        <f>IFERROR(VLOOKUP(A46,#REF!,8,FALSE),0)</f>
        <v>0</v>
      </c>
      <c r="AB46" s="39">
        <f t="shared" si="5"/>
        <v>0</v>
      </c>
    </row>
    <row r="47" spans="1:28" ht="15" customHeight="1" x14ac:dyDescent="0.3">
      <c r="A47" s="272">
        <v>2962</v>
      </c>
      <c r="B47" s="272">
        <v>86697</v>
      </c>
      <c r="C47" s="273" t="s">
        <v>438</v>
      </c>
      <c r="D47" s="273" t="s">
        <v>307</v>
      </c>
      <c r="E47" s="273">
        <v>1308986697</v>
      </c>
      <c r="F47" s="274">
        <v>43126</v>
      </c>
      <c r="G47" s="274">
        <v>43128</v>
      </c>
      <c r="H47" s="273">
        <v>2</v>
      </c>
      <c r="I47" s="275"/>
      <c r="J47" s="276"/>
      <c r="K47" s="275"/>
      <c r="L47" s="275">
        <v>176</v>
      </c>
      <c r="M47" s="275"/>
      <c r="N47" s="275"/>
      <c r="O47" s="275"/>
      <c r="P47" s="275">
        <v>176</v>
      </c>
      <c r="Q47" s="158">
        <f t="shared" si="0"/>
        <v>352</v>
      </c>
      <c r="R47" s="158">
        <f t="shared" si="1"/>
        <v>0</v>
      </c>
      <c r="S47" s="156">
        <f>IF(H47=0,(Q47+R47/EERR!$D$2/1.19),(Q47+R47/EERR!$D$2/1.19)/H47)</f>
        <v>176</v>
      </c>
      <c r="T47" s="158">
        <f>R47+Q47*EERR!$D$2</f>
        <v>210073.59999999998</v>
      </c>
      <c r="U47" s="153">
        <f ca="1">SUMIF(Siteminder!$A$5:$K$150,'Ene (2)'!E47,Siteminder!$K$5:$K$150)</f>
        <v>0</v>
      </c>
      <c r="V47" s="310">
        <f>SUMIF(Transbank!$A$2:$A$433,B47,Transbank!$L$2:$L$433)+(I47+M47)+(J47+N47)*EERR!$D$2</f>
        <v>224621.76</v>
      </c>
      <c r="W47" s="310">
        <f>V47/EERR!$D$2</f>
        <v>376.37694369973195</v>
      </c>
      <c r="X47" s="162">
        <f t="shared" si="2"/>
        <v>14548.160000000033</v>
      </c>
      <c r="Y47" s="162">
        <f t="shared" si="3"/>
        <v>0</v>
      </c>
      <c r="Z47" s="162">
        <f t="shared" si="4"/>
        <v>0</v>
      </c>
      <c r="AA47" s="153">
        <f>IFERROR(VLOOKUP(A47,#REF!,8,FALSE),0)</f>
        <v>0</v>
      </c>
      <c r="AB47" s="39">
        <f t="shared" si="5"/>
        <v>352</v>
      </c>
    </row>
    <row r="48" spans="1:28" ht="15" customHeight="1" x14ac:dyDescent="0.3">
      <c r="A48" s="272">
        <v>2966</v>
      </c>
      <c r="B48" s="272">
        <v>57467</v>
      </c>
      <c r="C48" s="273" t="s">
        <v>439</v>
      </c>
      <c r="D48" s="273" t="s">
        <v>307</v>
      </c>
      <c r="E48" s="273">
        <v>1770557467</v>
      </c>
      <c r="F48" s="274">
        <v>43126</v>
      </c>
      <c r="G48" s="274">
        <v>43129</v>
      </c>
      <c r="H48" s="273">
        <v>3</v>
      </c>
      <c r="I48" s="275"/>
      <c r="J48" s="276"/>
      <c r="K48" s="275"/>
      <c r="L48" s="275">
        <v>410</v>
      </c>
      <c r="M48" s="275"/>
      <c r="N48" s="275"/>
      <c r="O48" s="275"/>
      <c r="P48" s="275">
        <v>205</v>
      </c>
      <c r="Q48" s="158">
        <f t="shared" si="0"/>
        <v>615</v>
      </c>
      <c r="R48" s="158">
        <f t="shared" si="1"/>
        <v>0</v>
      </c>
      <c r="S48" s="156">
        <f>IF(H48=0,(Q48+R48/EERR!$D$2/1.19),(Q48+R48/EERR!$D$2/1.19)/H48)</f>
        <v>205</v>
      </c>
      <c r="T48" s="158">
        <f>R48+Q48*EERR!$D$2</f>
        <v>367032</v>
      </c>
      <c r="U48" s="153">
        <f ca="1">SUMIF(Siteminder!$A$5:$K$150,'Ene (2)'!E48,Siteminder!$K$5:$K$150)</f>
        <v>0</v>
      </c>
      <c r="V48" s="310">
        <f>SUMIF(Transbank!$A$2:$A$433,B48,Transbank!$L$2:$L$433)+(I48+M48)+(J48+N48)*EERR!$D$2</f>
        <v>402021.89999999997</v>
      </c>
      <c r="W48" s="310">
        <f>V48/EERR!$D$2</f>
        <v>673.62918900804289</v>
      </c>
      <c r="X48" s="162">
        <f t="shared" si="2"/>
        <v>34989.899999999965</v>
      </c>
      <c r="Y48" s="162">
        <f t="shared" si="3"/>
        <v>0</v>
      </c>
      <c r="Z48" s="162">
        <f t="shared" si="4"/>
        <v>0</v>
      </c>
      <c r="AA48" s="153">
        <f>IFERROR(VLOOKUP(A48,#REF!,8,FALSE),0)</f>
        <v>0</v>
      </c>
      <c r="AB48" s="39">
        <f t="shared" si="5"/>
        <v>615</v>
      </c>
    </row>
    <row r="49" spans="1:29" ht="15" customHeight="1" x14ac:dyDescent="0.3">
      <c r="A49" s="272">
        <v>2963</v>
      </c>
      <c r="B49" s="272">
        <v>25122</v>
      </c>
      <c r="C49" s="273" t="s">
        <v>440</v>
      </c>
      <c r="D49" s="273" t="s">
        <v>307</v>
      </c>
      <c r="E49" s="273">
        <v>1568125122</v>
      </c>
      <c r="F49" s="274">
        <v>43127</v>
      </c>
      <c r="G49" s="274">
        <v>43130</v>
      </c>
      <c r="H49" s="273">
        <v>3</v>
      </c>
      <c r="I49" s="275"/>
      <c r="J49" s="276"/>
      <c r="K49" s="275"/>
      <c r="L49" s="275"/>
      <c r="M49" s="275"/>
      <c r="N49" s="275">
        <v>615</v>
      </c>
      <c r="O49" s="275"/>
      <c r="P49" s="275"/>
      <c r="Q49" s="158">
        <f t="shared" si="0"/>
        <v>615</v>
      </c>
      <c r="R49" s="158">
        <f t="shared" si="1"/>
        <v>0</v>
      </c>
      <c r="S49" s="156">
        <f>IF(H49=0,(Q49+R49/EERR!$D$2/1.19),(Q49+R49/EERR!$D$2/1.19)/H49)</f>
        <v>205</v>
      </c>
      <c r="T49" s="158">
        <f>R49+Q49*EERR!$D$2</f>
        <v>367032</v>
      </c>
      <c r="U49" s="153">
        <f ca="1">SUMIF(Siteminder!$A$5:$K$150,'Ene (2)'!E49,Siteminder!$K$5:$K$150)</f>
        <v>0</v>
      </c>
      <c r="V49" s="310">
        <f>SUMIF(Transbank!$A$2:$A$433,B49,Transbank!$L$2:$L$433)+(I49+M49)+(J49+N49)*EERR!$D$2</f>
        <v>367032</v>
      </c>
      <c r="W49" s="310">
        <f>V49/EERR!$D$2</f>
        <v>615</v>
      </c>
      <c r="X49" s="162">
        <f t="shared" si="2"/>
        <v>0</v>
      </c>
      <c r="Y49" s="162">
        <f t="shared" si="3"/>
        <v>0</v>
      </c>
      <c r="Z49" s="162">
        <f t="shared" si="4"/>
        <v>0</v>
      </c>
      <c r="AA49" s="153">
        <f>IFERROR(VLOOKUP(A49,#REF!,8,FALSE),0)</f>
        <v>0</v>
      </c>
      <c r="AB49" s="39">
        <f t="shared" si="5"/>
        <v>615</v>
      </c>
    </row>
    <row r="50" spans="1:29" ht="15" customHeight="1" x14ac:dyDescent="0.3">
      <c r="A50" s="272">
        <v>112</v>
      </c>
      <c r="B50" s="272">
        <v>87267</v>
      </c>
      <c r="C50" s="273" t="s">
        <v>441</v>
      </c>
      <c r="D50" s="273" t="s">
        <v>307</v>
      </c>
      <c r="E50" s="273">
        <v>1478187267</v>
      </c>
      <c r="F50" s="274">
        <v>43127</v>
      </c>
      <c r="G50" s="274">
        <v>43128</v>
      </c>
      <c r="H50" s="273">
        <v>1</v>
      </c>
      <c r="I50" s="275"/>
      <c r="J50" s="276"/>
      <c r="K50" s="275"/>
      <c r="L50" s="275"/>
      <c r="M50" s="275"/>
      <c r="N50" s="275"/>
      <c r="O50" s="275">
        <v>135027</v>
      </c>
      <c r="P50" s="275"/>
      <c r="Q50" s="158">
        <f t="shared" si="0"/>
        <v>0</v>
      </c>
      <c r="R50" s="158">
        <f t="shared" si="1"/>
        <v>135027</v>
      </c>
      <c r="S50" s="156">
        <f>IF(H50=0,(Q50+R50/EERR!$D$2/1.19),(Q50+R50/EERR!$D$2/1.19)/H50)</f>
        <v>190.12745849009846</v>
      </c>
      <c r="T50" s="158">
        <f>R50+Q50*EERR!$D$2</f>
        <v>135027</v>
      </c>
      <c r="U50" s="153">
        <f ca="1">SUMIF(Siteminder!$A$5:$K$150,'Ene (2)'!E50,Siteminder!$K$5:$K$150)</f>
        <v>0</v>
      </c>
      <c r="V50" s="311">
        <f>SUMIF(Transbank!$A$2:$A$433,B50,Transbank!$L$2:$L$433)+(I50+M50)+(J50+N50)*EERR!$D$2</f>
        <v>0</v>
      </c>
      <c r="W50" s="310">
        <f>V50/EERR!$D$2</f>
        <v>0</v>
      </c>
      <c r="X50" s="162">
        <f t="shared" si="2"/>
        <v>-135027</v>
      </c>
      <c r="Y50" s="162">
        <f t="shared" si="3"/>
        <v>0</v>
      </c>
      <c r="Z50" s="162">
        <f t="shared" si="4"/>
        <v>0</v>
      </c>
      <c r="AA50" s="153">
        <f>IFERROR(VLOOKUP(A50,#REF!,8,FALSE),0)</f>
        <v>0</v>
      </c>
      <c r="AB50" s="39">
        <f t="shared" si="5"/>
        <v>0</v>
      </c>
    </row>
    <row r="51" spans="1:29" ht="15" customHeight="1" x14ac:dyDescent="0.3">
      <c r="A51" s="272">
        <v>2973</v>
      </c>
      <c r="B51" s="272">
        <v>81454</v>
      </c>
      <c r="C51" s="273" t="s">
        <v>442</v>
      </c>
      <c r="D51" s="273" t="s">
        <v>307</v>
      </c>
      <c r="E51" s="273">
        <v>1696181454</v>
      </c>
      <c r="F51" s="274">
        <v>43128</v>
      </c>
      <c r="G51" s="274">
        <v>43101</v>
      </c>
      <c r="H51" s="273">
        <v>4</v>
      </c>
      <c r="I51" s="275"/>
      <c r="J51" s="276"/>
      <c r="K51" s="275"/>
      <c r="L51" s="275">
        <v>554</v>
      </c>
      <c r="M51" s="275"/>
      <c r="N51" s="275"/>
      <c r="O51" s="275"/>
      <c r="P51" s="275">
        <v>185</v>
      </c>
      <c r="Q51" s="158">
        <f t="shared" si="0"/>
        <v>739</v>
      </c>
      <c r="R51" s="158">
        <f t="shared" si="1"/>
        <v>0</v>
      </c>
      <c r="S51" s="156">
        <f>IF(H51=0,(Q51+R51/EERR!$D$2/1.19),(Q51+R51/EERR!$D$2/1.19)/H51)</f>
        <v>184.75</v>
      </c>
      <c r="T51" s="158">
        <f>R51+Q51*EERR!$D$2</f>
        <v>441035.19999999995</v>
      </c>
      <c r="U51" s="153">
        <f ca="1">SUMIF(Siteminder!$A$5:$K$150,'Ene (2)'!E51,Siteminder!$K$5:$K$150)</f>
        <v>0</v>
      </c>
      <c r="V51" s="310">
        <f>SUMIF(Transbank!$A$2:$A$433,B51,Transbank!$L$2:$L$433)+(I51+M51)+(J51+N51)*EERR!$D$2</f>
        <v>471578.07</v>
      </c>
      <c r="W51" s="310">
        <f>V51/EERR!$D$2</f>
        <v>790.177731233244</v>
      </c>
      <c r="X51" s="162">
        <f t="shared" si="2"/>
        <v>30542.870000000054</v>
      </c>
      <c r="Y51" s="162">
        <f t="shared" si="3"/>
        <v>0</v>
      </c>
      <c r="Z51" s="162">
        <f t="shared" si="4"/>
        <v>0</v>
      </c>
      <c r="AA51" s="153">
        <f>IFERROR(VLOOKUP(A51,#REF!,8,FALSE),0)</f>
        <v>0</v>
      </c>
      <c r="AB51" s="39">
        <f t="shared" si="5"/>
        <v>739</v>
      </c>
    </row>
    <row r="52" spans="1:29" ht="15" customHeight="1" x14ac:dyDescent="0.3">
      <c r="A52" s="272">
        <v>2970</v>
      </c>
      <c r="B52" s="272">
        <v>1859</v>
      </c>
      <c r="C52" s="273" t="s">
        <v>443</v>
      </c>
      <c r="D52" s="273" t="s">
        <v>307</v>
      </c>
      <c r="E52" s="273">
        <v>1356901859</v>
      </c>
      <c r="F52" s="274">
        <v>43129</v>
      </c>
      <c r="G52" s="274">
        <v>43130</v>
      </c>
      <c r="H52" s="273">
        <v>1</v>
      </c>
      <c r="I52" s="275"/>
      <c r="J52" s="276"/>
      <c r="K52" s="275"/>
      <c r="L52" s="275"/>
      <c r="M52" s="275"/>
      <c r="N52" s="275"/>
      <c r="O52" s="275"/>
      <c r="P52" s="275">
        <v>195</v>
      </c>
      <c r="Q52" s="158">
        <f t="shared" si="0"/>
        <v>195</v>
      </c>
      <c r="R52" s="158">
        <f t="shared" si="1"/>
        <v>0</v>
      </c>
      <c r="S52" s="156">
        <f>IF(H52=0,(Q52+R52/EERR!$D$2/1.19),(Q52+R52/EERR!$D$2/1.19)/H52)</f>
        <v>195</v>
      </c>
      <c r="T52" s="158">
        <f>R52+Q52*EERR!$D$2</f>
        <v>116375.99999999999</v>
      </c>
      <c r="U52" s="153">
        <f ca="1">SUMIF(Siteminder!$A$5:$K$150,'Ene (2)'!E52,Siteminder!$K$5:$K$150)</f>
        <v>0</v>
      </c>
      <c r="V52" s="310">
        <f>SUMIF(Transbank!$A$2:$A$433,B52,Transbank!$L$2:$L$433)+(I52+M52)+(J52+N52)*EERR!$D$2</f>
        <v>124435.35</v>
      </c>
      <c r="W52" s="310">
        <f>V52/EERR!$D$2</f>
        <v>208.50427278820379</v>
      </c>
      <c r="X52" s="162">
        <f t="shared" si="2"/>
        <v>8059.3500000000204</v>
      </c>
      <c r="Y52" s="162">
        <f t="shared" si="3"/>
        <v>0</v>
      </c>
      <c r="Z52" s="162">
        <f t="shared" si="4"/>
        <v>0</v>
      </c>
      <c r="AA52" s="153">
        <f>IFERROR(VLOOKUP(A52,#REF!,8,FALSE),0)</f>
        <v>0</v>
      </c>
      <c r="AB52" s="39">
        <f t="shared" si="5"/>
        <v>195</v>
      </c>
    </row>
    <row r="53" spans="1:29" ht="15" customHeight="1" x14ac:dyDescent="0.3">
      <c r="A53" s="272">
        <v>2971</v>
      </c>
      <c r="B53" s="272">
        <v>72137</v>
      </c>
      <c r="C53" s="273" t="s">
        <v>444</v>
      </c>
      <c r="D53" s="273" t="s">
        <v>307</v>
      </c>
      <c r="E53" s="273">
        <v>1322272137</v>
      </c>
      <c r="F53" s="274">
        <v>43130</v>
      </c>
      <c r="G53" s="274">
        <v>43136</v>
      </c>
      <c r="H53" s="273">
        <v>6</v>
      </c>
      <c r="I53" s="275"/>
      <c r="J53" s="276"/>
      <c r="K53" s="275"/>
      <c r="L53" s="275">
        <v>975</v>
      </c>
      <c r="M53" s="275"/>
      <c r="N53" s="275"/>
      <c r="O53" s="275"/>
      <c r="P53" s="275">
        <v>195</v>
      </c>
      <c r="Q53" s="158">
        <f t="shared" si="0"/>
        <v>1170</v>
      </c>
      <c r="R53" s="158">
        <f t="shared" si="1"/>
        <v>0</v>
      </c>
      <c r="S53" s="156">
        <f>IF(H53=0,(Q53+R53/EERR!$D$2/1.19),(Q53+R53/EERR!$D$2/1.19)/H53)</f>
        <v>195</v>
      </c>
      <c r="T53" s="158">
        <f>R53+Q53*EERR!$D$2</f>
        <v>698256</v>
      </c>
      <c r="U53" s="153">
        <f ca="1">SUMIF(Siteminder!$A$5:$K$150,'Ene (2)'!E53,Siteminder!$K$5:$K$150)</f>
        <v>0</v>
      </c>
      <c r="V53" s="310">
        <f>SUMIF(Transbank!$A$2:$A$433,B53,Transbank!$L$2:$L$433)+(I53+M53)+(J53+N53)*EERR!$D$2</f>
        <v>746612.1</v>
      </c>
      <c r="W53" s="310">
        <f>V53/EERR!$D$2</f>
        <v>1251.0256367292225</v>
      </c>
      <c r="X53" s="162">
        <f t="shared" si="2"/>
        <v>48356.099999999977</v>
      </c>
      <c r="Y53" s="162">
        <f t="shared" si="3"/>
        <v>0</v>
      </c>
      <c r="Z53" s="162">
        <f t="shared" si="4"/>
        <v>0</v>
      </c>
      <c r="AA53" s="153">
        <f>IFERROR(VLOOKUP(A53,#REF!,8,FALSE),0)</f>
        <v>0</v>
      </c>
      <c r="AB53" s="39">
        <f t="shared" si="5"/>
        <v>1170</v>
      </c>
    </row>
    <row r="54" spans="1:29" x14ac:dyDescent="0.3">
      <c r="A54" s="272">
        <v>2972</v>
      </c>
      <c r="B54" s="272">
        <v>87538</v>
      </c>
      <c r="C54" s="273" t="s">
        <v>445</v>
      </c>
      <c r="D54" s="273" t="s">
        <v>307</v>
      </c>
      <c r="E54" s="273">
        <v>1790587538</v>
      </c>
      <c r="F54" s="274">
        <v>43130</v>
      </c>
      <c r="G54" s="274">
        <v>43133</v>
      </c>
      <c r="H54" s="273">
        <v>3</v>
      </c>
      <c r="I54" s="275"/>
      <c r="J54" s="276"/>
      <c r="K54" s="275"/>
      <c r="L54" s="275">
        <v>410</v>
      </c>
      <c r="M54" s="275"/>
      <c r="N54" s="275"/>
      <c r="O54" s="275"/>
      <c r="P54" s="275">
        <v>205</v>
      </c>
      <c r="Q54" s="158">
        <f t="shared" si="0"/>
        <v>615</v>
      </c>
      <c r="R54" s="158">
        <f t="shared" si="1"/>
        <v>0</v>
      </c>
      <c r="S54" s="156">
        <f>IF(H54=0,(Q54+R54/EERR!$D$2/1.19),(Q54+R54/EERR!$D$2/1.19)/H54)</f>
        <v>205</v>
      </c>
      <c r="T54" s="158">
        <f>R54+Q54*EERR!$D$2</f>
        <v>367032</v>
      </c>
      <c r="U54" s="153">
        <f ca="1">SUMIF(Siteminder!$A$5:$K$150,'Ene (2)'!E54,Siteminder!$K$5:$K$150)</f>
        <v>0</v>
      </c>
      <c r="V54" s="310">
        <f>SUMIF(Transbank!$A$2:$A$433,B54,Transbank!$L$2:$L$433)+(I54+M54)+(J54+N54)*EERR!$D$2</f>
        <v>392449.94999999995</v>
      </c>
      <c r="W54" s="310">
        <f>V54/EERR!$D$2</f>
        <v>657.59039879356567</v>
      </c>
      <c r="X54" s="162">
        <f t="shared" si="2"/>
        <v>25417.949999999953</v>
      </c>
      <c r="Y54" s="162">
        <f t="shared" si="3"/>
        <v>0</v>
      </c>
      <c r="Z54" s="162">
        <f t="shared" si="4"/>
        <v>0</v>
      </c>
      <c r="AA54" s="153">
        <f>IFERROR(VLOOKUP(A54,#REF!,8,FALSE),0)</f>
        <v>0</v>
      </c>
      <c r="AB54" s="39">
        <f t="shared" si="5"/>
        <v>615</v>
      </c>
      <c r="AC54" s="153" t="s">
        <v>388</v>
      </c>
    </row>
    <row r="55" spans="1:29" ht="15" customHeight="1" x14ac:dyDescent="0.3">
      <c r="A55" s="272">
        <v>2974</v>
      </c>
      <c r="B55" s="272">
        <v>30108</v>
      </c>
      <c r="C55" s="273" t="s">
        <v>446</v>
      </c>
      <c r="D55" s="273" t="s">
        <v>307</v>
      </c>
      <c r="E55" s="273">
        <v>1785730108</v>
      </c>
      <c r="F55" s="274">
        <v>43131</v>
      </c>
      <c r="G55" s="274">
        <v>43132</v>
      </c>
      <c r="H55" s="273">
        <v>1</v>
      </c>
      <c r="I55" s="275"/>
      <c r="J55" s="276"/>
      <c r="K55" s="275"/>
      <c r="L55" s="275">
        <v>195</v>
      </c>
      <c r="M55" s="275"/>
      <c r="N55" s="275"/>
      <c r="O55" s="275"/>
      <c r="P55" s="275"/>
      <c r="Q55" s="158">
        <f t="shared" si="0"/>
        <v>195</v>
      </c>
      <c r="R55" s="158">
        <f t="shared" si="1"/>
        <v>0</v>
      </c>
      <c r="S55" s="156">
        <f>IF(H55=0,(Q55+R55/EERR!$D$2/1.19),(Q55+R55/EERR!$D$2/1.19)/H55)</f>
        <v>195</v>
      </c>
      <c r="T55" s="158">
        <f>R55+Q55*EERR!$D$2</f>
        <v>116375.99999999999</v>
      </c>
      <c r="U55" s="153">
        <f ca="1">SUMIF(Siteminder!$A$5:$K$150,'Ene (2)'!E55,Siteminder!$K$5:$K$150)</f>
        <v>0</v>
      </c>
      <c r="V55" s="310">
        <f>SUMIF(Transbank!$A$2:$A$433,B55,Transbank!$L$2:$L$433)+(I55+M55)+(J55+N55)*EERR!$D$2</f>
        <v>124435.35</v>
      </c>
      <c r="W55" s="310">
        <f>V55/EERR!$D$2</f>
        <v>208.50427278820379</v>
      </c>
      <c r="X55" s="162">
        <f t="shared" si="2"/>
        <v>8059.3500000000204</v>
      </c>
      <c r="Y55" s="162">
        <f t="shared" si="3"/>
        <v>0</v>
      </c>
      <c r="Z55" s="162">
        <f t="shared" si="4"/>
        <v>0</v>
      </c>
      <c r="AA55" s="153">
        <f>IFERROR(VLOOKUP(A55,#REF!,8,FALSE),0)</f>
        <v>0</v>
      </c>
      <c r="AB55" s="39">
        <f t="shared" si="5"/>
        <v>195</v>
      </c>
    </row>
    <row r="56" spans="1:29" ht="15" customHeight="1" x14ac:dyDescent="0.3">
      <c r="A56" s="272">
        <v>2975</v>
      </c>
      <c r="B56" s="272">
        <v>31698</v>
      </c>
      <c r="C56" s="273" t="s">
        <v>447</v>
      </c>
      <c r="D56" s="273" t="s">
        <v>307</v>
      </c>
      <c r="E56" s="273">
        <v>1547131698</v>
      </c>
      <c r="F56" s="274">
        <v>43131</v>
      </c>
      <c r="G56" s="274">
        <v>43135</v>
      </c>
      <c r="H56" s="273">
        <v>4</v>
      </c>
      <c r="I56" s="275"/>
      <c r="J56" s="276"/>
      <c r="K56" s="275"/>
      <c r="L56" s="275">
        <v>554</v>
      </c>
      <c r="M56" s="275"/>
      <c r="N56" s="275"/>
      <c r="O56" s="275"/>
      <c r="P56" s="275">
        <v>185</v>
      </c>
      <c r="Q56" s="158">
        <f t="shared" si="0"/>
        <v>739</v>
      </c>
      <c r="R56" s="158">
        <f t="shared" si="1"/>
        <v>0</v>
      </c>
      <c r="S56" s="156">
        <f>IF(H56=0,(Q56+R56/EERR!$D$2/1.19),(Q56+R56/EERR!$D$2/1.19)/H56)</f>
        <v>184.75</v>
      </c>
      <c r="T56" s="158">
        <f>R56+Q56*EERR!$D$2</f>
        <v>441035.19999999995</v>
      </c>
      <c r="U56" s="153">
        <f ca="1">SUMIF(Siteminder!$A$5:$K$150,'Ene (2)'!E56,Siteminder!$K$5:$K$150)</f>
        <v>0</v>
      </c>
      <c r="V56" s="310">
        <f>SUMIF(Transbank!$A$2:$A$433,B56,Transbank!$L$2:$L$433)+(I56+M56)+(J56+N56)*EERR!$D$2</f>
        <v>471578.07</v>
      </c>
      <c r="W56" s="310">
        <f>V56/EERR!$D$2</f>
        <v>790.177731233244</v>
      </c>
      <c r="X56" s="162">
        <f t="shared" si="2"/>
        <v>30542.870000000054</v>
      </c>
      <c r="Y56" s="162">
        <f t="shared" si="3"/>
        <v>0</v>
      </c>
      <c r="Z56" s="162">
        <f t="shared" si="4"/>
        <v>0</v>
      </c>
      <c r="AA56" s="153">
        <f>IFERROR(VLOOKUP(A56,#REF!,8,FALSE),0)</f>
        <v>0</v>
      </c>
      <c r="AB56" s="39">
        <f t="shared" si="5"/>
        <v>739</v>
      </c>
    </row>
    <row r="57" spans="1:29" ht="15" customHeight="1" x14ac:dyDescent="0.3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/>
      <c r="R57" s="158"/>
      <c r="S57" s="156"/>
      <c r="T57" s="158"/>
      <c r="U57" s="153">
        <f ca="1">SUMIF(Siteminder!$A$5:$K$150,'Ene (2)'!E57,Siteminder!$K$5:$K$150)</f>
        <v>0</v>
      </c>
      <c r="V57" s="294">
        <f>SUMIF(Transbank!$A$2:$A$433,B57,Transbank!$L$2:$L$433)+(I57+M57)+(J57+N57)*EERR!$D$2</f>
        <v>0</v>
      </c>
      <c r="W57" s="294">
        <f>V57/EERR!$D$2</f>
        <v>0</v>
      </c>
      <c r="X57" s="162">
        <f t="shared" si="2"/>
        <v>0</v>
      </c>
      <c r="Y57" s="162">
        <f t="shared" si="3"/>
        <v>0</v>
      </c>
      <c r="Z57" s="162">
        <f t="shared" si="4"/>
        <v>0</v>
      </c>
      <c r="AA57" s="153">
        <f>IFERROR(VLOOKUP(A57,#REF!,8,FALSE),0)</f>
        <v>0</v>
      </c>
      <c r="AB57" s="39">
        <f t="shared" si="5"/>
        <v>0</v>
      </c>
    </row>
    <row r="58" spans="1:29" x14ac:dyDescent="0.3">
      <c r="A58" s="256"/>
      <c r="B58" s="256"/>
      <c r="C58" s="256"/>
      <c r="D58" s="256"/>
      <c r="E58" s="256"/>
      <c r="F58" s="261"/>
      <c r="G58" s="261"/>
      <c r="H58" s="262">
        <f t="shared" ref="H58:N58" si="6">SUM(H3:H57)</f>
        <v>203</v>
      </c>
      <c r="I58" s="262">
        <f t="shared" si="6"/>
        <v>0</v>
      </c>
      <c r="J58" s="262">
        <f t="shared" si="6"/>
        <v>5265</v>
      </c>
      <c r="K58" s="262">
        <f t="shared" si="6"/>
        <v>1408006</v>
      </c>
      <c r="L58" s="262">
        <f t="shared" si="6"/>
        <v>20130</v>
      </c>
      <c r="M58" s="262">
        <f t="shared" si="6"/>
        <v>0</v>
      </c>
      <c r="N58" s="262">
        <f t="shared" si="6"/>
        <v>1200</v>
      </c>
      <c r="O58" s="262"/>
      <c r="P58" s="262"/>
      <c r="Q58" s="262">
        <f>SUM(Q3:Q57)</f>
        <v>36066</v>
      </c>
      <c r="R58" s="262">
        <f>SUM(R3:R57)</f>
        <v>2287788</v>
      </c>
      <c r="S58" s="262">
        <f>IF(H58=0,(Q58+R58/EERR!$D$2/1.19),(Q58+R58/EERR!$D$2/1.19)/H58)</f>
        <v>193.53382014726941</v>
      </c>
      <c r="T58" s="262">
        <f>SUM(T3:T57)</f>
        <v>23811976.800000001</v>
      </c>
      <c r="U58" s="153">
        <f ca="1">SUMIF(Siteminder!$A$5:$K$150,'Ene (2)'!E58,Siteminder!$K$5:$K$150)</f>
        <v>0</v>
      </c>
      <c r="V58" s="262">
        <f ca="1">SUM(V3:V57)</f>
        <v>19921338.470000006</v>
      </c>
      <c r="W58" s="262"/>
      <c r="X58" s="162">
        <f t="shared" ca="1" si="2"/>
        <v>-3890638.3299999945</v>
      </c>
      <c r="Y58" s="168"/>
      <c r="Z58" s="168"/>
      <c r="AB58" s="39"/>
    </row>
    <row r="59" spans="1:29" x14ac:dyDescent="0.3">
      <c r="A59" s="272">
        <v>2909</v>
      </c>
      <c r="B59" s="272">
        <v>50324</v>
      </c>
      <c r="C59" s="273" t="s">
        <v>448</v>
      </c>
      <c r="D59" s="273" t="s">
        <v>449</v>
      </c>
      <c r="E59" s="273">
        <v>1950324</v>
      </c>
      <c r="F59" s="274">
        <v>43102</v>
      </c>
      <c r="G59" s="274">
        <v>43104</v>
      </c>
      <c r="H59" s="273">
        <v>2</v>
      </c>
      <c r="I59" s="275"/>
      <c r="J59" s="276"/>
      <c r="K59" s="275"/>
      <c r="L59" s="275">
        <v>185</v>
      </c>
      <c r="M59" s="275"/>
      <c r="N59" s="275"/>
      <c r="O59" s="275"/>
      <c r="P59" s="275">
        <v>185</v>
      </c>
      <c r="Q59" s="158">
        <f t="shared" ref="Q59:Q73" si="7">J59+L59+N59+P59</f>
        <v>370</v>
      </c>
      <c r="R59" s="158">
        <f t="shared" ref="R59:R73" si="8">K59+M59+I59+O59</f>
        <v>0</v>
      </c>
      <c r="S59" s="156">
        <f>IF(H59=0,(Q59+R59/EERR!$D$2/1.19),(Q59+R59/EERR!$D$2/1.19)/H59)</f>
        <v>185</v>
      </c>
      <c r="T59" s="158">
        <f>R59+Q59*EERR!$D$2</f>
        <v>220815.99999999997</v>
      </c>
      <c r="U59" s="153">
        <f ca="1">SUMIF(Siteminder!$A$5:$K$150,'Ene (2)'!E59,Siteminder!$K$5:$K$150)</f>
        <v>0</v>
      </c>
      <c r="V59" s="311">
        <f>SUMIF(Transbank!$A$2:$A$433,B59,Transbank!$L$2:$L$433)+(I59+M59)+(J59+N59)*EERR!$D$2</f>
        <v>0</v>
      </c>
      <c r="W59" s="309">
        <f>V59/EERR!$D$2</f>
        <v>0</v>
      </c>
      <c r="X59" s="162">
        <f t="shared" si="2"/>
        <v>-220815.99999999997</v>
      </c>
      <c r="Y59" s="168">
        <f t="shared" ref="Y59:Y73" si="9">(I59+K59+M59)/1.19</f>
        <v>0</v>
      </c>
      <c r="Z59" s="168">
        <f t="shared" ref="Z59:Z73" si="10">IF(AA59="b",(I59+K59+M59)*0.19,0)</f>
        <v>0</v>
      </c>
      <c r="AA59" s="153">
        <f>IFERROR(VLOOKUP(A59,#REF!,8,FALSE),0)</f>
        <v>0</v>
      </c>
      <c r="AB59" s="39">
        <f t="shared" ref="AB59:AB73" si="11">Q59-AA59</f>
        <v>370</v>
      </c>
    </row>
    <row r="60" spans="1:29" x14ac:dyDescent="0.3">
      <c r="A60" s="272">
        <v>2910</v>
      </c>
      <c r="B60" s="272">
        <v>56714</v>
      </c>
      <c r="C60" s="273" t="s">
        <v>450</v>
      </c>
      <c r="D60" s="273" t="s">
        <v>449</v>
      </c>
      <c r="E60" s="273">
        <v>1956714</v>
      </c>
      <c r="F60" s="274">
        <v>43102</v>
      </c>
      <c r="G60" s="274">
        <v>43105</v>
      </c>
      <c r="H60" s="273">
        <v>3</v>
      </c>
      <c r="I60" s="275"/>
      <c r="J60" s="276">
        <v>371</v>
      </c>
      <c r="K60" s="275"/>
      <c r="L60" s="275"/>
      <c r="M60" s="275"/>
      <c r="N60" s="275"/>
      <c r="O60" s="275"/>
      <c r="P60" s="275">
        <v>185</v>
      </c>
      <c r="Q60" s="158">
        <f t="shared" si="7"/>
        <v>556</v>
      </c>
      <c r="R60" s="158">
        <f t="shared" si="8"/>
        <v>0</v>
      </c>
      <c r="S60" s="156">
        <f>IF(H60=0,(Q60+R60/EERR!$D$2/1.19),(Q60+R60/EERR!$D$2/1.19)/H60)</f>
        <v>185.33333333333334</v>
      </c>
      <c r="T60" s="158">
        <f>R60+Q60*EERR!$D$2</f>
        <v>331820.79999999999</v>
      </c>
      <c r="U60" s="153">
        <f ca="1">SUMIF(Siteminder!$A$5:$K$150,'Ene (2)'!E60,Siteminder!$K$5:$K$150)</f>
        <v>0</v>
      </c>
      <c r="V60" s="310">
        <f>SUMIF(Transbank!$A$2:$A$433,B60,Transbank!$L$2:$L$433)+(I60+M60)+(J60+N60)*EERR!$D$2</f>
        <v>221412.8</v>
      </c>
      <c r="W60" s="309">
        <f>V60/EERR!$D$2</f>
        <v>371</v>
      </c>
      <c r="X60" s="162">
        <f t="shared" si="2"/>
        <v>-110408</v>
      </c>
      <c r="Y60" s="168">
        <f t="shared" si="9"/>
        <v>0</v>
      </c>
      <c r="Z60" s="168">
        <f t="shared" si="10"/>
        <v>0</v>
      </c>
      <c r="AA60" s="153">
        <f>IFERROR(VLOOKUP(A60,#REF!,8,FALSE),0)</f>
        <v>0</v>
      </c>
      <c r="AB60" s="39">
        <f t="shared" si="11"/>
        <v>556</v>
      </c>
    </row>
    <row r="61" spans="1:29" x14ac:dyDescent="0.3">
      <c r="A61" s="272">
        <v>2921</v>
      </c>
      <c r="B61" s="272">
        <v>48104</v>
      </c>
      <c r="C61" s="273" t="s">
        <v>451</v>
      </c>
      <c r="D61" s="273" t="s">
        <v>449</v>
      </c>
      <c r="E61" s="273">
        <v>1848104</v>
      </c>
      <c r="F61" s="274">
        <v>43104</v>
      </c>
      <c r="G61" s="274">
        <v>43107</v>
      </c>
      <c r="H61" s="273">
        <v>3</v>
      </c>
      <c r="I61" s="275"/>
      <c r="J61" s="276"/>
      <c r="K61" s="275"/>
      <c r="L61" s="275">
        <v>371</v>
      </c>
      <c r="M61" s="275"/>
      <c r="N61" s="275"/>
      <c r="O61" s="275"/>
      <c r="P61" s="275">
        <v>185</v>
      </c>
      <c r="Q61" s="158">
        <f t="shared" si="7"/>
        <v>556</v>
      </c>
      <c r="R61" s="158">
        <f t="shared" si="8"/>
        <v>0</v>
      </c>
      <c r="S61" s="156">
        <f>IF(H61=0,(Q61+R61/EERR!$D$2/1.19),(Q61+R61/EERR!$D$2/1.19)/H61)</f>
        <v>185.33333333333334</v>
      </c>
      <c r="T61" s="158">
        <f>R61+Q61*EERR!$D$2</f>
        <v>331820.79999999999</v>
      </c>
      <c r="U61" s="153">
        <f ca="1">SUMIF(Siteminder!$A$5:$K$150,'Ene (2)'!E61,Siteminder!$K$5:$K$150)</f>
        <v>0</v>
      </c>
      <c r="V61" s="310">
        <f>SUMIF(Transbank!$A$2:$A$433,B61,Transbank!$L$2:$L$433)+(I61+M61)+(J61+N61)*EERR!$D$2</f>
        <v>236746.23</v>
      </c>
      <c r="W61" s="309">
        <f>V61/EERR!$D$2</f>
        <v>396.69274463806977</v>
      </c>
      <c r="X61" s="162">
        <f t="shared" si="2"/>
        <v>-95074.569999999978</v>
      </c>
      <c r="Y61" s="168">
        <f t="shared" si="9"/>
        <v>0</v>
      </c>
      <c r="Z61" s="168">
        <f t="shared" si="10"/>
        <v>0</v>
      </c>
      <c r="AA61" s="153">
        <f>IFERROR(VLOOKUP(A61,#REF!,8,FALSE),0)</f>
        <v>0</v>
      </c>
      <c r="AB61" s="39">
        <f t="shared" si="11"/>
        <v>556</v>
      </c>
      <c r="AC61" s="153" t="s">
        <v>389</v>
      </c>
    </row>
    <row r="62" spans="1:29" x14ac:dyDescent="0.3">
      <c r="A62" s="272">
        <v>2928</v>
      </c>
      <c r="B62" s="272">
        <v>52311</v>
      </c>
      <c r="C62" s="273" t="s">
        <v>452</v>
      </c>
      <c r="D62" s="273" t="s">
        <v>449</v>
      </c>
      <c r="E62" s="273">
        <v>1952311</v>
      </c>
      <c r="F62" s="274">
        <v>43108</v>
      </c>
      <c r="G62" s="274">
        <v>43111</v>
      </c>
      <c r="H62" s="273">
        <v>3</v>
      </c>
      <c r="I62" s="275"/>
      <c r="J62" s="276">
        <v>371</v>
      </c>
      <c r="K62" s="275"/>
      <c r="L62" s="275"/>
      <c r="M62" s="275"/>
      <c r="N62" s="275"/>
      <c r="O62" s="275"/>
      <c r="P62" s="275">
        <v>185</v>
      </c>
      <c r="Q62" s="158">
        <f t="shared" si="7"/>
        <v>556</v>
      </c>
      <c r="R62" s="158">
        <f t="shared" si="8"/>
        <v>0</v>
      </c>
      <c r="S62" s="156">
        <f>IF(H62=0,(Q62+R62/EERR!$D$2/1.19),(Q62+R62/EERR!$D$2/1.19)/H62)</f>
        <v>185.33333333333334</v>
      </c>
      <c r="T62" s="158">
        <f>R62+Q62*EERR!$D$2</f>
        <v>331820.79999999999</v>
      </c>
      <c r="U62" s="153">
        <f ca="1">SUMIF(Siteminder!$A$5:$K$150,'Ene (2)'!E62,Siteminder!$K$5:$K$150)</f>
        <v>0</v>
      </c>
      <c r="V62" s="310">
        <f>SUMIF(Transbank!$A$2:$A$433,B62,Transbank!$L$2:$L$433)+(I62+M62)+(J62+N62)*EERR!$D$2</f>
        <v>221412.8</v>
      </c>
      <c r="W62" s="309">
        <f>V62/EERR!$D$2</f>
        <v>371</v>
      </c>
      <c r="X62" s="162">
        <f t="shared" si="2"/>
        <v>-110408</v>
      </c>
      <c r="Y62" s="168">
        <f t="shared" si="9"/>
        <v>0</v>
      </c>
      <c r="Z62" s="168">
        <f t="shared" si="10"/>
        <v>0</v>
      </c>
      <c r="AA62" s="153">
        <f>IFERROR(VLOOKUP(A62,#REF!,8,FALSE),0)</f>
        <v>0</v>
      </c>
      <c r="AB62" s="39"/>
    </row>
    <row r="63" spans="1:29" x14ac:dyDescent="0.3">
      <c r="A63" s="272">
        <v>2940</v>
      </c>
      <c r="B63" s="272">
        <v>5543</v>
      </c>
      <c r="C63" s="273" t="s">
        <v>453</v>
      </c>
      <c r="D63" s="273" t="s">
        <v>449</v>
      </c>
      <c r="E63" s="273">
        <v>1801133105543</v>
      </c>
      <c r="F63" s="274">
        <v>43113</v>
      </c>
      <c r="G63" s="274">
        <v>43114</v>
      </c>
      <c r="H63" s="273">
        <v>1</v>
      </c>
      <c r="I63" s="275"/>
      <c r="J63" s="276"/>
      <c r="K63" s="275"/>
      <c r="L63" s="275">
        <v>195</v>
      </c>
      <c r="M63" s="275"/>
      <c r="N63" s="275"/>
      <c r="O63" s="275"/>
      <c r="P63" s="275"/>
      <c r="Q63" s="158">
        <f t="shared" si="7"/>
        <v>195</v>
      </c>
      <c r="R63" s="158">
        <f t="shared" si="8"/>
        <v>0</v>
      </c>
      <c r="S63" s="156">
        <f>IF(H63=0,(Q63+R63/EERR!$D$2/1.19),(Q63+R63/EERR!$D$2/1.19)/H63)</f>
        <v>195</v>
      </c>
      <c r="T63" s="158">
        <f>R63+Q63*EERR!$D$2</f>
        <v>116375.99999999999</v>
      </c>
      <c r="U63" s="153">
        <f ca="1">SUMIF(Siteminder!$A$5:$K$150,'Ene (2)'!E63,Siteminder!$K$5:$K$150)</f>
        <v>0</v>
      </c>
      <c r="V63" s="310">
        <f>SUMIF(Transbank!$A$2:$A$433,B63,Transbank!$L$2:$L$433)+(I63+M63)+(J63+N63)*EERR!$D$2</f>
        <v>124435.35</v>
      </c>
      <c r="W63" s="309">
        <f>V63/EERR!$D$2</f>
        <v>208.50427278820379</v>
      </c>
      <c r="X63" s="162">
        <f t="shared" si="2"/>
        <v>8059.3500000000204</v>
      </c>
      <c r="Y63" s="168">
        <f t="shared" si="9"/>
        <v>0</v>
      </c>
      <c r="Z63" s="168">
        <f t="shared" si="10"/>
        <v>0</v>
      </c>
      <c r="AA63" s="153">
        <f>IFERROR(VLOOKUP(A63,#REF!,8,FALSE),0)</f>
        <v>0</v>
      </c>
      <c r="AB63" s="39"/>
    </row>
    <row r="64" spans="1:29" x14ac:dyDescent="0.3">
      <c r="A64" s="272">
        <v>2941</v>
      </c>
      <c r="B64" s="272">
        <v>26261</v>
      </c>
      <c r="C64" s="273" t="s">
        <v>454</v>
      </c>
      <c r="D64" s="273" t="s">
        <v>449</v>
      </c>
      <c r="E64" s="273">
        <v>1926261</v>
      </c>
      <c r="F64" s="274">
        <v>43114</v>
      </c>
      <c r="G64" s="274">
        <v>43119</v>
      </c>
      <c r="H64" s="273">
        <v>15</v>
      </c>
      <c r="I64" s="275"/>
      <c r="J64" s="276">
        <v>600</v>
      </c>
      <c r="K64" s="275"/>
      <c r="L64" s="275">
        <v>1623</v>
      </c>
      <c r="M64" s="275"/>
      <c r="N64" s="275"/>
      <c r="O64" s="275"/>
      <c r="P64" s="275">
        <v>556</v>
      </c>
      <c r="Q64" s="158">
        <f t="shared" si="7"/>
        <v>2779</v>
      </c>
      <c r="R64" s="158">
        <f t="shared" si="8"/>
        <v>0</v>
      </c>
      <c r="S64" s="156">
        <f>IF(H64=0,(Q64+R64/EERR!$D$2/1.19),(Q64+R64/EERR!$D$2/1.19)/H64)</f>
        <v>185.26666666666668</v>
      </c>
      <c r="T64" s="158">
        <f>R64+Q64*EERR!$D$2</f>
        <v>1658507.2</v>
      </c>
      <c r="U64" s="153">
        <f ca="1">SUMIF(Siteminder!$A$5:$K$150,'Ene (2)'!E64,Siteminder!$K$5:$K$150)</f>
        <v>0</v>
      </c>
      <c r="V64" s="310">
        <f>SUMIF(Transbank!$A$2:$A$433,B64,Transbank!$L$2:$L$433)+(I64+M64)+(J64+N64)*EERR!$D$2</f>
        <v>1393764.99</v>
      </c>
      <c r="W64" s="309">
        <f>V64/EERR!$D$2</f>
        <v>2335.3971012064344</v>
      </c>
      <c r="X64" s="162">
        <f t="shared" si="2"/>
        <v>-264742.20999999996</v>
      </c>
      <c r="Y64" s="168">
        <f t="shared" si="9"/>
        <v>0</v>
      </c>
      <c r="Z64" s="168">
        <f t="shared" si="10"/>
        <v>0</v>
      </c>
      <c r="AA64" s="153">
        <f>IFERROR(VLOOKUP(A64,#REF!,8,FALSE),0)</f>
        <v>0</v>
      </c>
      <c r="AB64" s="39"/>
    </row>
    <row r="65" spans="1:29" x14ac:dyDescent="0.3">
      <c r="A65" s="272">
        <v>2945</v>
      </c>
      <c r="B65" s="272">
        <v>51058</v>
      </c>
      <c r="C65" s="273" t="s">
        <v>455</v>
      </c>
      <c r="D65" s="273" t="s">
        <v>449</v>
      </c>
      <c r="E65" s="273">
        <v>1712193051058</v>
      </c>
      <c r="F65" s="274">
        <v>43116</v>
      </c>
      <c r="G65" s="274">
        <v>43121</v>
      </c>
      <c r="H65" s="273">
        <v>5</v>
      </c>
      <c r="I65" s="275"/>
      <c r="J65" s="276"/>
      <c r="K65" s="275"/>
      <c r="L65" s="275">
        <v>779</v>
      </c>
      <c r="M65" s="275"/>
      <c r="N65" s="275"/>
      <c r="O65" s="275"/>
      <c r="P65" s="275">
        <v>195</v>
      </c>
      <c r="Q65" s="158">
        <f t="shared" si="7"/>
        <v>974</v>
      </c>
      <c r="R65" s="158">
        <f t="shared" si="8"/>
        <v>0</v>
      </c>
      <c r="S65" s="156">
        <f>IF(H65=0,(Q65+R65/EERR!$D$2/1.19),(Q65+R65/EERR!$D$2/1.19)/H65)</f>
        <v>194.8</v>
      </c>
      <c r="T65" s="158">
        <f>R65+Q65*EERR!$D$2</f>
        <v>581283.19999999995</v>
      </c>
      <c r="U65" s="153">
        <f ca="1">SUMIF(Siteminder!$A$5:$K$150,'Ene (2)'!E65,Siteminder!$K$5:$K$150)</f>
        <v>0</v>
      </c>
      <c r="V65" s="310">
        <f>SUMIF(Transbank!$A$2:$A$433,B65,Transbank!$L$2:$L$433)+(I65+M65)+(J65+N65)*EERR!$D$2</f>
        <v>497103.27</v>
      </c>
      <c r="W65" s="309">
        <f>V65/EERR!$D$2</f>
        <v>832.94783847184999</v>
      </c>
      <c r="X65" s="162">
        <f t="shared" si="2"/>
        <v>-84179.929999999935</v>
      </c>
      <c r="Y65" s="168">
        <f t="shared" si="9"/>
        <v>0</v>
      </c>
      <c r="Z65" s="168">
        <f t="shared" si="10"/>
        <v>0</v>
      </c>
      <c r="AA65" s="153">
        <f>IFERROR(VLOOKUP(A65,#REF!,8,FALSE),0)</f>
        <v>0</v>
      </c>
      <c r="AB65" s="39"/>
    </row>
    <row r="66" spans="1:29" x14ac:dyDescent="0.3">
      <c r="A66" s="272">
        <v>2951</v>
      </c>
      <c r="B66" s="272">
        <v>58675</v>
      </c>
      <c r="C66" s="273" t="s">
        <v>456</v>
      </c>
      <c r="D66" s="273" t="s">
        <v>449</v>
      </c>
      <c r="E66" s="273">
        <v>1712243058675</v>
      </c>
      <c r="F66" s="274">
        <v>43118</v>
      </c>
      <c r="G66" s="274">
        <v>43120</v>
      </c>
      <c r="H66" s="273">
        <v>2</v>
      </c>
      <c r="I66" s="275"/>
      <c r="J66" s="276">
        <v>195</v>
      </c>
      <c r="K66" s="275"/>
      <c r="L66" s="275"/>
      <c r="M66" s="275"/>
      <c r="N66" s="275"/>
      <c r="O66" s="275"/>
      <c r="P66" s="275">
        <v>195</v>
      </c>
      <c r="Q66" s="158">
        <f t="shared" si="7"/>
        <v>390</v>
      </c>
      <c r="R66" s="158">
        <f t="shared" si="8"/>
        <v>0</v>
      </c>
      <c r="S66" s="156">
        <f>IF(H66=0,(Q66+R66/EERR!$D$2/1.19),(Q66+R66/EERR!$D$2/1.19)/H66)</f>
        <v>195</v>
      </c>
      <c r="T66" s="158">
        <f>R66+Q66*EERR!$D$2</f>
        <v>232751.99999999997</v>
      </c>
      <c r="U66" s="153">
        <f ca="1">SUMIF(Siteminder!$A$5:$K$150,'Ene (2)'!E66,Siteminder!$K$5:$K$150)</f>
        <v>0</v>
      </c>
      <c r="V66" s="311">
        <f>SUMIF(Transbank!$A$2:$A$433,B66,Transbank!$L$2:$L$433)+(I66+M66)+(J66+N66)*EERR!$D$2</f>
        <v>116375.99999999999</v>
      </c>
      <c r="W66" s="309">
        <f>V66/EERR!$D$2</f>
        <v>195</v>
      </c>
      <c r="X66" s="162">
        <f t="shared" si="2"/>
        <v>-116375.99999999999</v>
      </c>
      <c r="Y66" s="168">
        <f t="shared" si="9"/>
        <v>0</v>
      </c>
      <c r="Z66" s="168">
        <f t="shared" si="10"/>
        <v>0</v>
      </c>
      <c r="AA66" s="153">
        <f>IFERROR(VLOOKUP(A66,#REF!,8,FALSE),0)</f>
        <v>0</v>
      </c>
      <c r="AB66" s="39"/>
    </row>
    <row r="67" spans="1:29" x14ac:dyDescent="0.3">
      <c r="A67" s="272">
        <v>2956</v>
      </c>
      <c r="B67" s="272">
        <v>3072</v>
      </c>
      <c r="C67" s="273" t="s">
        <v>457</v>
      </c>
      <c r="D67" s="273" t="s">
        <v>449</v>
      </c>
      <c r="E67" s="273">
        <v>2003072</v>
      </c>
      <c r="F67" s="274">
        <v>43122</v>
      </c>
      <c r="G67" s="274">
        <v>43126</v>
      </c>
      <c r="H67" s="273">
        <v>4</v>
      </c>
      <c r="I67" s="275"/>
      <c r="J67" s="276"/>
      <c r="K67" s="275"/>
      <c r="L67" s="275">
        <v>584</v>
      </c>
      <c r="M67" s="275"/>
      <c r="N67" s="275"/>
      <c r="O67" s="275"/>
      <c r="P67" s="275">
        <v>195</v>
      </c>
      <c r="Q67" s="158">
        <f t="shared" si="7"/>
        <v>779</v>
      </c>
      <c r="R67" s="158">
        <f t="shared" si="8"/>
        <v>0</v>
      </c>
      <c r="S67" s="156">
        <f>IF(H67=0,(Q67+R67/EERR!$D$2/1.19),(Q67+R67/EERR!$D$2/1.19)/H67)</f>
        <v>194.75</v>
      </c>
      <c r="T67" s="158">
        <f>R67+Q67*EERR!$D$2</f>
        <v>464907.19999999995</v>
      </c>
      <c r="U67" s="153">
        <f ca="1">SUMIF(Siteminder!$A$5:$K$150,'Ene (2)'!E67,Siteminder!$K$5:$K$150)</f>
        <v>0</v>
      </c>
      <c r="V67" s="310">
        <f>SUMIF(Transbank!$A$2:$A$433,B67,Transbank!$L$2:$L$433)+(I67+M67)+(J67+N67)*EERR!$D$2</f>
        <v>372667.92</v>
      </c>
      <c r="W67" s="309">
        <f>V67/EERR!$D$2</f>
        <v>624.44356568364617</v>
      </c>
      <c r="X67" s="162">
        <f t="shared" ref="X67:X112" si="12">+V67-T67</f>
        <v>-92239.27999999997</v>
      </c>
      <c r="Y67" s="168">
        <f t="shared" si="9"/>
        <v>0</v>
      </c>
      <c r="Z67" s="168">
        <f t="shared" si="10"/>
        <v>0</v>
      </c>
      <c r="AA67" s="153">
        <f>IFERROR(VLOOKUP(A67,#REF!,8,FALSE),0)</f>
        <v>0</v>
      </c>
      <c r="AB67" s="39"/>
    </row>
    <row r="68" spans="1:29" x14ac:dyDescent="0.3">
      <c r="A68" s="272">
        <v>2967</v>
      </c>
      <c r="B68" s="272">
        <v>83286</v>
      </c>
      <c r="C68" s="273" t="s">
        <v>458</v>
      </c>
      <c r="D68" s="273" t="s">
        <v>449</v>
      </c>
      <c r="E68" s="273">
        <v>1801053083286</v>
      </c>
      <c r="F68" s="274">
        <v>43125</v>
      </c>
      <c r="G68" s="274">
        <v>43130</v>
      </c>
      <c r="H68" s="273">
        <v>5</v>
      </c>
      <c r="I68" s="275"/>
      <c r="J68" s="276">
        <v>779</v>
      </c>
      <c r="K68" s="275"/>
      <c r="L68" s="275"/>
      <c r="M68" s="275"/>
      <c r="N68" s="275"/>
      <c r="O68" s="275"/>
      <c r="P68" s="275">
        <v>195</v>
      </c>
      <c r="Q68" s="158">
        <f t="shared" si="7"/>
        <v>974</v>
      </c>
      <c r="R68" s="158">
        <f t="shared" si="8"/>
        <v>0</v>
      </c>
      <c r="S68" s="156">
        <f>IF(H68=0,(Q68+R68/EERR!$D$2/1.19),(Q68+R68/EERR!$D$2/1.19)/H68)</f>
        <v>194.8</v>
      </c>
      <c r="T68" s="158">
        <f>R68+Q68*EERR!$D$2</f>
        <v>581283.19999999995</v>
      </c>
      <c r="U68" s="153">
        <f ca="1">SUMIF(Siteminder!$A$5:$K$150,'Ene (2)'!E68,Siteminder!$K$5:$K$150)</f>
        <v>0</v>
      </c>
      <c r="V68" s="310">
        <f>SUMIF(Transbank!$A$2:$A$433,B68,Transbank!$L$2:$L$433)+(I68+M68)+(J68+N68)*EERR!$D$2</f>
        <v>589342.54999999993</v>
      </c>
      <c r="W68" s="309">
        <f>V68/EERR!$D$2</f>
        <v>987.50427278820371</v>
      </c>
      <c r="X68" s="162">
        <f t="shared" si="12"/>
        <v>8059.3499999999767</v>
      </c>
      <c r="Y68" s="168">
        <f t="shared" si="9"/>
        <v>0</v>
      </c>
      <c r="Z68" s="168">
        <f t="shared" si="10"/>
        <v>0</v>
      </c>
      <c r="AA68" s="153">
        <f>IFERROR(VLOOKUP(A68,#REF!,8,FALSE),0)</f>
        <v>0</v>
      </c>
      <c r="AB68" s="39"/>
    </row>
    <row r="69" spans="1:29" x14ac:dyDescent="0.3">
      <c r="A69" s="272">
        <v>2968</v>
      </c>
      <c r="B69" s="272">
        <v>83249</v>
      </c>
      <c r="C69" s="273" t="s">
        <v>459</v>
      </c>
      <c r="D69" s="273" t="s">
        <v>449</v>
      </c>
      <c r="E69" s="273">
        <v>1801053083249</v>
      </c>
      <c r="F69" s="274">
        <v>43125</v>
      </c>
      <c r="G69" s="274">
        <v>43130</v>
      </c>
      <c r="H69" s="273">
        <v>5</v>
      </c>
      <c r="I69" s="275"/>
      <c r="J69" s="276">
        <v>290</v>
      </c>
      <c r="K69" s="275"/>
      <c r="L69" s="275">
        <v>489</v>
      </c>
      <c r="M69" s="275"/>
      <c r="N69" s="275"/>
      <c r="O69" s="275"/>
      <c r="P69" s="275">
        <v>195</v>
      </c>
      <c r="Q69" s="158">
        <f t="shared" si="7"/>
        <v>974</v>
      </c>
      <c r="R69" s="158">
        <f t="shared" si="8"/>
        <v>0</v>
      </c>
      <c r="S69" s="156">
        <f>IF(H69=0,(Q69+R69/EERR!$D$2/1.19),(Q69+R69/EERR!$D$2/1.19)/H69)</f>
        <v>194.8</v>
      </c>
      <c r="T69" s="158">
        <f>R69+Q69*EERR!$D$2</f>
        <v>581283.19999999995</v>
      </c>
      <c r="U69" s="153">
        <f ca="1">SUMIF(Siteminder!$A$5:$K$150,'Ene (2)'!E69,Siteminder!$K$5:$K$150)</f>
        <v>0</v>
      </c>
      <c r="V69" s="310">
        <f>SUMIF(Transbank!$A$2:$A$433,B69,Transbank!$L$2:$L$433)+(I69+M69)+(J69+N69)*EERR!$D$2</f>
        <v>609552.92000000004</v>
      </c>
      <c r="W69" s="309">
        <f>V69/EERR!$D$2</f>
        <v>1021.368833780161</v>
      </c>
      <c r="X69" s="162">
        <f t="shared" si="12"/>
        <v>28269.720000000088</v>
      </c>
      <c r="Y69" s="168">
        <f t="shared" si="9"/>
        <v>0</v>
      </c>
      <c r="Z69" s="168">
        <f t="shared" si="10"/>
        <v>0</v>
      </c>
      <c r="AA69" s="153">
        <f>IFERROR(VLOOKUP(A69,#REF!,8,FALSE),0)</f>
        <v>0</v>
      </c>
      <c r="AB69" s="39">
        <f t="shared" si="11"/>
        <v>974</v>
      </c>
    </row>
    <row r="70" spans="1:29" x14ac:dyDescent="0.3">
      <c r="A70" s="272"/>
      <c r="B70" s="272"/>
      <c r="C70" s="273"/>
      <c r="D70" s="273"/>
      <c r="E70" s="273"/>
      <c r="F70" s="274"/>
      <c r="G70" s="274"/>
      <c r="H70" s="273"/>
      <c r="I70" s="275"/>
      <c r="J70" s="276"/>
      <c r="K70" s="275"/>
      <c r="L70" s="275"/>
      <c r="M70" s="275"/>
      <c r="N70" s="275"/>
      <c r="O70" s="275"/>
      <c r="P70" s="275"/>
      <c r="Q70" s="158">
        <f t="shared" si="7"/>
        <v>0</v>
      </c>
      <c r="R70" s="158">
        <f t="shared" si="8"/>
        <v>0</v>
      </c>
      <c r="S70" s="156">
        <f>IF(H70=0,(Q70+R70/EERR!$D$2/1.19),(Q70+R70/EERR!$D$2/1.19)/H70)</f>
        <v>0</v>
      </c>
      <c r="T70" s="158">
        <f>R70+Q70*EERR!$D$2</f>
        <v>0</v>
      </c>
      <c r="U70" s="153">
        <f ca="1">SUMIF(Siteminder!$A$5:$K$150,'Ene (2)'!E70,Siteminder!$K$5:$K$150)</f>
        <v>0</v>
      </c>
      <c r="V70" s="310">
        <f>SUMIF(Transbank!$A$2:$A$433,B70,Transbank!$L$2:$L$433)+(I70+M70)+(J70+N70)*EERR!$D$2</f>
        <v>0</v>
      </c>
      <c r="W70" s="309">
        <f>V70/EERR!$D$2</f>
        <v>0</v>
      </c>
      <c r="X70" s="162">
        <f t="shared" si="12"/>
        <v>0</v>
      </c>
      <c r="Y70" s="168">
        <f t="shared" si="9"/>
        <v>0</v>
      </c>
      <c r="Z70" s="168">
        <f t="shared" si="10"/>
        <v>0</v>
      </c>
      <c r="AA70" s="153">
        <f>IFERROR(VLOOKUP(A70,#REF!,8,FALSE),0)</f>
        <v>0</v>
      </c>
      <c r="AB70" s="39">
        <f t="shared" si="11"/>
        <v>0</v>
      </c>
    </row>
    <row r="71" spans="1:29" x14ac:dyDescent="0.3">
      <c r="A71" s="278"/>
      <c r="B71" s="278"/>
      <c r="C71" s="277"/>
      <c r="D71" s="277"/>
      <c r="E71" s="277"/>
      <c r="F71" s="279"/>
      <c r="G71" s="279"/>
      <c r="H71" s="277"/>
      <c r="I71" s="284"/>
      <c r="J71" s="285"/>
      <c r="K71" s="284"/>
      <c r="L71" s="284"/>
      <c r="M71" s="284"/>
      <c r="N71" s="284"/>
      <c r="O71" s="284"/>
      <c r="P71" s="284"/>
      <c r="Q71" s="286"/>
      <c r="R71" s="286"/>
      <c r="S71" s="94"/>
      <c r="T71" s="286"/>
      <c r="U71" s="153">
        <f ca="1">SUMIF(Siteminder!$A$5:$K$150,'Ene (2)'!E71,Siteminder!$K$5:$K$150)</f>
        <v>0</v>
      </c>
      <c r="V71" s="294">
        <f>SUMIF(Transbank!$A$2:$A$433,B71,Transbank!$L$2:$L$433)+(I71+M71)+(J71+N71)*EERR!$D$2</f>
        <v>0</v>
      </c>
      <c r="W71" s="296">
        <f>V71/EERR!$D$2</f>
        <v>0</v>
      </c>
      <c r="X71" s="162">
        <f t="shared" si="12"/>
        <v>0</v>
      </c>
      <c r="Y71" s="168">
        <f t="shared" si="9"/>
        <v>0</v>
      </c>
      <c r="Z71" s="168">
        <f t="shared" si="10"/>
        <v>0</v>
      </c>
      <c r="AA71" s="153">
        <f>IFERROR(VLOOKUP(A71,#REF!,8,FALSE),0)</f>
        <v>0</v>
      </c>
      <c r="AB71" s="39">
        <f t="shared" si="11"/>
        <v>0</v>
      </c>
    </row>
    <row r="72" spans="1:29" x14ac:dyDescent="0.3">
      <c r="A72" s="272"/>
      <c r="B72" s="272"/>
      <c r="C72" s="273"/>
      <c r="D72" s="273"/>
      <c r="E72" s="273"/>
      <c r="F72" s="274"/>
      <c r="G72" s="274"/>
      <c r="H72" s="273"/>
      <c r="I72" s="275"/>
      <c r="J72" s="276"/>
      <c r="K72" s="275"/>
      <c r="L72" s="275"/>
      <c r="M72" s="275"/>
      <c r="N72" s="275"/>
      <c r="O72" s="275"/>
      <c r="P72" s="275"/>
      <c r="Q72" s="158">
        <f t="shared" si="7"/>
        <v>0</v>
      </c>
      <c r="R72" s="158">
        <f t="shared" si="8"/>
        <v>0</v>
      </c>
      <c r="S72" s="156">
        <f>IF(H72=0,(Q72+R72/EERR!$D$2/1.19),(Q72+R72/EERR!$D$2/1.19)/H72)</f>
        <v>0</v>
      </c>
      <c r="T72" s="158">
        <f>R72+Q72*EERR!$D$2</f>
        <v>0</v>
      </c>
      <c r="U72" s="153">
        <f ca="1">SUMIF(Siteminder!$A$5:$K$150,'Ene (2)'!E72,Siteminder!$K$5:$K$150)</f>
        <v>0</v>
      </c>
      <c r="V72" s="294">
        <f>SUMIF(Transbank!$A$2:$A$433,B72,Transbank!$L$2:$L$433)+(I72+M72)+(J72+N72)*EERR!$D$2</f>
        <v>0</v>
      </c>
      <c r="W72" s="296">
        <f>V72/EERR!$D$2</f>
        <v>0</v>
      </c>
      <c r="X72" s="162">
        <f t="shared" si="12"/>
        <v>0</v>
      </c>
      <c r="Y72" s="168">
        <f t="shared" si="9"/>
        <v>0</v>
      </c>
      <c r="Z72" s="168">
        <f t="shared" si="10"/>
        <v>0</v>
      </c>
      <c r="AA72" s="153">
        <f>IFERROR(VLOOKUP(A72,#REF!,8,FALSE),0)</f>
        <v>0</v>
      </c>
      <c r="AB72" s="39">
        <f t="shared" si="11"/>
        <v>0</v>
      </c>
    </row>
    <row r="73" spans="1:29" x14ac:dyDescent="0.3">
      <c r="A73" s="272"/>
      <c r="B73" s="272"/>
      <c r="C73" s="273"/>
      <c r="D73" s="273"/>
      <c r="E73" s="273"/>
      <c r="F73" s="274"/>
      <c r="G73" s="274"/>
      <c r="H73" s="273"/>
      <c r="I73" s="275"/>
      <c r="J73" s="276"/>
      <c r="K73" s="275"/>
      <c r="L73" s="275"/>
      <c r="M73" s="275"/>
      <c r="N73" s="275"/>
      <c r="O73" s="275"/>
      <c r="P73" s="275"/>
      <c r="Q73" s="158">
        <f t="shared" si="7"/>
        <v>0</v>
      </c>
      <c r="R73" s="158">
        <f t="shared" si="8"/>
        <v>0</v>
      </c>
      <c r="S73" s="156">
        <f>IF(H73=0,(Q73+R73/EERR!$D$2/1.19),(Q73+R73/EERR!$D$2/1.19)/H73)</f>
        <v>0</v>
      </c>
      <c r="T73" s="158">
        <f>R73+Q73*EERR!$D$2</f>
        <v>0</v>
      </c>
      <c r="U73" s="153">
        <f ca="1">SUMIF(Siteminder!$A$5:$K$150,'Ene (2)'!E73,Siteminder!$K$5:$K$150)</f>
        <v>0</v>
      </c>
      <c r="V73" s="294">
        <f>SUMIF(Transbank!$A$2:$A$433,B73,Transbank!$L$2:$L$433)+(I73+M73)+(J73+N73)*EERR!$D$2</f>
        <v>0</v>
      </c>
      <c r="W73" s="296">
        <f>V73/EERR!$D$2</f>
        <v>0</v>
      </c>
      <c r="X73" s="162">
        <f t="shared" si="12"/>
        <v>0</v>
      </c>
      <c r="Y73" s="168">
        <f t="shared" si="9"/>
        <v>0</v>
      </c>
      <c r="Z73" s="168">
        <f t="shared" si="10"/>
        <v>0</v>
      </c>
      <c r="AA73" s="153">
        <f>IFERROR(VLOOKUP(A73,#REF!,8,FALSE),0)</f>
        <v>0</v>
      </c>
      <c r="AB73" s="39">
        <f t="shared" si="11"/>
        <v>0</v>
      </c>
    </row>
    <row r="74" spans="1:29" x14ac:dyDescent="0.3">
      <c r="A74" s="256"/>
      <c r="B74" s="256"/>
      <c r="C74" s="256"/>
      <c r="D74" s="256"/>
      <c r="E74" s="256"/>
      <c r="F74" s="261"/>
      <c r="G74" s="261"/>
      <c r="H74" s="262">
        <f>SUM(H59:H73)</f>
        <v>48</v>
      </c>
      <c r="I74" s="262">
        <f t="shared" ref="I74:R74" si="13">SUM(I59:I73)</f>
        <v>0</v>
      </c>
      <c r="J74" s="262">
        <f t="shared" si="13"/>
        <v>2606</v>
      </c>
      <c r="K74" s="262">
        <f t="shared" si="13"/>
        <v>0</v>
      </c>
      <c r="L74" s="262">
        <f t="shared" si="13"/>
        <v>4226</v>
      </c>
      <c r="M74" s="262">
        <f t="shared" si="13"/>
        <v>0</v>
      </c>
      <c r="N74" s="262">
        <f t="shared" si="13"/>
        <v>0</v>
      </c>
      <c r="O74" s="262">
        <f t="shared" si="13"/>
        <v>0</v>
      </c>
      <c r="P74" s="262">
        <f t="shared" si="13"/>
        <v>2271</v>
      </c>
      <c r="Q74" s="262">
        <f>SUM(Q59:Q73)</f>
        <v>9103</v>
      </c>
      <c r="R74" s="262">
        <f t="shared" si="13"/>
        <v>0</v>
      </c>
      <c r="S74" s="262">
        <f>IF(H74=0,(Q74+R74/EERR!$D$2/1.19),(Q74+R74/EERR!$D$2/1.19)/H74)</f>
        <v>189.64583333333334</v>
      </c>
      <c r="T74" s="262">
        <f>SUM(T59:T73)</f>
        <v>5432670.4000000004</v>
      </c>
      <c r="U74" s="153">
        <f ca="1">SUMIF(Siteminder!$A$5:$K$150,'Ene (2)'!E74,Siteminder!$K$5:$K$150)</f>
        <v>0</v>
      </c>
      <c r="V74" s="262">
        <f>SUM(V59:V73)</f>
        <v>4382814.83</v>
      </c>
      <c r="W74" s="262"/>
      <c r="X74" s="162">
        <f t="shared" si="12"/>
        <v>-1049855.5700000003</v>
      </c>
      <c r="Y74" s="168"/>
      <c r="Z74" s="168"/>
      <c r="AB74" s="39"/>
    </row>
    <row r="75" spans="1:29" x14ac:dyDescent="0.3">
      <c r="A75" s="272">
        <v>2919</v>
      </c>
      <c r="B75" s="272">
        <v>91428</v>
      </c>
      <c r="C75" s="273" t="s">
        <v>460</v>
      </c>
      <c r="D75" s="273" t="s">
        <v>269</v>
      </c>
      <c r="E75" s="273">
        <v>949591428</v>
      </c>
      <c r="F75" s="274">
        <v>43106</v>
      </c>
      <c r="G75" s="274">
        <v>43108</v>
      </c>
      <c r="H75" s="273">
        <v>2</v>
      </c>
      <c r="I75" s="275"/>
      <c r="J75" s="276"/>
      <c r="K75" s="275"/>
      <c r="L75" s="275">
        <v>205</v>
      </c>
      <c r="M75" s="275"/>
      <c r="N75" s="275"/>
      <c r="O75" s="275"/>
      <c r="P75" s="275">
        <v>205</v>
      </c>
      <c r="Q75" s="158">
        <f t="shared" ref="Q75:Q82" si="14">J75+L75+N75+P75</f>
        <v>410</v>
      </c>
      <c r="R75" s="158">
        <f t="shared" ref="R75:R82" si="15">K75+M75+I75+O75</f>
        <v>0</v>
      </c>
      <c r="S75" s="156">
        <f>IF(H75=0,(Q75+R75/EERR!$D$2/1.19),(Q75+R75/EERR!$D$2/1.19)/H75)</f>
        <v>205</v>
      </c>
      <c r="T75" s="158">
        <f>R75+Q75*EERR!$D$2</f>
        <v>244687.99999999997</v>
      </c>
      <c r="U75" s="153">
        <f ca="1">SUMIF(Siteminder!$A$5:$K$150,'Ene (2)'!E75,Siteminder!$K$5:$K$150)</f>
        <v>0</v>
      </c>
      <c r="V75" s="310">
        <f>SUMIF(Transbank!$A$2:$A$433,B75,Transbank!$L$2:$L$433)+(I75+M75)+(J75+N75)*EERR!$D$2</f>
        <v>130816.65</v>
      </c>
      <c r="W75" s="310">
        <f>V75/EERR!$D$2</f>
        <v>219.19679959785523</v>
      </c>
      <c r="X75" s="295">
        <f t="shared" si="12"/>
        <v>-113871.34999999998</v>
      </c>
      <c r="Y75" s="162">
        <f t="shared" ref="Y75:Y82" si="16">(I75+K75+M75)/1.19</f>
        <v>0</v>
      </c>
      <c r="Z75" s="162">
        <f t="shared" ref="Z75:Z82" si="17">IF(AA75="b",(I75+K75+M75)*0.19,0)</f>
        <v>0</v>
      </c>
      <c r="AA75" s="153">
        <f>IFERROR(VLOOKUP(A75,#REF!,8,FALSE),0)</f>
        <v>0</v>
      </c>
      <c r="AB75" s="39">
        <f t="shared" ref="AB75" si="18">Q75-AA75</f>
        <v>410</v>
      </c>
      <c r="AC75" s="153" t="s">
        <v>390</v>
      </c>
    </row>
    <row r="76" spans="1:29" x14ac:dyDescent="0.3">
      <c r="A76" s="272">
        <v>2929</v>
      </c>
      <c r="B76" s="272">
        <v>21290</v>
      </c>
      <c r="C76" s="273" t="s">
        <v>461</v>
      </c>
      <c r="D76" s="273" t="s">
        <v>269</v>
      </c>
      <c r="E76" s="273">
        <v>955421290</v>
      </c>
      <c r="F76" s="274">
        <v>43109</v>
      </c>
      <c r="G76" s="274">
        <v>43111</v>
      </c>
      <c r="H76" s="273">
        <v>2</v>
      </c>
      <c r="I76" s="275"/>
      <c r="J76" s="276"/>
      <c r="K76" s="275"/>
      <c r="L76" s="275">
        <v>205</v>
      </c>
      <c r="M76" s="275"/>
      <c r="N76" s="275"/>
      <c r="O76" s="275"/>
      <c r="P76" s="275">
        <v>205</v>
      </c>
      <c r="Q76" s="158">
        <f t="shared" si="14"/>
        <v>410</v>
      </c>
      <c r="R76" s="158">
        <f t="shared" si="15"/>
        <v>0</v>
      </c>
      <c r="S76" s="156">
        <f>IF(H76=0,(Q76+R76/EERR!$D$2/1.19),(Q76+R76/EERR!$D$2/1.19)/H76)</f>
        <v>205</v>
      </c>
      <c r="T76" s="158">
        <f>R76+Q76*EERR!$D$2</f>
        <v>244687.99999999997</v>
      </c>
      <c r="U76" s="153">
        <f ca="1">SUMIF(Siteminder!$A$5:$K$150,'Ene (2)'!E76,Siteminder!$K$5:$K$150)</f>
        <v>0</v>
      </c>
      <c r="V76" s="311">
        <f>SUMIF(Transbank!$A$2:$A$433,B76,Transbank!$L$2:$L$433)+(I76+M76)+(J76+N76)*EERR!$D$2</f>
        <v>0</v>
      </c>
      <c r="W76" s="310">
        <f>V76/EERR!$D$2</f>
        <v>0</v>
      </c>
      <c r="X76" s="162">
        <f t="shared" si="12"/>
        <v>-244687.99999999997</v>
      </c>
      <c r="Y76" s="162">
        <f t="shared" si="16"/>
        <v>0</v>
      </c>
      <c r="Z76" s="162">
        <f t="shared" si="17"/>
        <v>0</v>
      </c>
      <c r="AB76" s="39"/>
    </row>
    <row r="77" spans="1:29" x14ac:dyDescent="0.3">
      <c r="A77" s="272">
        <v>2930</v>
      </c>
      <c r="B77" s="272">
        <v>21289</v>
      </c>
      <c r="C77" s="273" t="s">
        <v>412</v>
      </c>
      <c r="D77" s="273" t="s">
        <v>269</v>
      </c>
      <c r="E77" s="273">
        <v>955421289</v>
      </c>
      <c r="F77" s="274">
        <v>43109</v>
      </c>
      <c r="G77" s="274">
        <v>43111</v>
      </c>
      <c r="H77" s="273">
        <v>2</v>
      </c>
      <c r="I77" s="275"/>
      <c r="J77" s="276"/>
      <c r="K77" s="275"/>
      <c r="L77" s="275">
        <v>205</v>
      </c>
      <c r="M77" s="275"/>
      <c r="N77" s="275"/>
      <c r="O77" s="275"/>
      <c r="P77" s="275">
        <v>205</v>
      </c>
      <c r="Q77" s="158">
        <f t="shared" si="14"/>
        <v>410</v>
      </c>
      <c r="R77" s="158">
        <f t="shared" si="15"/>
        <v>0</v>
      </c>
      <c r="S77" s="156">
        <f>IF(H77=0,(Q77+R77/EERR!$D$2/1.19),(Q77+R77/EERR!$D$2/1.19)/H77)</f>
        <v>205</v>
      </c>
      <c r="T77" s="158">
        <f>R77+Q77*EERR!$D$2</f>
        <v>244687.99999999997</v>
      </c>
      <c r="U77" s="153">
        <f ca="1">SUMIF(Siteminder!$A$5:$K$150,'Ene (2)'!E77,Siteminder!$K$5:$K$150)</f>
        <v>0</v>
      </c>
      <c r="V77" s="311">
        <f>SUMIF(Transbank!$A$2:$A$433,B77,Transbank!$L$2:$L$433)+(I77+M77)+(J77+N77)*EERR!$D$2</f>
        <v>261633.3</v>
      </c>
      <c r="W77" s="310">
        <f>V77/EERR!$D$2</f>
        <v>438.39359919571046</v>
      </c>
      <c r="X77" s="162">
        <f t="shared" si="12"/>
        <v>16945.300000000017</v>
      </c>
      <c r="Y77" s="162">
        <f t="shared" si="16"/>
        <v>0</v>
      </c>
      <c r="Z77" s="162">
        <f t="shared" si="17"/>
        <v>0</v>
      </c>
      <c r="AB77" s="39"/>
    </row>
    <row r="78" spans="1:29" x14ac:dyDescent="0.3">
      <c r="A78" s="272">
        <v>2952</v>
      </c>
      <c r="B78" s="272">
        <v>13112</v>
      </c>
      <c r="C78" s="273" t="s">
        <v>462</v>
      </c>
      <c r="D78" s="273" t="s">
        <v>269</v>
      </c>
      <c r="E78" s="273">
        <v>938913112</v>
      </c>
      <c r="F78" s="274">
        <v>43120</v>
      </c>
      <c r="G78" s="274">
        <v>43121</v>
      </c>
      <c r="H78" s="273">
        <v>1</v>
      </c>
      <c r="I78" s="275"/>
      <c r="J78" s="276"/>
      <c r="K78" s="275"/>
      <c r="L78" s="275"/>
      <c r="M78" s="275"/>
      <c r="N78" s="275"/>
      <c r="O78" s="275"/>
      <c r="P78" s="275">
        <v>205</v>
      </c>
      <c r="Q78" s="158">
        <f t="shared" si="14"/>
        <v>205</v>
      </c>
      <c r="R78" s="158">
        <f t="shared" si="15"/>
        <v>0</v>
      </c>
      <c r="S78" s="156">
        <f>IF(H78=0,(Q78+R78/EERR!$D$2/1.19),(Q78+R78/EERR!$D$2/1.19)/H78)</f>
        <v>205</v>
      </c>
      <c r="T78" s="158">
        <f>R78+Q78*EERR!$D$2</f>
        <v>122343.99999999999</v>
      </c>
      <c r="U78" s="153">
        <f ca="1">SUMIF(Siteminder!$A$5:$K$150,'Ene (2)'!E78,Siteminder!$K$5:$K$150)</f>
        <v>0</v>
      </c>
      <c r="V78" s="310">
        <f>SUMIF(Transbank!$A$2:$A$433,B78,Transbank!$L$2:$L$433)+(I78+M78)+(J78+N78)*EERR!$D$2</f>
        <v>0</v>
      </c>
      <c r="W78" s="310">
        <f>V78/EERR!$D$2</f>
        <v>0</v>
      </c>
      <c r="X78" s="162">
        <f t="shared" si="12"/>
        <v>-122343.99999999999</v>
      </c>
      <c r="Y78" s="162">
        <f t="shared" si="16"/>
        <v>0</v>
      </c>
      <c r="Z78" s="162">
        <f t="shared" si="17"/>
        <v>0</v>
      </c>
      <c r="AB78" s="39"/>
    </row>
    <row r="79" spans="1:29" x14ac:dyDescent="0.3">
      <c r="A79" s="272">
        <v>2957</v>
      </c>
      <c r="B79" s="272">
        <v>84933</v>
      </c>
      <c r="C79" s="273" t="s">
        <v>463</v>
      </c>
      <c r="D79" s="273" t="s">
        <v>269</v>
      </c>
      <c r="E79" s="273">
        <v>952184933</v>
      </c>
      <c r="F79" s="274">
        <v>43121</v>
      </c>
      <c r="G79" s="274">
        <v>43123</v>
      </c>
      <c r="H79" s="273">
        <v>2</v>
      </c>
      <c r="I79" s="275"/>
      <c r="J79" s="276"/>
      <c r="K79" s="275"/>
      <c r="L79" s="275">
        <v>205</v>
      </c>
      <c r="M79" s="275"/>
      <c r="N79" s="275"/>
      <c r="O79" s="275"/>
      <c r="P79" s="275">
        <v>205</v>
      </c>
      <c r="Q79" s="158">
        <f t="shared" si="14"/>
        <v>410</v>
      </c>
      <c r="R79" s="158">
        <f t="shared" si="15"/>
        <v>0</v>
      </c>
      <c r="S79" s="156">
        <f>IF(H79=0,(Q79+R79/EERR!$D$2/1.19),(Q79+R79/EERR!$D$2/1.19)/H79)</f>
        <v>205</v>
      </c>
      <c r="T79" s="158">
        <f>R79+Q79*EERR!$D$2</f>
        <v>244687.99999999997</v>
      </c>
      <c r="U79" s="153">
        <f ca="1">SUMIF(Siteminder!$A$5:$K$150,'Ene (2)'!E79,Siteminder!$K$5:$K$150)</f>
        <v>0</v>
      </c>
      <c r="V79" s="310">
        <f>SUMIF(Transbank!$A$2:$A$433,B79,Transbank!$L$2:$L$433)+(I79+M79)+(J79+N79)*EERR!$D$2</f>
        <v>130816.65</v>
      </c>
      <c r="W79" s="310">
        <f>V79/EERR!$D$2</f>
        <v>219.19679959785523</v>
      </c>
      <c r="X79" s="162">
        <f t="shared" si="12"/>
        <v>-113871.34999999998</v>
      </c>
      <c r="Y79" s="162">
        <f t="shared" si="16"/>
        <v>0</v>
      </c>
      <c r="Z79" s="162">
        <f t="shared" si="17"/>
        <v>0</v>
      </c>
      <c r="AB79" s="39"/>
    </row>
    <row r="80" spans="1:29" x14ac:dyDescent="0.3">
      <c r="A80" s="272">
        <v>2958</v>
      </c>
      <c r="B80" s="272">
        <v>84934</v>
      </c>
      <c r="C80" s="273" t="s">
        <v>464</v>
      </c>
      <c r="D80" s="273" t="s">
        <v>269</v>
      </c>
      <c r="E80" s="273">
        <v>952184934</v>
      </c>
      <c r="F80" s="274">
        <v>43121</v>
      </c>
      <c r="G80" s="274">
        <v>43123</v>
      </c>
      <c r="H80" s="273">
        <v>2</v>
      </c>
      <c r="I80" s="275"/>
      <c r="J80" s="276"/>
      <c r="K80" s="275"/>
      <c r="L80" s="275">
        <v>205</v>
      </c>
      <c r="M80" s="275"/>
      <c r="N80" s="275"/>
      <c r="O80" s="275"/>
      <c r="P80" s="275">
        <v>205</v>
      </c>
      <c r="Q80" s="158">
        <f t="shared" si="14"/>
        <v>410</v>
      </c>
      <c r="R80" s="158">
        <f t="shared" si="15"/>
        <v>0</v>
      </c>
      <c r="S80" s="156">
        <f>IF(H80=0,(Q80+R80/EERR!$D$2/1.19),(Q80+R80/EERR!$D$2/1.19)/H80)</f>
        <v>205</v>
      </c>
      <c r="T80" s="158">
        <f>R80+Q80*EERR!$D$2</f>
        <v>244687.99999999997</v>
      </c>
      <c r="U80" s="153">
        <f ca="1">SUMIF(Siteminder!$A$5:$K$150,'Ene (2)'!E80,Siteminder!$K$5:$K$150)</f>
        <v>0</v>
      </c>
      <c r="V80" s="310">
        <f>SUMIF(Transbank!$A$2:$A$433,B80,Transbank!$L$2:$L$433)+(I80+M80)+(J80+N80)*EERR!$D$2</f>
        <v>130816.65</v>
      </c>
      <c r="W80" s="310">
        <f>V80/EERR!$D$2</f>
        <v>219.19679959785523</v>
      </c>
      <c r="X80" s="162">
        <f t="shared" si="12"/>
        <v>-113871.34999999998</v>
      </c>
      <c r="Y80" s="162">
        <f t="shared" si="16"/>
        <v>0</v>
      </c>
      <c r="Z80" s="162">
        <f t="shared" si="17"/>
        <v>0</v>
      </c>
      <c r="AB80" s="39"/>
    </row>
    <row r="81" spans="1:28" x14ac:dyDescent="0.3">
      <c r="A81" s="272">
        <v>2964</v>
      </c>
      <c r="B81" s="272">
        <v>66183</v>
      </c>
      <c r="C81" s="273" t="s">
        <v>465</v>
      </c>
      <c r="D81" s="273" t="s">
        <v>269</v>
      </c>
      <c r="E81" s="273">
        <v>935766183</v>
      </c>
      <c r="F81" s="274">
        <v>43127</v>
      </c>
      <c r="G81" s="274">
        <v>43132</v>
      </c>
      <c r="H81" s="273">
        <v>5</v>
      </c>
      <c r="I81" s="275"/>
      <c r="J81" s="276">
        <v>780</v>
      </c>
      <c r="K81" s="275"/>
      <c r="L81" s="275"/>
      <c r="M81" s="275"/>
      <c r="N81" s="275"/>
      <c r="O81" s="275"/>
      <c r="P81" s="275">
        <v>195</v>
      </c>
      <c r="Q81" s="158">
        <f t="shared" si="14"/>
        <v>975</v>
      </c>
      <c r="R81" s="158">
        <f t="shared" si="15"/>
        <v>0</v>
      </c>
      <c r="S81" s="156">
        <f>IF(H81=0,(Q81+R81/EERR!$D$2/1.19),(Q81+R81/EERR!$D$2/1.19)/H81)</f>
        <v>195</v>
      </c>
      <c r="T81" s="158">
        <f>R81+Q81*EERR!$D$2</f>
        <v>581880</v>
      </c>
      <c r="U81" s="153">
        <f ca="1">SUMIF(Siteminder!$A$5:$K$150,'Ene (2)'!E81,Siteminder!$K$5:$K$150)</f>
        <v>0</v>
      </c>
      <c r="V81" s="310">
        <f>SUMIF(Transbank!$A$2:$A$433,B81,Transbank!$L$2:$L$433)+(I81+M81)+(J81+N81)*EERR!$D$2</f>
        <v>589939.35</v>
      </c>
      <c r="W81" s="310">
        <f>V81/EERR!$D$2</f>
        <v>988.50427278820382</v>
      </c>
      <c r="X81" s="162">
        <f t="shared" si="12"/>
        <v>8059.3499999999767</v>
      </c>
      <c r="Y81" s="162">
        <f t="shared" si="16"/>
        <v>0</v>
      </c>
      <c r="Z81" s="162">
        <f t="shared" si="17"/>
        <v>0</v>
      </c>
      <c r="AB81" s="39"/>
    </row>
    <row r="82" spans="1:28" x14ac:dyDescent="0.3">
      <c r="A82" s="272">
        <v>2969</v>
      </c>
      <c r="B82" s="272">
        <v>37596</v>
      </c>
      <c r="C82" s="273" t="s">
        <v>466</v>
      </c>
      <c r="D82" s="273" t="s">
        <v>269</v>
      </c>
      <c r="E82" s="273">
        <v>956937596</v>
      </c>
      <c r="F82" s="274">
        <v>43130</v>
      </c>
      <c r="G82" s="274">
        <v>43133</v>
      </c>
      <c r="H82" s="273">
        <v>3</v>
      </c>
      <c r="I82" s="275"/>
      <c r="J82" s="276"/>
      <c r="K82" s="275"/>
      <c r="L82" s="275">
        <v>410</v>
      </c>
      <c r="M82" s="275"/>
      <c r="N82" s="275"/>
      <c r="O82" s="275"/>
      <c r="P82" s="275">
        <v>205</v>
      </c>
      <c r="Q82" s="158">
        <f t="shared" si="14"/>
        <v>615</v>
      </c>
      <c r="R82" s="158">
        <f t="shared" si="15"/>
        <v>0</v>
      </c>
      <c r="S82" s="156">
        <f>IF(H82=0,(Q82+R82/EERR!$D$2/1.19),(Q82+R82/EERR!$D$2/1.19)/H82)</f>
        <v>205</v>
      </c>
      <c r="T82" s="158">
        <f>R82+Q82*EERR!$D$2</f>
        <v>367032</v>
      </c>
      <c r="U82" s="153">
        <f ca="1">SUMIF(Siteminder!$A$5:$K$150,'Ene (2)'!E82,Siteminder!$K$5:$K$150)</f>
        <v>0</v>
      </c>
      <c r="V82" s="311">
        <f>SUMIF(Transbank!$A$2:$A$433,B82,Transbank!$L$2:$L$433)+(I82+M82)+(J82+N82)*EERR!$D$2</f>
        <v>130816.65</v>
      </c>
      <c r="W82" s="310">
        <f>V82/EERR!$D$2</f>
        <v>219.19679959785523</v>
      </c>
      <c r="X82" s="162">
        <f t="shared" si="12"/>
        <v>-236215.35</v>
      </c>
      <c r="Y82" s="162">
        <f t="shared" si="16"/>
        <v>0</v>
      </c>
      <c r="Z82" s="162">
        <f t="shared" si="17"/>
        <v>0</v>
      </c>
      <c r="AB82" s="39"/>
    </row>
    <row r="83" spans="1:28" x14ac:dyDescent="0.3">
      <c r="A83" s="272"/>
      <c r="B83" s="272"/>
      <c r="C83" s="273"/>
      <c r="D83" s="273"/>
      <c r="E83" s="273"/>
      <c r="F83" s="274"/>
      <c r="G83" s="274"/>
      <c r="H83" s="273"/>
      <c r="I83" s="275"/>
      <c r="J83" s="276"/>
      <c r="K83" s="275"/>
      <c r="L83" s="275"/>
      <c r="M83" s="275"/>
      <c r="N83" s="275"/>
      <c r="O83" s="275"/>
      <c r="P83" s="275"/>
      <c r="Q83" s="158"/>
      <c r="R83" s="158"/>
      <c r="S83" s="156"/>
      <c r="T83" s="158"/>
      <c r="U83" s="153">
        <f ca="1">SUMIF(Siteminder!$A$5:$K$150,'Ene (2)'!E83,Siteminder!$K$5:$K$150)</f>
        <v>0</v>
      </c>
      <c r="V83" s="310">
        <f>SUMIF(Transbank!$A$2:$A$433,B83,Transbank!$L$2:$L$433)+(I83+M83)+(J83+N83)*EERR!$D$2</f>
        <v>0</v>
      </c>
      <c r="W83" s="310">
        <f>V83/EERR!$D$2</f>
        <v>0</v>
      </c>
      <c r="X83" s="162">
        <f t="shared" si="12"/>
        <v>0</v>
      </c>
      <c r="Y83" s="162"/>
      <c r="Z83" s="162" t="e">
        <f>+#REF!-#REF!</f>
        <v>#REF!</v>
      </c>
      <c r="AB83" s="39"/>
    </row>
    <row r="84" spans="1:28" x14ac:dyDescent="0.3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/>
      <c r="R84" s="158"/>
      <c r="S84" s="156"/>
      <c r="T84" s="158"/>
      <c r="U84" s="153">
        <f ca="1">SUMIF(Siteminder!$A$5:$K$150,'Ene (2)'!E84,Siteminder!$K$5:$K$150)</f>
        <v>0</v>
      </c>
      <c r="V84" s="294">
        <f>SUMIF(Transbank!$A$2:$A$433,B84,Transbank!$L$2:$L$433)+(I84+M84)+(J84+N84)*EERR!$D$2</f>
        <v>0</v>
      </c>
      <c r="W84" s="294">
        <f>V84/EERR!$D$2</f>
        <v>0</v>
      </c>
      <c r="X84" s="162">
        <f t="shared" si="12"/>
        <v>0</v>
      </c>
      <c r="Y84" s="162"/>
      <c r="Z84" s="162"/>
      <c r="AB84" s="39"/>
    </row>
    <row r="85" spans="1:28" x14ac:dyDescent="0.3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/>
      <c r="R85" s="158"/>
      <c r="S85" s="156"/>
      <c r="T85" s="158"/>
      <c r="U85" s="153">
        <f ca="1">SUMIF(Siteminder!$A$5:$K$150,'Ene (2)'!E85,Siteminder!$K$5:$K$150)</f>
        <v>0</v>
      </c>
      <c r="V85" s="294">
        <f>SUMIF(Transbank!$A$2:$A$433,B85,Transbank!$L$2:$L$433)+(I85+M85)+(J85+N85)*EERR!$D$2</f>
        <v>0</v>
      </c>
      <c r="W85" s="294">
        <f>V85/EERR!$D$2</f>
        <v>0</v>
      </c>
      <c r="X85" s="162">
        <f t="shared" si="12"/>
        <v>0</v>
      </c>
      <c r="Y85" s="162"/>
      <c r="Z85" s="162"/>
      <c r="AB85" s="39"/>
    </row>
    <row r="86" spans="1:28" x14ac:dyDescent="0.3">
      <c r="A86" s="278"/>
      <c r="B86" s="278"/>
      <c r="C86" s="277"/>
      <c r="D86" s="277"/>
      <c r="E86" s="277"/>
      <c r="F86" s="279"/>
      <c r="G86" s="279"/>
      <c r="H86" s="277"/>
      <c r="I86" s="275"/>
      <c r="J86" s="276"/>
      <c r="K86" s="275"/>
      <c r="L86" s="275"/>
      <c r="M86" s="275"/>
      <c r="N86" s="275"/>
      <c r="O86" s="275"/>
      <c r="P86" s="275"/>
      <c r="Q86" s="158"/>
      <c r="R86" s="158"/>
      <c r="S86" s="156"/>
      <c r="T86" s="158"/>
      <c r="U86" s="153">
        <f ca="1">SUMIF(Siteminder!$A$5:$K$150,'Ene (2)'!E86,Siteminder!$K$5:$K$150)</f>
        <v>0</v>
      </c>
      <c r="V86" s="294">
        <f>SUMIF(Transbank!$A$2:$A$433,B86,Transbank!$L$2:$L$433)+(I86+M86)+(J86+N86)*EERR!$D$2</f>
        <v>0</v>
      </c>
      <c r="W86" s="294">
        <f>V86/EERR!$D$2</f>
        <v>0</v>
      </c>
      <c r="X86" s="162">
        <f t="shared" si="12"/>
        <v>0</v>
      </c>
      <c r="Y86" s="162"/>
      <c r="Z86" s="162"/>
      <c r="AB86" s="39"/>
    </row>
    <row r="87" spans="1:28" x14ac:dyDescent="0.3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/>
      <c r="R87" s="158"/>
      <c r="S87" s="156"/>
      <c r="T87" s="158"/>
      <c r="U87" s="153">
        <f ca="1">SUMIF(Siteminder!$A$5:$K$150,'Ene (2)'!E87,Siteminder!$K$5:$K$150)</f>
        <v>0</v>
      </c>
      <c r="V87" s="294">
        <f>SUMIF(Transbank!$A$2:$A$433,B87,Transbank!$L$2:$L$433)+(I87+M87)+(J87+N87)*EERR!$D$2</f>
        <v>0</v>
      </c>
      <c r="W87" s="294">
        <f>V87/EERR!$D$2</f>
        <v>0</v>
      </c>
      <c r="X87" s="162">
        <f t="shared" si="12"/>
        <v>0</v>
      </c>
      <c r="Y87" s="162"/>
      <c r="Z87" s="162"/>
      <c r="AB87" s="39"/>
    </row>
    <row r="88" spans="1:28" x14ac:dyDescent="0.3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/>
      <c r="R88" s="158"/>
      <c r="S88" s="156"/>
      <c r="T88" s="158"/>
      <c r="U88" s="153">
        <f ca="1">SUMIF(Siteminder!$A$5:$K$150,'Ene (2)'!E88,Siteminder!$K$5:$K$150)</f>
        <v>0</v>
      </c>
      <c r="V88" s="294">
        <f>SUMIF(Transbank!$A$2:$A$433,B88,Transbank!$L$2:$L$433)+(I88+M88)+(J88+N88)*EERR!$D$2</f>
        <v>0</v>
      </c>
      <c r="W88" s="294">
        <f>V88/EERR!$D$2</f>
        <v>0</v>
      </c>
      <c r="X88" s="162">
        <f t="shared" si="12"/>
        <v>0</v>
      </c>
      <c r="Y88" s="162"/>
      <c r="Z88" s="162"/>
      <c r="AB88" s="39"/>
    </row>
    <row r="89" spans="1:28" x14ac:dyDescent="0.3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ref="Q89:Q90" si="19">J89+L89+N89+P89</f>
        <v>0</v>
      </c>
      <c r="R89" s="158">
        <f t="shared" ref="R89:R90" si="20">K89+M89+I89+O89</f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SUMIF(Siteminder!$A$5:$K$150,'Ene (2)'!E89,Siteminder!$K$5:$K$150)</f>
        <v>0</v>
      </c>
      <c r="V89" s="294">
        <f>SUMIF(Transbank!$A$2:$A$433,B89,Transbank!$L$2:$L$433)+(I89+M89)+(J89+N89)*EERR!$D$2</f>
        <v>0</v>
      </c>
      <c r="W89" s="294">
        <f>V89/EERR!$D$2</f>
        <v>0</v>
      </c>
      <c r="X89" s="162">
        <f t="shared" si="12"/>
        <v>0</v>
      </c>
      <c r="Y89" s="162"/>
      <c r="Z89" s="162"/>
      <c r="AB89" s="39"/>
    </row>
    <row r="90" spans="1:28" x14ac:dyDescent="0.3">
      <c r="A90" s="272"/>
      <c r="B90" s="272"/>
      <c r="C90" s="273"/>
      <c r="D90" s="273"/>
      <c r="E90" s="273"/>
      <c r="F90" s="274"/>
      <c r="G90" s="274"/>
      <c r="H90" s="273"/>
      <c r="I90" s="275"/>
      <c r="J90" s="276"/>
      <c r="K90" s="275"/>
      <c r="L90" s="275"/>
      <c r="M90" s="275"/>
      <c r="N90" s="275"/>
      <c r="O90" s="275"/>
      <c r="P90" s="275"/>
      <c r="Q90" s="158">
        <f t="shared" si="19"/>
        <v>0</v>
      </c>
      <c r="R90" s="158">
        <f t="shared" si="20"/>
        <v>0</v>
      </c>
      <c r="S90" s="156">
        <f>IF(H90=0,(Q90+R90/EERR!$D$2/1.19),(Q90+R90/EERR!$D$2/1.19)/H90)</f>
        <v>0</v>
      </c>
      <c r="T90" s="158">
        <f>R90+Q90*EERR!$D$2</f>
        <v>0</v>
      </c>
      <c r="U90" s="153">
        <f ca="1">SUMIF(Siteminder!$A$5:$K$150,'Ene (2)'!E90,Siteminder!$K$5:$K$150)</f>
        <v>0</v>
      </c>
      <c r="V90" s="294">
        <f>SUMIF(Transbank!$A$2:$A$433,B90,Transbank!$L$2:$L$433)+(I90+M90)+(J90+N90)*EERR!$D$2</f>
        <v>0</v>
      </c>
      <c r="W90" s="294">
        <f>V90/EERR!$D$2</f>
        <v>0</v>
      </c>
      <c r="X90" s="162">
        <f t="shared" si="12"/>
        <v>0</v>
      </c>
      <c r="Y90" s="162">
        <f t="shared" ref="Y90" si="21">(I90+K90+M90)/1.19</f>
        <v>0</v>
      </c>
      <c r="Z90" s="162">
        <f t="shared" ref="Z90" si="22">IF(AA90="b",(I90+K90+M90)*0.19,0)</f>
        <v>0</v>
      </c>
      <c r="AA90" s="153">
        <f>IFERROR(VLOOKUP(A90,#REF!,8,FALSE),0)</f>
        <v>0</v>
      </c>
      <c r="AB90" s="39"/>
    </row>
    <row r="91" spans="1:28" x14ac:dyDescent="0.3">
      <c r="A91" s="256"/>
      <c r="B91" s="256"/>
      <c r="C91" s="256"/>
      <c r="D91" s="256"/>
      <c r="E91" s="256"/>
      <c r="F91" s="257"/>
      <c r="G91" s="257"/>
      <c r="H91" s="256">
        <f t="shared" ref="H91:N91" si="23">SUM(H75:H90)</f>
        <v>19</v>
      </c>
      <c r="I91" s="256">
        <f t="shared" si="23"/>
        <v>0</v>
      </c>
      <c r="J91" s="256">
        <f t="shared" si="23"/>
        <v>780</v>
      </c>
      <c r="K91" s="256">
        <f t="shared" si="23"/>
        <v>0</v>
      </c>
      <c r="L91" s="256">
        <f t="shared" si="23"/>
        <v>1435</v>
      </c>
      <c r="M91" s="256">
        <f t="shared" si="23"/>
        <v>0</v>
      </c>
      <c r="N91" s="256">
        <f t="shared" si="23"/>
        <v>0</v>
      </c>
      <c r="O91" s="256"/>
      <c r="P91" s="256"/>
      <c r="Q91" s="262">
        <f>SUM(Q75:Q90)</f>
        <v>3845</v>
      </c>
      <c r="R91" s="262">
        <f>SUM(R75:R90)</f>
        <v>0</v>
      </c>
      <c r="S91" s="262">
        <f>IF(H91=0,(Q91+R91/EERR!$D$2/1.19),(Q91+R91/EERR!$D$2/1.19)/H91)</f>
        <v>202.36842105263159</v>
      </c>
      <c r="T91" s="262">
        <f>SUM(T75:T90)</f>
        <v>2294696</v>
      </c>
      <c r="U91" s="262"/>
      <c r="V91" s="262">
        <f>SUM(V75:V90)</f>
        <v>1374839.25</v>
      </c>
      <c r="W91" s="262"/>
      <c r="X91" s="162">
        <f t="shared" si="12"/>
        <v>-919856.75</v>
      </c>
      <c r="Y91" s="162"/>
      <c r="Z91" s="162"/>
    </row>
    <row r="92" spans="1:28" x14ac:dyDescent="0.3">
      <c r="A92" s="154"/>
      <c r="B92" s="154"/>
      <c r="C92" s="154"/>
      <c r="D92" s="154"/>
      <c r="E92" s="154"/>
      <c r="F92" s="155"/>
      <c r="G92" s="155"/>
      <c r="H92" s="154"/>
      <c r="I92" s="156"/>
      <c r="J92" s="157"/>
      <c r="K92" s="156"/>
      <c r="L92" s="156"/>
      <c r="M92" s="156"/>
      <c r="N92" s="156"/>
      <c r="O92" s="156"/>
      <c r="P92" s="156"/>
      <c r="Q92" s="158"/>
      <c r="R92" s="158"/>
      <c r="S92" s="156">
        <f>IF(H92=0,(Q92+R92/EERR!$D$2/1.19),(Q92+R92/EERR!$D$2/1.19)/H92)</f>
        <v>0</v>
      </c>
      <c r="T92" s="154"/>
      <c r="V92" s="162"/>
      <c r="W92" s="162"/>
      <c r="X92" s="162">
        <f t="shared" si="12"/>
        <v>0</v>
      </c>
      <c r="Y92" s="162"/>
      <c r="Z92" s="162"/>
    </row>
    <row r="93" spans="1:28" x14ac:dyDescent="0.3">
      <c r="A93" s="263"/>
      <c r="B93" s="263"/>
      <c r="C93" s="263" t="s">
        <v>332</v>
      </c>
      <c r="D93" s="263"/>
      <c r="E93" s="263"/>
      <c r="F93" s="264"/>
      <c r="G93" s="264"/>
      <c r="H93" s="263"/>
      <c r="I93" s="265"/>
      <c r="J93" s="266"/>
      <c r="K93" s="265"/>
      <c r="L93" s="265"/>
      <c r="M93" s="265"/>
      <c r="N93" s="265"/>
      <c r="O93" s="265"/>
      <c r="P93" s="265"/>
      <c r="Q93" s="267"/>
      <c r="R93" s="267">
        <f t="shared" ref="R93" si="24">K93+M93+I93</f>
        <v>0</v>
      </c>
      <c r="S93" s="265">
        <f>IF(H93=0,(Q93+R93/EERR!$D$2/1.19),(Q93+R93/EERR!$D$2/1.19)/H93)</f>
        <v>0</v>
      </c>
      <c r="T93" s="263"/>
      <c r="V93" s="162">
        <f>IF((K93+L93)&gt;0,SUMIF(Transbank!$A$2:$A$214,'Ene (2)'!A93,Transbank!$L$2:$L$214),I93+(J93+'Ene (2)'!N93)*EERR!$D$2+'Ene (2)'!M93)</f>
        <v>0</v>
      </c>
      <c r="W93" s="162">
        <f>V93/EERR!$D$2</f>
        <v>0</v>
      </c>
      <c r="X93" s="162">
        <f t="shared" si="12"/>
        <v>0</v>
      </c>
      <c r="Y93" s="162">
        <f t="shared" ref="Y93" si="25">(I93+K93+M93)/1.19</f>
        <v>0</v>
      </c>
      <c r="Z93" s="162">
        <f t="shared" ref="Z93" si="26">IF(AA93="b",(I93+K93+M93)*0.19,0)</f>
        <v>0</v>
      </c>
    </row>
    <row r="94" spans="1:28" x14ac:dyDescent="0.3">
      <c r="A94" s="256"/>
      <c r="B94" s="256"/>
      <c r="C94" s="256"/>
      <c r="D94" s="256"/>
      <c r="E94" s="256"/>
      <c r="F94" s="257"/>
      <c r="G94" s="257"/>
      <c r="H94" s="262">
        <f t="shared" ref="H94:R94" si="27">SUM(H93:H93)</f>
        <v>0</v>
      </c>
      <c r="I94" s="262">
        <f t="shared" si="27"/>
        <v>0</v>
      </c>
      <c r="J94" s="262">
        <f t="shared" si="27"/>
        <v>0</v>
      </c>
      <c r="K94" s="262">
        <f t="shared" si="27"/>
        <v>0</v>
      </c>
      <c r="L94" s="262">
        <f>SUM(L92:L93)</f>
        <v>0</v>
      </c>
      <c r="M94" s="262">
        <f t="shared" si="27"/>
        <v>0</v>
      </c>
      <c r="N94" s="262">
        <f t="shared" si="27"/>
        <v>0</v>
      </c>
      <c r="O94" s="262"/>
      <c r="P94" s="262"/>
      <c r="Q94" s="262">
        <f t="shared" si="27"/>
        <v>0</v>
      </c>
      <c r="R94" s="262">
        <f t="shared" si="27"/>
        <v>0</v>
      </c>
      <c r="S94" s="268"/>
      <c r="T94" s="262"/>
      <c r="U94" s="256"/>
      <c r="V94" s="269"/>
      <c r="W94" s="269"/>
      <c r="X94" s="162">
        <f t="shared" si="12"/>
        <v>0</v>
      </c>
      <c r="Y94" s="162"/>
      <c r="Z94" s="162"/>
    </row>
    <row r="95" spans="1:28" x14ac:dyDescent="0.3">
      <c r="A95" s="256"/>
      <c r="B95" s="256"/>
      <c r="C95" s="270"/>
      <c r="D95" s="270"/>
      <c r="E95" s="270"/>
      <c r="F95" s="271">
        <f>F58+F74+F91</f>
        <v>0</v>
      </c>
      <c r="G95" s="271">
        <f>G58+G74+G91</f>
        <v>0</v>
      </c>
      <c r="H95" s="271">
        <f t="shared" ref="H95:Q95" si="28">H58+H74+H91+H94</f>
        <v>270</v>
      </c>
      <c r="I95" s="271">
        <f t="shared" si="28"/>
        <v>0</v>
      </c>
      <c r="J95" s="271">
        <f t="shared" si="28"/>
        <v>8651</v>
      </c>
      <c r="K95" s="271">
        <f t="shared" si="28"/>
        <v>1408006</v>
      </c>
      <c r="L95" s="271">
        <f t="shared" si="28"/>
        <v>25791</v>
      </c>
      <c r="M95" s="271">
        <f t="shared" si="28"/>
        <v>0</v>
      </c>
      <c r="N95" s="271">
        <f t="shared" si="28"/>
        <v>1200</v>
      </c>
      <c r="O95" s="271">
        <f t="shared" si="28"/>
        <v>0</v>
      </c>
      <c r="P95" s="271">
        <f t="shared" si="28"/>
        <v>2271</v>
      </c>
      <c r="Q95" s="271">
        <f t="shared" si="28"/>
        <v>49014</v>
      </c>
      <c r="R95" s="271">
        <f>(R58+R74+R91+R94)/1.19</f>
        <v>1922510.924369748</v>
      </c>
      <c r="S95" s="271">
        <f>(S58*H58+S74*H74+S91*H91)/H95</f>
        <v>193.46431662924329</v>
      </c>
      <c r="T95" s="271">
        <f>T58+T74+T91</f>
        <v>31539343.200000003</v>
      </c>
      <c r="U95" s="256"/>
      <c r="V95" s="269">
        <f ca="1">V58+V74+V91</f>
        <v>25678992.550000004</v>
      </c>
      <c r="W95" s="269"/>
      <c r="X95" s="162">
        <f t="shared" ca="1" si="12"/>
        <v>-5860350.6499999985</v>
      </c>
      <c r="Y95" s="162"/>
      <c r="Z95" s="162"/>
    </row>
    <row r="96" spans="1:28" x14ac:dyDescent="0.3">
      <c r="A96" s="256"/>
      <c r="B96" s="256"/>
      <c r="C96" s="256"/>
      <c r="D96" s="256"/>
      <c r="E96" s="256"/>
      <c r="F96" s="262"/>
      <c r="G96" s="262"/>
      <c r="H96" s="262"/>
      <c r="I96" s="262">
        <f>(I95)/EERR!$D$2</f>
        <v>0</v>
      </c>
      <c r="J96" s="262">
        <f>J95</f>
        <v>8651</v>
      </c>
      <c r="K96" s="262">
        <f>(K95)/EERR!$D$2</f>
        <v>2359.2593833780161</v>
      </c>
      <c r="L96" s="262">
        <f>L95</f>
        <v>25791</v>
      </c>
      <c r="M96" s="262">
        <f>(M95)/EERR!$D$2</f>
        <v>0</v>
      </c>
      <c r="N96" s="262">
        <f>(N95)/EERR!$D$2</f>
        <v>2.0107238605898123</v>
      </c>
      <c r="O96" s="262"/>
      <c r="P96" s="262"/>
      <c r="Q96" s="262">
        <f>Q95+Q94</f>
        <v>49014</v>
      </c>
      <c r="R96" s="262">
        <f>(R95)/EERR!D2</f>
        <v>3221.3654898956906</v>
      </c>
      <c r="S96" s="262">
        <f>S95+S94</f>
        <v>193.46431662924329</v>
      </c>
      <c r="T96" s="262">
        <f>T95+T94</f>
        <v>31539343.200000003</v>
      </c>
      <c r="U96" s="262">
        <f>SUM(I96:T96)</f>
        <v>31628575.299913768</v>
      </c>
      <c r="V96" s="256"/>
      <c r="W96" s="256"/>
      <c r="X96" s="162">
        <f t="shared" si="12"/>
        <v>-31539343.200000003</v>
      </c>
    </row>
    <row r="97" spans="3:24" x14ac:dyDescent="0.3">
      <c r="H97" s="251">
        <f>H95/310</f>
        <v>0.87096774193548387</v>
      </c>
      <c r="J97" s="38"/>
      <c r="Q97" s="330">
        <f>SUM(Q96:R96)</f>
        <v>52235.365489895688</v>
      </c>
      <c r="R97" s="330"/>
      <c r="X97" s="162">
        <f t="shared" si="12"/>
        <v>0</v>
      </c>
    </row>
    <row r="98" spans="3:24" x14ac:dyDescent="0.3">
      <c r="J98" s="35"/>
      <c r="Q98" s="328">
        <f>Q97*EERR!D2</f>
        <v>31174066.124369744</v>
      </c>
      <c r="R98" s="328">
        <f>Q97*EERR!D2</f>
        <v>31174066.124369744</v>
      </c>
      <c r="X98" s="162">
        <f t="shared" si="12"/>
        <v>0</v>
      </c>
    </row>
    <row r="99" spans="3:24" x14ac:dyDescent="0.3">
      <c r="I99" s="106">
        <f>I95/1.19</f>
        <v>0</v>
      </c>
      <c r="J99" s="35"/>
      <c r="W99" s="153">
        <f>36000*620</f>
        <v>22320000</v>
      </c>
      <c r="X99" s="162">
        <f t="shared" si="12"/>
        <v>0</v>
      </c>
    </row>
    <row r="100" spans="3:24" x14ac:dyDescent="0.3">
      <c r="E100" s="36" t="s">
        <v>232</v>
      </c>
      <c r="F100" s="36" t="s">
        <v>233</v>
      </c>
      <c r="G100" s="36" t="s">
        <v>6</v>
      </c>
      <c r="H100" s="36" t="s">
        <v>49</v>
      </c>
      <c r="I100" s="36" t="s">
        <v>50</v>
      </c>
      <c r="J100" s="35"/>
      <c r="Q100" s="39">
        <f>Q95*689</f>
        <v>33770646</v>
      </c>
      <c r="R100" s="39">
        <f>R95*0.19</f>
        <v>365277.07563025213</v>
      </c>
      <c r="X100" s="162">
        <f t="shared" si="12"/>
        <v>0</v>
      </c>
    </row>
    <row r="101" spans="3:24" x14ac:dyDescent="0.3">
      <c r="C101" s="152" t="s">
        <v>47</v>
      </c>
      <c r="D101" s="152"/>
      <c r="E101" s="30">
        <f>'BCI '!H176</f>
        <v>-223613</v>
      </c>
      <c r="F101" s="250">
        <f>'BCI '!H177</f>
        <v>0</v>
      </c>
      <c r="G101" s="157"/>
      <c r="H101" s="30">
        <f>(I96+J96)*EERR!D2</f>
        <v>5162916.8</v>
      </c>
      <c r="I101" s="158">
        <f>H101/EERR!$D$2</f>
        <v>8651</v>
      </c>
      <c r="J101" s="35"/>
      <c r="X101" s="162">
        <f t="shared" si="12"/>
        <v>0</v>
      </c>
    </row>
    <row r="102" spans="3:24" x14ac:dyDescent="0.3">
      <c r="C102" s="152" t="s">
        <v>46</v>
      </c>
      <c r="D102" s="152"/>
      <c r="E102" s="152"/>
      <c r="F102" s="30"/>
      <c r="G102" s="157"/>
      <c r="H102" s="30">
        <f>+M96*EERR!D2</f>
        <v>0</v>
      </c>
      <c r="I102" s="158">
        <f>H102/EERR!$D$2</f>
        <v>0</v>
      </c>
      <c r="J102" s="35"/>
      <c r="X102" s="162">
        <f t="shared" si="12"/>
        <v>0</v>
      </c>
    </row>
    <row r="103" spans="3:24" x14ac:dyDescent="0.3">
      <c r="C103" s="152" t="s">
        <v>48</v>
      </c>
      <c r="D103" s="152"/>
      <c r="E103" s="152"/>
      <c r="F103" s="30"/>
      <c r="G103" s="157"/>
      <c r="H103" s="30"/>
      <c r="I103" s="158">
        <f>H103*EERR!$D$2</f>
        <v>0</v>
      </c>
      <c r="J103" s="35"/>
      <c r="X103" s="162">
        <f t="shared" si="12"/>
        <v>0</v>
      </c>
    </row>
    <row r="104" spans="3:24" x14ac:dyDescent="0.3">
      <c r="C104" s="77" t="s">
        <v>86</v>
      </c>
      <c r="D104" s="77"/>
      <c r="E104" s="77"/>
      <c r="F104" s="79"/>
      <c r="G104" s="79">
        <f>(G106+G107)*EERR!D2+G109+G110</f>
        <v>27444667.583999999</v>
      </c>
      <c r="H104" s="79">
        <f>(K96+L96)*EERR!D2</f>
        <v>16800074.799999997</v>
      </c>
      <c r="I104" s="80"/>
      <c r="J104" s="35"/>
      <c r="W104" s="153">
        <f>635/190</f>
        <v>3.3421052631578947</v>
      </c>
      <c r="X104" s="162">
        <f t="shared" si="12"/>
        <v>0</v>
      </c>
    </row>
    <row r="105" spans="3:24" x14ac:dyDescent="0.3">
      <c r="C105" s="77"/>
      <c r="D105" s="77"/>
      <c r="E105" s="77"/>
      <c r="F105" s="79"/>
      <c r="G105" s="79">
        <f>SUM(G101:G104)</f>
        <v>27444667.583999999</v>
      </c>
      <c r="H105" s="79">
        <f>SUM(H101:H104)</f>
        <v>21962991.599999998</v>
      </c>
      <c r="I105" s="79">
        <f>SUM(I101:I104)</f>
        <v>8651</v>
      </c>
      <c r="J105" s="35"/>
      <c r="X105" s="162">
        <f t="shared" si="12"/>
        <v>0</v>
      </c>
    </row>
    <row r="106" spans="3:24" x14ac:dyDescent="0.3">
      <c r="C106" s="154" t="s">
        <v>84</v>
      </c>
      <c r="D106" s="154"/>
      <c r="E106" s="154"/>
      <c r="F106" s="30"/>
      <c r="G106" s="157">
        <f>Transbank!J429</f>
        <v>31583.88</v>
      </c>
      <c r="H106" s="30"/>
      <c r="I106" s="158"/>
      <c r="J106" s="35"/>
      <c r="X106" s="162">
        <f t="shared" si="12"/>
        <v>0</v>
      </c>
    </row>
    <row r="107" spans="3:24" x14ac:dyDescent="0.3">
      <c r="C107" s="154" t="s">
        <v>87</v>
      </c>
      <c r="D107" s="154"/>
      <c r="E107" s="154"/>
      <c r="F107" s="42"/>
      <c r="G107" s="157">
        <f>[1]Transbank!J83</f>
        <v>0</v>
      </c>
      <c r="H107" s="154"/>
      <c r="I107" s="53"/>
      <c r="J107" s="153"/>
      <c r="T107" s="153">
        <f>SUMIF(Transbank!$A$2:$A$433,B73,Transbank!$L$2:$L$433)</f>
        <v>0</v>
      </c>
      <c r="X107" s="162">
        <f t="shared" si="12"/>
        <v>0</v>
      </c>
    </row>
    <row r="108" spans="3:24" x14ac:dyDescent="0.3">
      <c r="C108" s="77" t="s">
        <v>88</v>
      </c>
      <c r="D108" s="77"/>
      <c r="E108" s="77"/>
      <c r="F108" s="78"/>
      <c r="G108" s="78">
        <f>SUM(G106:G107)</f>
        <v>31583.88</v>
      </c>
      <c r="H108" s="78">
        <f>L95</f>
        <v>25791</v>
      </c>
      <c r="I108" s="78">
        <f t="shared" ref="I108" si="29">SUM(I106:I107)</f>
        <v>0</v>
      </c>
      <c r="J108" s="153"/>
      <c r="X108" s="162">
        <f t="shared" si="12"/>
        <v>0</v>
      </c>
    </row>
    <row r="109" spans="3:24" x14ac:dyDescent="0.3">
      <c r="C109" s="154" t="s">
        <v>85</v>
      </c>
      <c r="D109" s="87"/>
      <c r="E109" s="87"/>
      <c r="F109" s="81"/>
      <c r="G109" s="82">
        <f>Transbank!I429</f>
        <v>8595408</v>
      </c>
      <c r="H109" s="82"/>
      <c r="I109" s="83">
        <f>H104/EERR!$D$2</f>
        <v>28150.259383378012</v>
      </c>
      <c r="J109" s="153"/>
      <c r="X109" s="162">
        <f t="shared" si="12"/>
        <v>0</v>
      </c>
    </row>
    <row r="110" spans="3:24" x14ac:dyDescent="0.3">
      <c r="C110" s="154" t="s">
        <v>89</v>
      </c>
      <c r="D110" s="154"/>
      <c r="E110" s="154"/>
      <c r="F110" s="42"/>
      <c r="G110" s="157">
        <f>[1]Transbank!I83</f>
        <v>0</v>
      </c>
      <c r="H110" s="154"/>
      <c r="I110" s="53"/>
      <c r="J110" s="153"/>
      <c r="W110" s="39">
        <f>SUM(W75:W89)</f>
        <v>2303.6850703753353</v>
      </c>
      <c r="X110" s="162">
        <f t="shared" si="12"/>
        <v>0</v>
      </c>
    </row>
    <row r="111" spans="3:24" ht="15" thickBot="1" x14ac:dyDescent="0.35">
      <c r="C111" s="125" t="s">
        <v>90</v>
      </c>
      <c r="D111" s="125"/>
      <c r="E111" s="77"/>
      <c r="F111" s="78"/>
      <c r="G111" s="78">
        <f>SUM(G109:G110)</f>
        <v>8595408</v>
      </c>
      <c r="H111" s="78">
        <f>K95</f>
        <v>1408006</v>
      </c>
      <c r="I111" s="78">
        <f t="shared" ref="I111" si="30">SUM(I109:I110)</f>
        <v>28150.259383378012</v>
      </c>
      <c r="J111" s="153"/>
      <c r="W111" s="153">
        <f>+W110*0.15</f>
        <v>345.55276055630026</v>
      </c>
      <c r="X111" s="162">
        <f t="shared" si="12"/>
        <v>0</v>
      </c>
    </row>
    <row r="112" spans="3:24" ht="16.2" thickBot="1" x14ac:dyDescent="0.35">
      <c r="C112" s="126" t="s">
        <v>108</v>
      </c>
      <c r="D112" s="127">
        <f>(I95+K95)*0.19</f>
        <v>267521.14</v>
      </c>
      <c r="H112" s="36"/>
      <c r="I112" s="39"/>
      <c r="J112" s="153"/>
      <c r="X112" s="162">
        <f t="shared" si="12"/>
        <v>0</v>
      </c>
    </row>
    <row r="113" spans="10:10" ht="13.8" x14ac:dyDescent="0.3">
      <c r="J113" s="153"/>
    </row>
    <row r="114" spans="10:10" ht="13.8" x14ac:dyDescent="0.3">
      <c r="J114" s="153"/>
    </row>
    <row r="115" spans="10:10" ht="13.8" x14ac:dyDescent="0.3">
      <c r="J115" s="153"/>
    </row>
    <row r="116" spans="10:10" ht="13.8" x14ac:dyDescent="0.3">
      <c r="J116" s="153"/>
    </row>
    <row r="117" spans="10:10" ht="13.8" x14ac:dyDescent="0.3">
      <c r="J117" s="153"/>
    </row>
    <row r="118" spans="10:10" ht="13.8" x14ac:dyDescent="0.3">
      <c r="J118" s="153"/>
    </row>
    <row r="119" spans="10:10" ht="13.8" x14ac:dyDescent="0.3">
      <c r="J119" s="153"/>
    </row>
    <row r="120" spans="10:10" ht="13.8" x14ac:dyDescent="0.3">
      <c r="J120" s="153"/>
    </row>
    <row r="121" spans="10:10" ht="13.8" x14ac:dyDescent="0.3">
      <c r="J121" s="153"/>
    </row>
    <row r="122" spans="10:10" ht="13.8" x14ac:dyDescent="0.3">
      <c r="J122" s="153"/>
    </row>
    <row r="123" spans="10:10" ht="13.8" x14ac:dyDescent="0.3">
      <c r="J123" s="153"/>
    </row>
    <row r="124" spans="10:10" ht="13.8" x14ac:dyDescent="0.3">
      <c r="J124" s="153"/>
    </row>
    <row r="125" spans="10:10" ht="13.8" x14ac:dyDescent="0.3">
      <c r="J125" s="153"/>
    </row>
    <row r="126" spans="10:10" ht="13.8" x14ac:dyDescent="0.3">
      <c r="J126" s="153"/>
    </row>
    <row r="127" spans="10:10" ht="13.8" x14ac:dyDescent="0.3">
      <c r="J127" s="153"/>
    </row>
    <row r="128" spans="10:10" ht="13.8" x14ac:dyDescent="0.3">
      <c r="J128" s="153"/>
    </row>
    <row r="129" spans="10:10" ht="13.8" x14ac:dyDescent="0.3">
      <c r="J129" s="153"/>
    </row>
    <row r="130" spans="10:10" ht="13.8" x14ac:dyDescent="0.3">
      <c r="J130" s="153"/>
    </row>
    <row r="131" spans="10:10" ht="13.8" x14ac:dyDescent="0.3">
      <c r="J131" s="153"/>
    </row>
    <row r="132" spans="10:10" ht="13.8" x14ac:dyDescent="0.3">
      <c r="J132" s="153"/>
    </row>
    <row r="133" spans="10:10" ht="13.8" x14ac:dyDescent="0.3">
      <c r="J133" s="153"/>
    </row>
    <row r="134" spans="10:10" ht="13.8" x14ac:dyDescent="0.3">
      <c r="J134" s="153"/>
    </row>
    <row r="135" spans="10:10" ht="13.8" x14ac:dyDescent="0.3">
      <c r="J135" s="153"/>
    </row>
    <row r="136" spans="10:10" ht="13.8" x14ac:dyDescent="0.3">
      <c r="J136" s="153"/>
    </row>
    <row r="137" spans="10:10" ht="13.8" x14ac:dyDescent="0.3">
      <c r="J137" s="153"/>
    </row>
    <row r="138" spans="10:10" ht="13.8" x14ac:dyDescent="0.3">
      <c r="J138" s="153"/>
    </row>
    <row r="139" spans="10:10" ht="13.8" x14ac:dyDescent="0.3">
      <c r="J139" s="153"/>
    </row>
    <row r="140" spans="10:10" ht="13.8" x14ac:dyDescent="0.3">
      <c r="J140" s="153"/>
    </row>
    <row r="141" spans="10:10" ht="13.8" x14ac:dyDescent="0.3">
      <c r="J141" s="153"/>
    </row>
    <row r="142" spans="10:10" ht="13.8" x14ac:dyDescent="0.3">
      <c r="J142" s="153"/>
    </row>
    <row r="143" spans="10:10" ht="13.8" x14ac:dyDescent="0.3">
      <c r="J143" s="153"/>
    </row>
    <row r="144" spans="10:10" ht="13.8" x14ac:dyDescent="0.3">
      <c r="J144" s="153"/>
    </row>
    <row r="145" spans="10:10" ht="13.8" x14ac:dyDescent="0.3">
      <c r="J145" s="153"/>
    </row>
    <row r="146" spans="10:10" ht="13.8" x14ac:dyDescent="0.3">
      <c r="J146" s="153"/>
    </row>
    <row r="147" spans="10:10" ht="13.8" x14ac:dyDescent="0.3">
      <c r="J147" s="153"/>
    </row>
    <row r="148" spans="10:10" ht="13.8" x14ac:dyDescent="0.3">
      <c r="J148" s="153"/>
    </row>
    <row r="149" spans="10:10" ht="13.8" x14ac:dyDescent="0.3">
      <c r="J149" s="153"/>
    </row>
    <row r="150" spans="10:10" ht="13.8" x14ac:dyDescent="0.3">
      <c r="J150" s="153"/>
    </row>
    <row r="151" spans="10:10" ht="13.8" x14ac:dyDescent="0.3">
      <c r="J151" s="153"/>
    </row>
    <row r="152" spans="10:10" ht="13.8" x14ac:dyDescent="0.3">
      <c r="J152" s="153"/>
    </row>
    <row r="153" spans="10:10" ht="13.8" x14ac:dyDescent="0.3">
      <c r="J153" s="153"/>
    </row>
    <row r="154" spans="10:10" ht="13.8" x14ac:dyDescent="0.3">
      <c r="J154" s="153"/>
    </row>
    <row r="155" spans="10:10" ht="13.8" x14ac:dyDescent="0.3">
      <c r="J155" s="153"/>
    </row>
    <row r="156" spans="10:10" ht="13.8" x14ac:dyDescent="0.3">
      <c r="J156" s="153"/>
    </row>
    <row r="157" spans="10:10" ht="13.8" x14ac:dyDescent="0.3">
      <c r="J157" s="153"/>
    </row>
    <row r="158" spans="10:10" ht="13.8" x14ac:dyDescent="0.3">
      <c r="J158" s="153"/>
    </row>
    <row r="159" spans="10:10" ht="13.8" x14ac:dyDescent="0.3">
      <c r="J159" s="153"/>
    </row>
    <row r="160" spans="10:10" ht="13.8" x14ac:dyDescent="0.3">
      <c r="J160" s="153"/>
    </row>
    <row r="161" spans="10:10" ht="13.8" x14ac:dyDescent="0.3">
      <c r="J161" s="153"/>
    </row>
    <row r="162" spans="10:10" ht="13.8" x14ac:dyDescent="0.3">
      <c r="J162" s="153"/>
    </row>
    <row r="163" spans="10:10" ht="13.8" x14ac:dyDescent="0.3">
      <c r="J163" s="153"/>
    </row>
    <row r="164" spans="10:10" ht="13.8" x14ac:dyDescent="0.3">
      <c r="J164" s="153"/>
    </row>
    <row r="165" spans="10:10" ht="13.8" x14ac:dyDescent="0.3">
      <c r="J165" s="153"/>
    </row>
    <row r="166" spans="10:10" ht="13.8" x14ac:dyDescent="0.3">
      <c r="J166" s="153"/>
    </row>
    <row r="167" spans="10:10" ht="13.8" x14ac:dyDescent="0.3">
      <c r="J167" s="153"/>
    </row>
    <row r="168" spans="10:10" ht="13.8" x14ac:dyDescent="0.3">
      <c r="J168" s="153"/>
    </row>
    <row r="169" spans="10:10" ht="13.8" x14ac:dyDescent="0.3">
      <c r="J169" s="153"/>
    </row>
    <row r="170" spans="10:10" ht="13.8" x14ac:dyDescent="0.3">
      <c r="J170" s="153"/>
    </row>
    <row r="171" spans="10:10" ht="13.8" x14ac:dyDescent="0.3">
      <c r="J171" s="153"/>
    </row>
    <row r="172" spans="10:10" ht="13.8" x14ac:dyDescent="0.3">
      <c r="J172" s="153"/>
    </row>
    <row r="173" spans="10:10" ht="13.8" x14ac:dyDescent="0.3">
      <c r="J173" s="153"/>
    </row>
    <row r="174" spans="10:10" ht="13.8" x14ac:dyDescent="0.3">
      <c r="J174" s="153"/>
    </row>
    <row r="175" spans="10:10" ht="13.8" x14ac:dyDescent="0.3">
      <c r="J175" s="153"/>
    </row>
    <row r="176" spans="10:10" ht="13.8" x14ac:dyDescent="0.3">
      <c r="J176" s="153"/>
    </row>
    <row r="177" spans="10:10" ht="13.8" x14ac:dyDescent="0.3">
      <c r="J177" s="153"/>
    </row>
    <row r="178" spans="10:10" ht="13.8" x14ac:dyDescent="0.3">
      <c r="J178" s="153"/>
    </row>
  </sheetData>
  <autoFilter ref="A2:X91"/>
  <mergeCells count="6">
    <mergeCell ref="Q98:R98"/>
    <mergeCell ref="I1:J1"/>
    <mergeCell ref="K1:L1"/>
    <mergeCell ref="M1:N1"/>
    <mergeCell ref="O1:P1"/>
    <mergeCell ref="Q97:R97"/>
  </mergeCells>
  <conditionalFormatting sqref="U92 U3:U90">
    <cfRule type="expression" dxfId="4" priority="1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267</v>
      </c>
    </row>
    <row r="3" spans="2:7" x14ac:dyDescent="0.25">
      <c r="B3" t="s">
        <v>262</v>
      </c>
      <c r="C3" t="s">
        <v>152</v>
      </c>
      <c r="D3" t="s">
        <v>157</v>
      </c>
      <c r="E3" t="s">
        <v>184</v>
      </c>
      <c r="F3" s="255">
        <v>1817451</v>
      </c>
      <c r="G3" t="s">
        <v>266</v>
      </c>
    </row>
    <row r="4" spans="2:7" x14ac:dyDescent="0.25">
      <c r="B4" s="218">
        <v>42867</v>
      </c>
      <c r="C4" t="s">
        <v>265</v>
      </c>
      <c r="D4">
        <v>18220448</v>
      </c>
      <c r="E4">
        <v>0</v>
      </c>
      <c r="F4" s="255">
        <v>4684019</v>
      </c>
      <c r="G4" t="s">
        <v>268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55" workbookViewId="0">
      <selection activeCell="E17" sqref="E17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43132</v>
      </c>
    </row>
    <row r="2" spans="2:7" x14ac:dyDescent="0.3">
      <c r="B2" s="6" t="s">
        <v>15</v>
      </c>
      <c r="C2" s="6"/>
      <c r="D2" s="91">
        <v>596.79999999999995</v>
      </c>
      <c r="E2">
        <v>84</v>
      </c>
    </row>
    <row r="3" spans="2:7" ht="15" x14ac:dyDescent="0.25">
      <c r="B3" s="6" t="s">
        <v>23</v>
      </c>
      <c r="C3" s="6"/>
      <c r="D3" s="40">
        <v>26798.14</v>
      </c>
    </row>
    <row r="4" spans="2:7" ht="15" x14ac:dyDescent="0.25">
      <c r="B4" s="6" t="s">
        <v>14</v>
      </c>
      <c r="C4" s="6"/>
      <c r="D4" s="6">
        <f>Feb!H100</f>
        <v>258</v>
      </c>
      <c r="E4" s="85">
        <f>+Siteminder!K97</f>
        <v>261</v>
      </c>
    </row>
    <row r="5" spans="2:7" x14ac:dyDescent="0.3">
      <c r="B5" s="6" t="s">
        <v>16</v>
      </c>
      <c r="C5" s="6"/>
      <c r="D5" s="163">
        <f>D4/(28*10)</f>
        <v>0.92142857142857137</v>
      </c>
      <c r="E5" s="163">
        <f>E4/(28*10)</f>
        <v>0.93214285714285716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29783160.485549133</v>
      </c>
      <c r="D8" s="8">
        <f>C8/D4</f>
        <v>115438.60653313618</v>
      </c>
      <c r="E8" s="5">
        <f>+D8/D2</f>
        <v>193.42930049117993</v>
      </c>
      <c r="F8" s="5"/>
    </row>
    <row r="9" spans="2:7" ht="15" x14ac:dyDescent="0.25">
      <c r="B9" t="s">
        <v>7</v>
      </c>
      <c r="C9" s="1">
        <f>Feb!T63/(1.038)</f>
        <v>25199444.123314064</v>
      </c>
      <c r="D9" s="9">
        <f>C9/$C$8</f>
        <v>0.84609704653543738</v>
      </c>
    </row>
    <row r="10" spans="2:7" ht="15" x14ac:dyDescent="0.25">
      <c r="B10" t="s">
        <v>8</v>
      </c>
      <c r="C10" s="1">
        <f>Feb!T79/(1.038)</f>
        <v>2422243.3371868986</v>
      </c>
      <c r="D10" s="9">
        <f>C10/$C$8</f>
        <v>8.1329291374640289E-2</v>
      </c>
    </row>
    <row r="11" spans="2:7" ht="15" x14ac:dyDescent="0.25">
      <c r="B11" t="s">
        <v>70</v>
      </c>
      <c r="C11" s="1"/>
      <c r="D11" s="9">
        <f>C11/$C$8</f>
        <v>0</v>
      </c>
    </row>
    <row r="12" spans="2:7" ht="15" x14ac:dyDescent="0.25">
      <c r="B12" t="s">
        <v>71</v>
      </c>
      <c r="C12" s="1">
        <f>Feb!T96/(1.038)</f>
        <v>2161473.0250481693</v>
      </c>
      <c r="D12" s="9">
        <f>C12/$C$8</f>
        <v>7.2573662089922317E-2</v>
      </c>
      <c r="E12" s="1"/>
    </row>
    <row r="13" spans="2:7" ht="15" x14ac:dyDescent="0.25">
      <c r="B13" t="s">
        <v>39</v>
      </c>
      <c r="C13" s="1">
        <f>Feb!S99*D2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6830101</v>
      </c>
      <c r="D16" s="8">
        <f>C16/D4</f>
        <v>26473.259689922481</v>
      </c>
      <c r="E16" s="5">
        <f>C16+C25+C30+C33</f>
        <v>24050608</v>
      </c>
      <c r="F16" s="96"/>
      <c r="G16" s="109"/>
    </row>
    <row r="17" spans="2:6" ht="15" x14ac:dyDescent="0.25">
      <c r="B17" t="str">
        <f>'BCI FondRendir'!B136</f>
        <v>Comisión Bco</v>
      </c>
      <c r="C17" s="1">
        <f>'BCI FondRendir'!F136</f>
        <v>144925</v>
      </c>
      <c r="D17" s="5">
        <f>C17/$D$4</f>
        <v>561.72480620155034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3527558</v>
      </c>
      <c r="D18" s="5">
        <f t="shared" ref="D18:D26" si="0">C18/$D$4</f>
        <v>13672.70542635659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343724</v>
      </c>
      <c r="D19" s="5">
        <f t="shared" si="0"/>
        <v>1332.2635658914728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0</v>
      </c>
      <c r="D20" s="5">
        <f t="shared" si="0"/>
        <v>0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602810</v>
      </c>
      <c r="D21" s="5">
        <f t="shared" si="0"/>
        <v>2336.4728682170544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0</v>
      </c>
      <c r="D22" s="5">
        <f t="shared" si="0"/>
        <v>0</v>
      </c>
      <c r="E22" s="5"/>
    </row>
    <row r="23" spans="2:6" ht="15" x14ac:dyDescent="0.25">
      <c r="B23" t="s">
        <v>216</v>
      </c>
      <c r="C23" s="1">
        <f>'BCI FondRendir'!F147</f>
        <v>2211084</v>
      </c>
      <c r="D23" s="5">
        <f>C23/$D$4</f>
        <v>8570.0930232558148</v>
      </c>
      <c r="E23" s="5"/>
    </row>
    <row r="24" spans="2:6" x14ac:dyDescent="0.3">
      <c r="B24" t="s">
        <v>62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12139223</v>
      </c>
      <c r="D25" s="8">
        <f>C25/D4</f>
        <v>47051.251937984496</v>
      </c>
      <c r="E25" s="5"/>
      <c r="F25" s="5"/>
    </row>
    <row r="26" spans="2:6" ht="15" x14ac:dyDescent="0.25">
      <c r="B26" t="s">
        <v>33</v>
      </c>
      <c r="C26" s="1">
        <f>'BCI FondRendir'!F148</f>
        <v>11232617</v>
      </c>
      <c r="D26" s="5">
        <f t="shared" si="0"/>
        <v>43537.27519379845</v>
      </c>
    </row>
    <row r="27" spans="2:6" s="218" customFormat="1" ht="15" x14ac:dyDescent="0.25">
      <c r="B27" t="str">
        <f>'BCI FondRendir'!B143</f>
        <v>Gastos Operación</v>
      </c>
      <c r="C27" s="1">
        <f>+'BCI FondRendir'!F143</f>
        <v>681416</v>
      </c>
      <c r="D27" s="5">
        <f>C27/$D$4</f>
        <v>2641.1472868217056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FondRendir'!F142</f>
        <v>225190</v>
      </c>
      <c r="D29" s="5">
        <f t="shared" si="1"/>
        <v>872.82945736434112</v>
      </c>
    </row>
    <row r="30" spans="2:6" x14ac:dyDescent="0.3">
      <c r="B30" s="6" t="s">
        <v>21</v>
      </c>
      <c r="C30" s="8">
        <f>SUM(C31:C32)</f>
        <v>5081284</v>
      </c>
      <c r="D30" s="8">
        <f>C30/D4</f>
        <v>19694.899224806202</v>
      </c>
    </row>
    <row r="31" spans="2:6" ht="15" x14ac:dyDescent="0.25">
      <c r="B31" t="s">
        <v>22</v>
      </c>
      <c r="C31" s="1">
        <f>+'BCI FondRendir'!F146</f>
        <v>5081284</v>
      </c>
      <c r="E31" s="128"/>
    </row>
    <row r="32" spans="2:6" ht="15" x14ac:dyDescent="0.25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ht="15" x14ac:dyDescent="0.25">
      <c r="B34" t="s">
        <v>136</v>
      </c>
      <c r="C34" s="1">
        <f>+'BCI FondRendir'!F145</f>
        <v>0</v>
      </c>
    </row>
    <row r="35" spans="2:13" x14ac:dyDescent="0.3">
      <c r="B35" t="s">
        <v>138</v>
      </c>
      <c r="C35" s="1"/>
    </row>
    <row r="36" spans="2:13" ht="15" x14ac:dyDescent="0.25">
      <c r="B36" t="str">
        <f>'BCI FondRendir'!B144</f>
        <v>Impuestos</v>
      </c>
      <c r="C36" s="1">
        <f>+'BCI FondRendir'!F144</f>
        <v>2406390</v>
      </c>
      <c r="D36" s="5">
        <f>C36/$D$4</f>
        <v>9327.0930232558148</v>
      </c>
    </row>
    <row r="38" spans="2:13" ht="15" x14ac:dyDescent="0.25">
      <c r="B38" s="2" t="s">
        <v>17</v>
      </c>
      <c r="C38" s="10">
        <f>C8-C16-C25-C33-C30</f>
        <v>5732552.4855491333</v>
      </c>
    </row>
    <row r="39" spans="2:13" ht="15" x14ac:dyDescent="0.25">
      <c r="B39" s="2" t="s">
        <v>35</v>
      </c>
      <c r="C39" s="10">
        <f>C36</f>
        <v>2406390</v>
      </c>
      <c r="D39" s="10">
        <f>C38*0.25</f>
        <v>1433138.1213872833</v>
      </c>
    </row>
    <row r="40" spans="2:13" ht="15" x14ac:dyDescent="0.25">
      <c r="B40" s="2" t="s">
        <v>110</v>
      </c>
      <c r="C40" s="10">
        <f>'BCI FondRendir'!G153</f>
        <v>664108.9</v>
      </c>
    </row>
    <row r="41" spans="2:13" ht="15" x14ac:dyDescent="0.25">
      <c r="B41" s="2" t="s">
        <v>111</v>
      </c>
      <c r="C41" s="10">
        <f>Feb!D117</f>
        <v>1043190.06</v>
      </c>
    </row>
    <row r="42" spans="2:13" ht="15" x14ac:dyDescent="0.25">
      <c r="B42" s="16" t="s">
        <v>18</v>
      </c>
      <c r="C42" s="17">
        <f>C38-D39</f>
        <v>4299414.36416185</v>
      </c>
    </row>
    <row r="43" spans="2:13" x14ac:dyDescent="0.3">
      <c r="B43" s="16" t="s">
        <v>151</v>
      </c>
      <c r="C43" s="10">
        <f>C8-C16-C25</f>
        <v>10813836.485549133</v>
      </c>
      <c r="J43" s="95"/>
      <c r="K43" s="95"/>
      <c r="L43" s="95"/>
      <c r="M43" s="95"/>
    </row>
    <row r="44" spans="2:13" ht="15" x14ac:dyDescent="0.25">
      <c r="C44" s="20" t="s">
        <v>51</v>
      </c>
      <c r="D44" s="20" t="s">
        <v>52</v>
      </c>
      <c r="E44" s="20" t="s">
        <v>395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ht="15" x14ac:dyDescent="0.25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ht="15" x14ac:dyDescent="0.25">
      <c r="B49" s="2" t="s">
        <v>244</v>
      </c>
      <c r="C49" s="10"/>
      <c r="D49" s="10"/>
      <c r="E49" s="10">
        <v>4000000</v>
      </c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ht="15" x14ac:dyDescent="0.25">
      <c r="B50" s="2" t="s">
        <v>245</v>
      </c>
      <c r="C50" s="10"/>
      <c r="D50" s="10"/>
      <c r="E50" s="10">
        <v>4000000</v>
      </c>
      <c r="F50" s="10"/>
      <c r="G50" s="10">
        <f t="shared" si="2"/>
        <v>0</v>
      </c>
      <c r="J50" s="171"/>
      <c r="K50" s="171"/>
      <c r="L50" s="171"/>
      <c r="M50" s="171"/>
    </row>
    <row r="51" spans="2:15" ht="15" x14ac:dyDescent="0.25">
      <c r="B51" s="2" t="s">
        <v>246</v>
      </c>
      <c r="C51" s="10"/>
      <c r="D51" s="10"/>
      <c r="E51" s="10">
        <v>4000000</v>
      </c>
      <c r="F51" s="10"/>
      <c r="G51" s="10">
        <f t="shared" si="2"/>
        <v>0</v>
      </c>
      <c r="J51" s="171"/>
      <c r="K51" s="171"/>
      <c r="L51" s="171"/>
      <c r="M51" s="171"/>
    </row>
    <row r="52" spans="2:15" ht="15" x14ac:dyDescent="0.25">
      <c r="B52" s="2" t="s">
        <v>247</v>
      </c>
      <c r="C52" s="10"/>
      <c r="D52" s="10"/>
      <c r="E52" s="10">
        <v>4000000</v>
      </c>
      <c r="F52" s="10">
        <f>30000000/26561.4-4000000/26798.14</f>
        <v>980.19444686034171</v>
      </c>
      <c r="G52" s="10">
        <f t="shared" si="2"/>
        <v>26267388.014185999</v>
      </c>
      <c r="J52" s="171"/>
      <c r="K52" s="171"/>
      <c r="L52" s="171"/>
      <c r="M52" s="171"/>
    </row>
    <row r="53" spans="2:15" ht="15" x14ac:dyDescent="0.25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16000000</v>
      </c>
      <c r="F53" s="104"/>
      <c r="G53" s="104"/>
      <c r="I53" s="171"/>
      <c r="J53" s="171"/>
      <c r="K53" s="171"/>
      <c r="L53" s="171"/>
      <c r="M53" s="171"/>
    </row>
    <row r="54" spans="2:15" ht="15" x14ac:dyDescent="0.25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ht="15" x14ac:dyDescent="0.25">
      <c r="I55" s="171"/>
      <c r="J55" s="218"/>
      <c r="K55" s="218"/>
      <c r="L55" s="218"/>
      <c r="M55" s="218"/>
      <c r="N55" s="218"/>
      <c r="O55" s="218"/>
    </row>
    <row r="56" spans="2:15" ht="15" x14ac:dyDescent="0.25">
      <c r="B56" s="172" t="s">
        <v>394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ht="15" x14ac:dyDescent="0.25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ht="15" x14ac:dyDescent="0.25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22422088</v>
      </c>
      <c r="I58" s="171"/>
      <c r="J58" s="218"/>
      <c r="K58" s="218"/>
      <c r="L58" s="218"/>
      <c r="M58" s="218"/>
      <c r="N58" s="218"/>
      <c r="O58" s="218"/>
    </row>
    <row r="59" spans="2:15" ht="15" x14ac:dyDescent="0.25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ht="15" x14ac:dyDescent="0.25">
      <c r="B60" s="149" t="s">
        <v>105</v>
      </c>
      <c r="C60" s="149"/>
      <c r="D60" s="149"/>
      <c r="E60" s="149">
        <v>16000000</v>
      </c>
      <c r="F60" s="149"/>
      <c r="G60" s="149"/>
      <c r="H60" s="76">
        <f>(G60+D60)*$D$2+E60+F60</f>
        <v>16000000</v>
      </c>
      <c r="I60" s="171"/>
      <c r="J60" s="218"/>
      <c r="K60" s="218"/>
      <c r="L60" s="218"/>
      <c r="M60" s="218"/>
      <c r="N60" s="218"/>
      <c r="O60" s="218"/>
    </row>
    <row r="61" spans="2:15" ht="15" x14ac:dyDescent="0.25">
      <c r="B61" s="105" t="s">
        <v>129</v>
      </c>
      <c r="C61" s="105"/>
      <c r="D61" s="105"/>
      <c r="E61" s="105"/>
      <c r="F61" s="105"/>
      <c r="G61" s="105"/>
      <c r="H61" s="75">
        <f>SUM(H58:H60)</f>
        <v>38422088</v>
      </c>
      <c r="I61" s="171"/>
      <c r="J61" s="218"/>
      <c r="K61" s="218"/>
      <c r="L61" s="218"/>
      <c r="M61" s="218"/>
      <c r="N61" s="218"/>
      <c r="O61" s="218"/>
    </row>
    <row r="62" spans="2:15" ht="15" x14ac:dyDescent="0.25">
      <c r="B62" s="105" t="s">
        <v>106</v>
      </c>
      <c r="C62" s="105"/>
      <c r="D62" s="105"/>
      <c r="E62" s="105"/>
      <c r="F62" s="105"/>
      <c r="G62" s="105"/>
      <c r="H62" s="75">
        <f>H61-H67</f>
        <v>4264036.400000006</v>
      </c>
      <c r="I62" s="171"/>
      <c r="J62" s="218"/>
      <c r="K62" s="218"/>
      <c r="L62" s="218"/>
      <c r="M62" s="218"/>
      <c r="N62" s="218"/>
      <c r="O62" s="218"/>
    </row>
    <row r="63" spans="2:15" ht="15" x14ac:dyDescent="0.25">
      <c r="I63" s="171"/>
      <c r="J63" s="218"/>
      <c r="K63" s="218"/>
      <c r="L63" s="218"/>
      <c r="M63" s="218"/>
      <c r="N63" s="171"/>
      <c r="O63" s="171"/>
    </row>
    <row r="64" spans="2:15" ht="15" x14ac:dyDescent="0.25">
      <c r="I64" s="171"/>
      <c r="J64" s="218"/>
      <c r="K64" s="218"/>
      <c r="L64" s="171"/>
      <c r="M64" s="218"/>
      <c r="N64" s="171"/>
      <c r="O64" s="171"/>
    </row>
    <row r="65" spans="1:15" ht="15" x14ac:dyDescent="0.25">
      <c r="B65" s="172" t="s">
        <v>347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ht="15" x14ac:dyDescent="0.25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ht="15" x14ac:dyDescent="0.25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ht="15" x14ac:dyDescent="0.25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ht="15" x14ac:dyDescent="0.25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ht="15" x14ac:dyDescent="0.25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ht="15" x14ac:dyDescent="0.25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ht="15" x14ac:dyDescent="0.25">
      <c r="A74" s="128"/>
      <c r="B74" s="128"/>
      <c r="C74" s="128"/>
      <c r="D74" s="128"/>
      <c r="E74" s="128"/>
      <c r="F74" s="128"/>
    </row>
    <row r="75" spans="1:15" ht="15" x14ac:dyDescent="0.25">
      <c r="A75" s="128"/>
      <c r="B75" s="128"/>
      <c r="C75" s="128"/>
      <c r="D75" s="128"/>
      <c r="E75" s="128"/>
      <c r="F75" s="128"/>
    </row>
    <row r="76" spans="1:15" ht="15" x14ac:dyDescent="0.25">
      <c r="A76" s="128"/>
      <c r="B76" s="128"/>
      <c r="C76" s="128"/>
      <c r="D76" s="128"/>
      <c r="E76" s="128"/>
      <c r="F76" s="128"/>
    </row>
    <row r="77" spans="1:15" ht="15" x14ac:dyDescent="0.25">
      <c r="A77" s="128"/>
      <c r="B77" s="128"/>
      <c r="C77" s="128"/>
      <c r="D77" s="128"/>
      <c r="E77" s="128"/>
      <c r="F77" s="128"/>
    </row>
    <row r="78" spans="1:15" ht="15" x14ac:dyDescent="0.25">
      <c r="A78" s="128"/>
      <c r="B78" s="128"/>
      <c r="C78" s="128"/>
      <c r="D78" s="128"/>
      <c r="E78" s="128"/>
      <c r="F78" s="128"/>
    </row>
    <row r="79" spans="1:15" ht="15" x14ac:dyDescent="0.25">
      <c r="A79" s="128"/>
      <c r="B79" s="128"/>
      <c r="C79" s="128"/>
      <c r="D79" s="128"/>
      <c r="E79" s="128"/>
      <c r="F79" s="128"/>
    </row>
    <row r="80" spans="1:15" ht="15" x14ac:dyDescent="0.25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83"/>
  <sheetViews>
    <sheetView zoomScale="55" zoomScaleNormal="55" workbookViewId="0">
      <selection activeCell="C55" sqref="C55"/>
    </sheetView>
  </sheetViews>
  <sheetFormatPr baseColWidth="10" defaultColWidth="11.33203125" defaultRowHeight="14.4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/>
    <col min="10" max="10" width="11" customWidth="1"/>
    <col min="11" max="11" width="14.33203125" style="35" customWidth="1"/>
    <col min="12" max="15" width="11" style="35" customWidth="1"/>
    <col min="16" max="16" width="14.6640625" style="35" customWidth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4" width="14" style="153" customWidth="1"/>
    <col min="25" max="25" width="14.88671875" style="33" customWidth="1"/>
    <col min="26" max="26" width="13.109375" style="33" bestFit="1" customWidth="1"/>
    <col min="27" max="27" width="19.33203125" style="33" customWidth="1"/>
    <col min="28" max="28" width="11.33203125" style="33"/>
    <col min="29" max="29" width="21.6640625" style="33" customWidth="1"/>
    <col min="30" max="16384" width="11.33203125" style="33"/>
  </cols>
  <sheetData>
    <row r="1" spans="1:29" ht="15" customHeight="1" x14ac:dyDescent="0.2">
      <c r="A1" s="256"/>
      <c r="B1" s="256"/>
      <c r="C1" s="256"/>
      <c r="D1" s="256"/>
      <c r="E1" s="256"/>
      <c r="F1" s="257"/>
      <c r="G1" s="257"/>
      <c r="H1" s="256"/>
      <c r="I1" s="329" t="s">
        <v>101</v>
      </c>
      <c r="J1" s="329"/>
      <c r="K1" s="329" t="s">
        <v>102</v>
      </c>
      <c r="L1" s="329"/>
      <c r="M1" s="329" t="s">
        <v>103</v>
      </c>
      <c r="N1" s="329"/>
      <c r="O1" s="329" t="s">
        <v>172</v>
      </c>
      <c r="P1" s="329"/>
      <c r="Q1" s="256"/>
      <c r="R1" s="256"/>
      <c r="S1" s="260"/>
      <c r="T1" s="256"/>
      <c r="U1" s="256"/>
      <c r="V1" s="256"/>
      <c r="W1" s="256"/>
    </row>
    <row r="2" spans="1:29" ht="30" customHeight="1" x14ac:dyDescent="0.3">
      <c r="A2" s="256" t="s">
        <v>95</v>
      </c>
      <c r="B2" s="256" t="s">
        <v>191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  <c r="Y2" s="33" t="s">
        <v>107</v>
      </c>
      <c r="Z2" s="33" t="s">
        <v>108</v>
      </c>
      <c r="AA2" s="153" t="s">
        <v>183</v>
      </c>
    </row>
    <row r="3" spans="1:29" s="153" customFormat="1" ht="15" customHeight="1" x14ac:dyDescent="0.3">
      <c r="A3" s="272">
        <v>2976</v>
      </c>
      <c r="B3" s="272">
        <v>55393</v>
      </c>
      <c r="C3" s="273" t="s">
        <v>1070</v>
      </c>
      <c r="D3" s="273" t="s">
        <v>307</v>
      </c>
      <c r="E3" s="273">
        <v>1093255393</v>
      </c>
      <c r="F3" s="274">
        <v>43132</v>
      </c>
      <c r="G3" s="274">
        <v>43137</v>
      </c>
      <c r="H3" s="273">
        <v>5</v>
      </c>
      <c r="I3" s="275"/>
      <c r="J3" s="276">
        <v>820</v>
      </c>
      <c r="K3" s="275"/>
      <c r="L3" s="275"/>
      <c r="M3" s="275"/>
      <c r="N3" s="275"/>
      <c r="O3" s="275"/>
      <c r="P3" s="275">
        <v>205</v>
      </c>
      <c r="Q3" s="158">
        <f t="shared" ref="Q3:Q54" si="0">J3+L3+N3+P3</f>
        <v>1025</v>
      </c>
      <c r="R3" s="158">
        <f t="shared" ref="R3:R54" si="1">K3+M3+I3+O3</f>
        <v>0</v>
      </c>
      <c r="S3" s="156">
        <f>IF(H3=0,(Q3+R3/EERR!$D$2/1.19),(Q3+R3/EERR!$D$2/1.19)/H3)</f>
        <v>205</v>
      </c>
      <c r="T3" s="158">
        <f>R3+Q3*EERR!$D$2</f>
        <v>611720</v>
      </c>
      <c r="U3" s="153">
        <f ca="1">SUMIF(Siteminder!$A$5:$K$150,Feb!E3,Siteminder!$K$5:$K$150)</f>
        <v>5</v>
      </c>
      <c r="V3" s="294">
        <f ca="1">SUMIF(Transbank!$A$2:$A$494,B3,Transbank!$L$2:$L$433)+(I3+M3)+(J3+N3)*EERR!$D$2</f>
        <v>620192.64999999991</v>
      </c>
      <c r="W3" s="294">
        <f ca="1">V3/EERR!$D$2</f>
        <v>1039.1967995978553</v>
      </c>
      <c r="X3" s="162">
        <f t="shared" ref="X3:X54" ca="1" si="2">+V3-T3</f>
        <v>8472.6499999999069</v>
      </c>
      <c r="Y3" s="162">
        <f t="shared" ref="Y3:Y54" si="3">(I3+K3+M3)/1.19</f>
        <v>0</v>
      </c>
      <c r="Z3" s="162">
        <f t="shared" ref="Z3:Z54" si="4">IF(AA3="b",(I3+K3+M3)*0.19,0)</f>
        <v>0</v>
      </c>
      <c r="AA3" s="153">
        <f>IFERROR(VLOOKUP(A3,#REF!,8,FALSE),0)</f>
        <v>0</v>
      </c>
      <c r="AB3" s="39">
        <f t="shared" ref="AB3:AB54" si="5">Q3-AA3</f>
        <v>1025</v>
      </c>
      <c r="AC3" s="36"/>
    </row>
    <row r="4" spans="1:29" s="153" customFormat="1" ht="15" customHeight="1" x14ac:dyDescent="0.3">
      <c r="A4" s="272">
        <v>2978</v>
      </c>
      <c r="B4" s="272">
        <v>42821</v>
      </c>
      <c r="C4" s="273" t="s">
        <v>1071</v>
      </c>
      <c r="D4" s="273" t="s">
        <v>307</v>
      </c>
      <c r="E4" s="273">
        <v>1259642821</v>
      </c>
      <c r="F4" s="274">
        <v>43132</v>
      </c>
      <c r="G4" s="274">
        <v>43138</v>
      </c>
      <c r="H4" s="273">
        <v>6</v>
      </c>
      <c r="I4" s="275"/>
      <c r="J4" s="276">
        <v>975</v>
      </c>
      <c r="K4" s="275"/>
      <c r="L4" s="275"/>
      <c r="M4" s="275"/>
      <c r="N4" s="275"/>
      <c r="O4" s="275"/>
      <c r="P4" s="275">
        <v>195</v>
      </c>
      <c r="Q4" s="158">
        <f t="shared" si="0"/>
        <v>1170</v>
      </c>
      <c r="R4" s="158">
        <f t="shared" si="1"/>
        <v>0</v>
      </c>
      <c r="S4" s="156">
        <f>IF(H4=0,(Q4+R4/EERR!$D$2/1.19),(Q4+R4/EERR!$D$2/1.19)/H4)</f>
        <v>195</v>
      </c>
      <c r="T4" s="158">
        <f>R4+Q4*EERR!$D$2</f>
        <v>698256</v>
      </c>
      <c r="U4" s="153">
        <f ca="1">SUMIF(Siteminder!$A$5:$K$150,Feb!E4,Siteminder!$K$5:$K$150)</f>
        <v>6</v>
      </c>
      <c r="V4" s="294">
        <f ca="1">SUMIF(Transbank!$A$2:$A$494,B4,Transbank!$L$2:$L$433)+(I4+M4)+(J4+N4)*EERR!$D$2</f>
        <v>706315.35</v>
      </c>
      <c r="W4" s="294">
        <f ca="1">V4/EERR!$D$2</f>
        <v>1183.5042727882037</v>
      </c>
      <c r="X4" s="162">
        <f t="shared" ca="1" si="2"/>
        <v>8059.3499999999767</v>
      </c>
      <c r="Y4" s="162">
        <f t="shared" si="3"/>
        <v>0</v>
      </c>
      <c r="Z4" s="162">
        <f t="shared" si="4"/>
        <v>0</v>
      </c>
      <c r="AA4" s="153">
        <f>IFERROR(VLOOKUP(A4,#REF!,8,FALSE),0)</f>
        <v>0</v>
      </c>
      <c r="AB4" s="39">
        <f t="shared" si="5"/>
        <v>1170</v>
      </c>
    </row>
    <row r="5" spans="1:29" s="153" customFormat="1" ht="15" customHeight="1" x14ac:dyDescent="0.3">
      <c r="A5" s="272">
        <v>2979</v>
      </c>
      <c r="B5" s="272">
        <v>64812</v>
      </c>
      <c r="C5" s="273" t="s">
        <v>1072</v>
      </c>
      <c r="D5" s="273" t="s">
        <v>307</v>
      </c>
      <c r="E5" s="273">
        <v>1811064813</v>
      </c>
      <c r="F5" s="274">
        <v>43132</v>
      </c>
      <c r="G5" s="274">
        <v>43133</v>
      </c>
      <c r="H5" s="273">
        <v>1</v>
      </c>
      <c r="I5" s="275"/>
      <c r="J5" s="276"/>
      <c r="K5" s="275"/>
      <c r="L5" s="275"/>
      <c r="M5" s="275"/>
      <c r="N5" s="275"/>
      <c r="O5" s="275"/>
      <c r="P5" s="275">
        <v>184.5</v>
      </c>
      <c r="Q5" s="158">
        <f t="shared" si="0"/>
        <v>184.5</v>
      </c>
      <c r="R5" s="158">
        <f t="shared" si="1"/>
        <v>0</v>
      </c>
      <c r="S5" s="156">
        <f>IF(H5=0,(Q5+R5/EERR!$D$2/1.19),(Q5+R5/EERR!$D$2/1.19)/H5)</f>
        <v>184.5</v>
      </c>
      <c r="T5" s="158">
        <f>R5+Q5*EERR!$D$2</f>
        <v>110109.59999999999</v>
      </c>
      <c r="U5" s="153">
        <f ca="1">SUMIF(Siteminder!$A$5:$K$150,Feb!E5,Siteminder!$K$5:$K$150)</f>
        <v>0</v>
      </c>
      <c r="V5" s="294">
        <f ca="1">SUMIF(Transbank!$A$2:$A$494,B5,Transbank!$L$2:$L$433)+(I5+M5)+(J5+N5)*EERR!$D$2</f>
        <v>118054.05</v>
      </c>
      <c r="W5" s="294">
        <f ca="1">V5/EERR!$D$2</f>
        <v>197.8117459785523</v>
      </c>
      <c r="X5" s="162">
        <f t="shared" ca="1" si="2"/>
        <v>7944.4500000000116</v>
      </c>
      <c r="Y5" s="162">
        <f t="shared" si="3"/>
        <v>0</v>
      </c>
      <c r="Z5" s="162">
        <f t="shared" si="4"/>
        <v>0</v>
      </c>
      <c r="AA5" s="153">
        <f>IFERROR(VLOOKUP(A5,#REF!,8,FALSE),0)</f>
        <v>0</v>
      </c>
      <c r="AB5" s="39">
        <f t="shared" si="5"/>
        <v>184.5</v>
      </c>
    </row>
    <row r="6" spans="1:29" s="153" customFormat="1" ht="15" customHeight="1" x14ac:dyDescent="0.3">
      <c r="A6" s="272">
        <v>62007</v>
      </c>
      <c r="B6" s="272">
        <v>62007</v>
      </c>
      <c r="C6" s="273" t="s">
        <v>1073</v>
      </c>
      <c r="D6" s="273" t="s">
        <v>307</v>
      </c>
      <c r="E6" s="273">
        <v>1402762007</v>
      </c>
      <c r="F6" s="274">
        <v>43133</v>
      </c>
      <c r="G6" s="274">
        <v>43138</v>
      </c>
      <c r="H6" s="273">
        <v>10</v>
      </c>
      <c r="I6" s="275"/>
      <c r="J6" s="276"/>
      <c r="K6" s="275">
        <v>1063438</v>
      </c>
      <c r="L6" s="275"/>
      <c r="M6" s="275"/>
      <c r="N6" s="275"/>
      <c r="O6" s="275">
        <v>267182</v>
      </c>
      <c r="P6" s="275"/>
      <c r="Q6" s="158">
        <f t="shared" si="0"/>
        <v>0</v>
      </c>
      <c r="R6" s="158">
        <f t="shared" si="1"/>
        <v>1330620</v>
      </c>
      <c r="S6" s="156">
        <f>IF(H6=0,(Q6+R6/EERR!$D$2/1.19),(Q6+R6/EERR!$D$2/1.19)/H6)</f>
        <v>187.3606010768919</v>
      </c>
      <c r="T6" s="158">
        <f>R6+Q6*EERR!$D$2</f>
        <v>1330620</v>
      </c>
      <c r="U6" s="153">
        <f ca="1">SUMIF(Siteminder!$A$5:$K$150,Feb!E6,Siteminder!$K$5:$K$150)</f>
        <v>10</v>
      </c>
      <c r="V6" s="294">
        <f ca="1">SUMIF(Transbank!$A$2:$A$494,B6,Transbank!$L$2:$L$433)+(I6+M6)+(J6+N6)*EERR!$D$2</f>
        <v>1330620</v>
      </c>
      <c r="W6" s="294">
        <f ca="1">V6/EERR!$D$2</f>
        <v>2229.5911528150136</v>
      </c>
      <c r="X6" s="162">
        <f t="shared" ca="1" si="2"/>
        <v>0</v>
      </c>
      <c r="Y6" s="162">
        <f t="shared" si="3"/>
        <v>893645.37815126055</v>
      </c>
      <c r="Z6" s="162">
        <f t="shared" si="4"/>
        <v>0</v>
      </c>
      <c r="AA6" s="153">
        <f>IFERROR(VLOOKUP(A6,#REF!,8,FALSE),0)</f>
        <v>0</v>
      </c>
      <c r="AB6" s="39">
        <f t="shared" si="5"/>
        <v>0</v>
      </c>
    </row>
    <row r="7" spans="1:29" s="153" customFormat="1" ht="15" customHeight="1" x14ac:dyDescent="0.3">
      <c r="A7" s="272">
        <v>23184</v>
      </c>
      <c r="B7" s="272">
        <v>23184</v>
      </c>
      <c r="C7" s="273" t="s">
        <v>1074</v>
      </c>
      <c r="D7" s="273" t="s">
        <v>307</v>
      </c>
      <c r="E7" s="273">
        <v>1952623184</v>
      </c>
      <c r="F7" s="274">
        <v>43133</v>
      </c>
      <c r="G7" s="274">
        <v>43138</v>
      </c>
      <c r="H7" s="273">
        <v>5</v>
      </c>
      <c r="I7" s="275"/>
      <c r="J7" s="276"/>
      <c r="K7" s="275">
        <v>529566</v>
      </c>
      <c r="L7" s="275"/>
      <c r="M7" s="275"/>
      <c r="N7" s="275"/>
      <c r="O7" s="275">
        <v>133050</v>
      </c>
      <c r="P7" s="275"/>
      <c r="Q7" s="158">
        <f t="shared" si="0"/>
        <v>0</v>
      </c>
      <c r="R7" s="158">
        <f t="shared" si="1"/>
        <v>662616</v>
      </c>
      <c r="S7" s="156">
        <f>IF(H7=0,(Q7+R7/EERR!$D$2/1.19),(Q7+R7/EERR!$D$2/1.19)/H7)</f>
        <v>186.60193299840046</v>
      </c>
      <c r="T7" s="158">
        <f>R7+Q7*EERR!$D$2</f>
        <v>662616</v>
      </c>
      <c r="U7" s="153">
        <f ca="1">SUMIF(Siteminder!$A$5:$K$150,Feb!E7,Siteminder!$K$5:$K$150)</f>
        <v>5</v>
      </c>
      <c r="V7" s="294">
        <f ca="1">SUMIF(Transbank!$A$2:$A$494,B7,Transbank!$L$2:$L$433)+(I7+M7)+(J7+N7)*EERR!$D$2</f>
        <v>662616</v>
      </c>
      <c r="W7" s="294">
        <f ca="1">V7/EERR!$D$2</f>
        <v>1110.2815013404827</v>
      </c>
      <c r="X7" s="162">
        <f t="shared" ca="1" si="2"/>
        <v>0</v>
      </c>
      <c r="Y7" s="162">
        <f t="shared" si="3"/>
        <v>445013.44537815126</v>
      </c>
      <c r="Z7" s="162">
        <f t="shared" si="4"/>
        <v>0</v>
      </c>
      <c r="AA7" s="153">
        <f>IFERROR(VLOOKUP(A7,#REF!,8,FALSE),0)</f>
        <v>0</v>
      </c>
      <c r="AB7" s="39">
        <f t="shared" si="5"/>
        <v>0</v>
      </c>
    </row>
    <row r="8" spans="1:29" s="153" customFormat="1" ht="15" customHeight="1" x14ac:dyDescent="0.3">
      <c r="A8" s="272">
        <v>2982</v>
      </c>
      <c r="B8" s="272">
        <v>76672</v>
      </c>
      <c r="C8" s="273" t="s">
        <v>1075</v>
      </c>
      <c r="D8" s="273" t="s">
        <v>307</v>
      </c>
      <c r="E8" s="273">
        <v>1492876672</v>
      </c>
      <c r="F8" s="274">
        <v>43133</v>
      </c>
      <c r="G8" s="274">
        <v>43134</v>
      </c>
      <c r="H8" s="273">
        <v>2</v>
      </c>
      <c r="I8" s="275"/>
      <c r="J8" s="276"/>
      <c r="K8" s="275"/>
      <c r="L8" s="275"/>
      <c r="M8" s="275"/>
      <c r="N8" s="275"/>
      <c r="O8" s="275"/>
      <c r="P8" s="275">
        <v>410</v>
      </c>
      <c r="Q8" s="158">
        <f t="shared" si="0"/>
        <v>410</v>
      </c>
      <c r="R8" s="158">
        <f t="shared" si="1"/>
        <v>0</v>
      </c>
      <c r="S8" s="156">
        <f>IF(H8=0,(Q8+R8/EERR!$D$2/1.19),(Q8+R8/EERR!$D$2/1.19)/H8)</f>
        <v>205</v>
      </c>
      <c r="T8" s="158">
        <f>R8+Q8*EERR!$D$2</f>
        <v>244687.99999999997</v>
      </c>
      <c r="U8" s="153">
        <f ca="1">SUMIF(Siteminder!$A$5:$K$150,Feb!E8,Siteminder!$K$5:$K$150)</f>
        <v>2</v>
      </c>
      <c r="V8" s="294">
        <f ca="1">SUMIF(Transbank!$A$2:$A$494,B8,Transbank!$L$2:$L$433)+(I8+M8)+(J8+N8)*EERR!$D$2</f>
        <v>261633.3</v>
      </c>
      <c r="W8" s="294">
        <f ca="1">V8/EERR!$D$2</f>
        <v>438.39359919571046</v>
      </c>
      <c r="X8" s="162">
        <f t="shared" ca="1" si="2"/>
        <v>16945.300000000017</v>
      </c>
      <c r="Y8" s="162">
        <f t="shared" si="3"/>
        <v>0</v>
      </c>
      <c r="Z8" s="162">
        <f t="shared" si="4"/>
        <v>0</v>
      </c>
      <c r="AA8" s="153">
        <f>IFERROR(VLOOKUP(A8,#REF!,8,FALSE),0)</f>
        <v>0</v>
      </c>
      <c r="AB8" s="39">
        <f t="shared" si="5"/>
        <v>410</v>
      </c>
    </row>
    <row r="9" spans="1:29" s="153" customFormat="1" ht="15" customHeight="1" x14ac:dyDescent="0.3">
      <c r="A9" s="272">
        <v>2983</v>
      </c>
      <c r="B9" s="272">
        <v>98930</v>
      </c>
      <c r="C9" s="273" t="s">
        <v>1076</v>
      </c>
      <c r="D9" s="273" t="s">
        <v>307</v>
      </c>
      <c r="E9" s="273">
        <v>1006998930</v>
      </c>
      <c r="F9" s="274">
        <v>43134</v>
      </c>
      <c r="G9" s="274">
        <v>43137</v>
      </c>
      <c r="H9" s="273">
        <v>3</v>
      </c>
      <c r="I9" s="275"/>
      <c r="J9" s="276"/>
      <c r="K9" s="275"/>
      <c r="L9" s="275">
        <v>390</v>
      </c>
      <c r="M9" s="275"/>
      <c r="N9" s="275"/>
      <c r="O9" s="275"/>
      <c r="P9" s="275">
        <v>195</v>
      </c>
      <c r="Q9" s="158">
        <f t="shared" si="0"/>
        <v>585</v>
      </c>
      <c r="R9" s="158">
        <f t="shared" si="1"/>
        <v>0</v>
      </c>
      <c r="S9" s="156">
        <f>IF(H9=0,(Q9+R9/EERR!$D$2/1.19),(Q9+R9/EERR!$D$2/1.19)/H9)</f>
        <v>195</v>
      </c>
      <c r="T9" s="158">
        <f>R9+Q9*EERR!$D$2</f>
        <v>349128</v>
      </c>
      <c r="U9" s="153">
        <f ca="1">SUMIF(Siteminder!$A$5:$K$150,Feb!E9,Siteminder!$K$5:$K$150)</f>
        <v>3</v>
      </c>
      <c r="V9" s="294">
        <f ca="1">SUMIF(Transbank!$A$2:$A$494,B9,Transbank!$L$2:$L$433)+(I9+M9)+(J9+N9)*EERR!$D$2</f>
        <v>357187.35</v>
      </c>
      <c r="W9" s="294">
        <f ca="1">V9/EERR!$D$2</f>
        <v>598.50427278820371</v>
      </c>
      <c r="X9" s="162">
        <f t="shared" ca="1" si="2"/>
        <v>8059.3499999999767</v>
      </c>
      <c r="Y9" s="162">
        <f t="shared" si="3"/>
        <v>0</v>
      </c>
      <c r="Z9" s="162">
        <f t="shared" si="4"/>
        <v>0</v>
      </c>
      <c r="AA9" s="153">
        <f>IFERROR(VLOOKUP(A9,#REF!,8,FALSE),0)</f>
        <v>0</v>
      </c>
      <c r="AB9" s="39">
        <f t="shared" si="5"/>
        <v>585</v>
      </c>
    </row>
    <row r="10" spans="1:29" s="153" customFormat="1" ht="15" customHeight="1" x14ac:dyDescent="0.3">
      <c r="A10" s="272">
        <v>24205</v>
      </c>
      <c r="B10" s="272">
        <v>24205</v>
      </c>
      <c r="C10" s="273" t="s">
        <v>1077</v>
      </c>
      <c r="D10" s="273" t="s">
        <v>307</v>
      </c>
      <c r="E10" s="273">
        <v>1081424205</v>
      </c>
      <c r="F10" s="274">
        <v>43136</v>
      </c>
      <c r="G10" s="274">
        <v>43141</v>
      </c>
      <c r="H10" s="273">
        <v>5</v>
      </c>
      <c r="I10" s="275"/>
      <c r="J10" s="276"/>
      <c r="K10" s="275">
        <v>586455</v>
      </c>
      <c r="L10" s="275"/>
      <c r="M10" s="275"/>
      <c r="N10" s="275"/>
      <c r="O10" s="275">
        <v>147833</v>
      </c>
      <c r="P10" s="275"/>
      <c r="Q10" s="158">
        <f t="shared" si="0"/>
        <v>0</v>
      </c>
      <c r="R10" s="158">
        <f t="shared" si="1"/>
        <v>734288</v>
      </c>
      <c r="S10" s="156">
        <f>IF(H10=0,(Q10+R10/EERR!$D$2/1.19),(Q10+R10/EERR!$D$2/1.19)/H10)</f>
        <v>206.78577060851154</v>
      </c>
      <c r="T10" s="158">
        <f>R10+Q10*EERR!$D$2</f>
        <v>734288</v>
      </c>
      <c r="U10" s="153">
        <f ca="1">SUMIF(Siteminder!$A$5:$K$150,Feb!E10,Siteminder!$K$5:$K$150)</f>
        <v>5</v>
      </c>
      <c r="V10" s="294">
        <f ca="1">SUMIF(Transbank!$A$2:$A$494,B10,Transbank!$L$2:$L$433)+(I10+M10)+(J10+N10)*EERR!$D$2</f>
        <v>734288</v>
      </c>
      <c r="W10" s="294">
        <f ca="1">V10/EERR!$D$2</f>
        <v>1230.3753351206435</v>
      </c>
      <c r="X10" s="162">
        <f t="shared" ca="1" si="2"/>
        <v>0</v>
      </c>
      <c r="Y10" s="162">
        <f t="shared" si="3"/>
        <v>492819.32773109246</v>
      </c>
      <c r="Z10" s="162">
        <f t="shared" si="4"/>
        <v>0</v>
      </c>
      <c r="AA10" s="153">
        <f>IFERROR(VLOOKUP(A10,#REF!,8,FALSE),0)</f>
        <v>0</v>
      </c>
      <c r="AB10" s="39">
        <f t="shared" si="5"/>
        <v>0</v>
      </c>
    </row>
    <row r="11" spans="1:29" s="153" customFormat="1" ht="15" customHeight="1" x14ac:dyDescent="0.3">
      <c r="A11" s="272">
        <v>2984</v>
      </c>
      <c r="B11" s="272">
        <v>30337</v>
      </c>
      <c r="C11" s="273" t="s">
        <v>1078</v>
      </c>
      <c r="D11" s="273" t="s">
        <v>307</v>
      </c>
      <c r="E11" s="273">
        <v>1505430337</v>
      </c>
      <c r="F11" s="274">
        <v>43137</v>
      </c>
      <c r="G11" s="274">
        <v>43142</v>
      </c>
      <c r="H11" s="273">
        <v>5</v>
      </c>
      <c r="I11" s="275"/>
      <c r="J11" s="276"/>
      <c r="K11" s="275"/>
      <c r="L11" s="275">
        <v>702</v>
      </c>
      <c r="M11" s="275"/>
      <c r="N11" s="275"/>
      <c r="O11" s="275"/>
      <c r="P11" s="275">
        <v>175.5</v>
      </c>
      <c r="Q11" s="158">
        <f t="shared" si="0"/>
        <v>877.5</v>
      </c>
      <c r="R11" s="158">
        <f t="shared" si="1"/>
        <v>0</v>
      </c>
      <c r="S11" s="156">
        <f>IF(H11=0,(Q11+R11/EERR!$D$2/1.19),(Q11+R11/EERR!$D$2/1.19)/H11)</f>
        <v>175.5</v>
      </c>
      <c r="T11" s="158">
        <f>R11+Q11*EERR!$D$2</f>
        <v>523691.99999999994</v>
      </c>
      <c r="U11" s="153">
        <f ca="1">SUMIF(Siteminder!$A$5:$K$150,Feb!E11,Siteminder!$K$5:$K$150)</f>
        <v>5</v>
      </c>
      <c r="V11" s="294">
        <f ca="1">SUMIF(Transbank!$A$2:$A$494,B11,Transbank!$L$2:$L$433)+(I11+M11)+(J11+N11)*EERR!$D$2</f>
        <v>531264.48</v>
      </c>
      <c r="W11" s="294">
        <f ca="1">V11/EERR!$D$2</f>
        <v>890.188471849866</v>
      </c>
      <c r="X11" s="162">
        <f t="shared" ca="1" si="2"/>
        <v>7572.4800000000396</v>
      </c>
      <c r="Y11" s="162">
        <f t="shared" si="3"/>
        <v>0</v>
      </c>
      <c r="Z11" s="162">
        <f t="shared" si="4"/>
        <v>0</v>
      </c>
      <c r="AA11" s="153">
        <f>IFERROR(VLOOKUP(A11,#REF!,8,FALSE),0)</f>
        <v>0</v>
      </c>
      <c r="AB11" s="39">
        <f t="shared" si="5"/>
        <v>877.5</v>
      </c>
    </row>
    <row r="12" spans="1:29" s="153" customFormat="1" ht="15" customHeight="1" x14ac:dyDescent="0.3">
      <c r="A12" s="272">
        <v>2986</v>
      </c>
      <c r="B12" s="272">
        <v>77663</v>
      </c>
      <c r="C12" s="273" t="s">
        <v>1079</v>
      </c>
      <c r="D12" s="273" t="s">
        <v>307</v>
      </c>
      <c r="E12" s="273">
        <v>1717177663</v>
      </c>
      <c r="F12" s="274">
        <v>43137</v>
      </c>
      <c r="G12" s="274">
        <v>43139</v>
      </c>
      <c r="H12" s="273">
        <v>4</v>
      </c>
      <c r="I12" s="275"/>
      <c r="J12" s="276">
        <v>410</v>
      </c>
      <c r="K12" s="275"/>
      <c r="L12" s="275"/>
      <c r="M12" s="275"/>
      <c r="N12" s="275"/>
      <c r="O12" s="275"/>
      <c r="P12" s="275">
        <v>410</v>
      </c>
      <c r="Q12" s="158">
        <f t="shared" si="0"/>
        <v>820</v>
      </c>
      <c r="R12" s="158">
        <f t="shared" si="1"/>
        <v>0</v>
      </c>
      <c r="S12" s="156">
        <f>IF(H12=0,(Q12+R12/EERR!$D$2/1.19),(Q12+R12/EERR!$D$2/1.19)/H12)</f>
        <v>205</v>
      </c>
      <c r="T12" s="158">
        <f>R12+Q12*EERR!$D$2</f>
        <v>489375.99999999994</v>
      </c>
      <c r="U12" s="153">
        <f ca="1">SUMIF(Siteminder!$A$5:$K$150,Feb!E12,Siteminder!$K$5:$K$150)</f>
        <v>4</v>
      </c>
      <c r="V12" s="294">
        <f ca="1">SUMIF(Transbank!$A$2:$A$494,B12,Transbank!$L$2:$L$433)+(I12+M12)+(J12+N12)*EERR!$D$2</f>
        <v>506321.29999999993</v>
      </c>
      <c r="W12" s="294">
        <f ca="1">V12/EERR!$D$2</f>
        <v>848.39359919571041</v>
      </c>
      <c r="X12" s="162">
        <f t="shared" ca="1" si="2"/>
        <v>16945.299999999988</v>
      </c>
      <c r="Y12" s="162">
        <f t="shared" si="3"/>
        <v>0</v>
      </c>
      <c r="Z12" s="162">
        <f t="shared" si="4"/>
        <v>0</v>
      </c>
      <c r="AA12" s="153">
        <f>IFERROR(VLOOKUP(A12,#REF!,8,FALSE),0)</f>
        <v>0</v>
      </c>
      <c r="AB12" s="39">
        <f t="shared" si="5"/>
        <v>820</v>
      </c>
    </row>
    <row r="13" spans="1:29" s="153" customFormat="1" ht="15" customHeight="1" x14ac:dyDescent="0.3">
      <c r="A13" s="272">
        <v>92270</v>
      </c>
      <c r="B13" s="272">
        <v>92270</v>
      </c>
      <c r="C13" s="273" t="s">
        <v>1045</v>
      </c>
      <c r="D13" s="273" t="s">
        <v>307</v>
      </c>
      <c r="E13" s="273">
        <v>1477692270</v>
      </c>
      <c r="F13" s="274">
        <v>43138</v>
      </c>
      <c r="G13" s="274">
        <v>43141</v>
      </c>
      <c r="H13" s="273">
        <v>3</v>
      </c>
      <c r="I13" s="275"/>
      <c r="J13" s="276"/>
      <c r="K13" s="275">
        <v>294204</v>
      </c>
      <c r="L13" s="275"/>
      <c r="M13" s="275"/>
      <c r="N13" s="275"/>
      <c r="O13" s="275">
        <v>147833</v>
      </c>
      <c r="P13" s="275"/>
      <c r="Q13" s="158">
        <f t="shared" si="0"/>
        <v>0</v>
      </c>
      <c r="R13" s="158">
        <f t="shared" si="1"/>
        <v>442037</v>
      </c>
      <c r="S13" s="156">
        <f>IF(H13=0,(Q13+R13/EERR!$D$2/1.19),(Q13+R13/EERR!$D$2/1.19)/H13)</f>
        <v>207.47300260586812</v>
      </c>
      <c r="T13" s="158">
        <f>R13+Q13*EERR!$D$2</f>
        <v>442037</v>
      </c>
      <c r="U13" s="153">
        <f ca="1">SUMIF(Siteminder!$A$5:$K$150,Feb!E13,Siteminder!$K$5:$K$150)</f>
        <v>3</v>
      </c>
      <c r="V13" s="294">
        <f ca="1">SUMIF(Transbank!$A$2:$A$494,B13,Transbank!$L$2:$L$433)+(I13+M13)+(J13+N13)*EERR!$D$2</f>
        <v>442037</v>
      </c>
      <c r="W13" s="294">
        <f ca="1">V13/EERR!$D$2</f>
        <v>740.67861930294907</v>
      </c>
      <c r="X13" s="162">
        <f t="shared" ca="1" si="2"/>
        <v>0</v>
      </c>
      <c r="Y13" s="162">
        <f t="shared" si="3"/>
        <v>247230.25210084036</v>
      </c>
      <c r="Z13" s="162">
        <f t="shared" si="4"/>
        <v>0</v>
      </c>
      <c r="AA13" s="153">
        <f>IFERROR(VLOOKUP(A13,#REF!,8,FALSE),0)</f>
        <v>0</v>
      </c>
      <c r="AB13" s="39">
        <f t="shared" si="5"/>
        <v>0</v>
      </c>
    </row>
    <row r="14" spans="1:29" s="153" customFormat="1" ht="15" customHeight="1" x14ac:dyDescent="0.3">
      <c r="A14" s="272">
        <v>2985</v>
      </c>
      <c r="B14" s="272">
        <v>6894</v>
      </c>
      <c r="C14" s="273" t="s">
        <v>1080</v>
      </c>
      <c r="D14" s="273" t="s">
        <v>307</v>
      </c>
      <c r="E14" s="273">
        <v>1478106894</v>
      </c>
      <c r="F14" s="274">
        <v>43138</v>
      </c>
      <c r="G14" s="274">
        <v>43139</v>
      </c>
      <c r="H14" s="273">
        <v>1</v>
      </c>
      <c r="I14" s="275"/>
      <c r="J14" s="276"/>
      <c r="K14" s="275"/>
      <c r="L14" s="275"/>
      <c r="M14" s="275"/>
      <c r="N14" s="275"/>
      <c r="O14" s="275"/>
      <c r="P14" s="275">
        <v>184.5</v>
      </c>
      <c r="Q14" s="158">
        <f t="shared" si="0"/>
        <v>184.5</v>
      </c>
      <c r="R14" s="158">
        <f t="shared" si="1"/>
        <v>0</v>
      </c>
      <c r="S14" s="156">
        <f>IF(H14=0,(Q14+R14/EERR!$D$2/1.19),(Q14+R14/EERR!$D$2/1.19)/H14)</f>
        <v>184.5</v>
      </c>
      <c r="T14" s="158">
        <f>R14+Q14*EERR!$D$2</f>
        <v>110109.59999999999</v>
      </c>
      <c r="U14" s="153">
        <f ca="1">SUMIF(Siteminder!$A$5:$K$150,Feb!E14,Siteminder!$K$5:$K$150)</f>
        <v>1</v>
      </c>
      <c r="V14" s="294">
        <f ca="1">SUMIF(Transbank!$A$2:$A$494,B14,Transbank!$L$2:$L$433)+(I14+M14)+(J14+N14)*EERR!$D$2</f>
        <v>118054.05</v>
      </c>
      <c r="W14" s="294">
        <f ca="1">V14/EERR!$D$2</f>
        <v>197.8117459785523</v>
      </c>
      <c r="X14" s="295">
        <f t="shared" ca="1" si="2"/>
        <v>7944.4500000000116</v>
      </c>
      <c r="Y14" s="162">
        <f t="shared" si="3"/>
        <v>0</v>
      </c>
      <c r="Z14" s="162">
        <f t="shared" si="4"/>
        <v>0</v>
      </c>
      <c r="AA14" s="153">
        <f>IFERROR(VLOOKUP(A14,#REF!,8,FALSE),0)</f>
        <v>0</v>
      </c>
      <c r="AB14" s="39">
        <f t="shared" si="5"/>
        <v>184.5</v>
      </c>
    </row>
    <row r="15" spans="1:29" s="153" customFormat="1" ht="15" customHeight="1" x14ac:dyDescent="0.3">
      <c r="A15" s="272">
        <v>2987</v>
      </c>
      <c r="B15" s="272">
        <v>27254</v>
      </c>
      <c r="C15" s="273" t="s">
        <v>1081</v>
      </c>
      <c r="D15" s="273" t="s">
        <v>307</v>
      </c>
      <c r="E15" s="273">
        <v>1196827254</v>
      </c>
      <c r="F15" s="274">
        <v>43138</v>
      </c>
      <c r="G15" s="274">
        <v>43145</v>
      </c>
      <c r="H15" s="273">
        <v>7</v>
      </c>
      <c r="I15" s="275"/>
      <c r="J15" s="276"/>
      <c r="K15" s="275"/>
      <c r="L15" s="275">
        <v>1170</v>
      </c>
      <c r="M15" s="275"/>
      <c r="N15" s="275"/>
      <c r="O15" s="275"/>
      <c r="P15" s="275">
        <v>195</v>
      </c>
      <c r="Q15" s="158">
        <f t="shared" si="0"/>
        <v>1365</v>
      </c>
      <c r="R15" s="158">
        <f t="shared" si="1"/>
        <v>0</v>
      </c>
      <c r="S15" s="156">
        <f>IF(H15=0,(Q15+R15/EERR!$D$2/1.19),(Q15+R15/EERR!$D$2/1.19)/H15)</f>
        <v>195</v>
      </c>
      <c r="T15" s="158">
        <f>R15+Q15*EERR!$D$2</f>
        <v>814631.99999999988</v>
      </c>
      <c r="U15" s="153">
        <f ca="1">SUMIF(Siteminder!$A$5:$K$150,Feb!E15,Siteminder!$K$5:$K$150)</f>
        <v>7</v>
      </c>
      <c r="V15" s="294">
        <f ca="1">SUMIF(Transbank!$A$2:$A$494,B15,Transbank!$L$2:$L$433)+(I15+M15)+(J15+N15)*EERR!$D$2</f>
        <v>842982.54999999993</v>
      </c>
      <c r="W15" s="294">
        <f ca="1">V15/EERR!$D$2</f>
        <v>1412.5042727882037</v>
      </c>
      <c r="X15" s="162">
        <f t="shared" ca="1" si="2"/>
        <v>28350.550000000047</v>
      </c>
      <c r="Y15" s="162">
        <f t="shared" si="3"/>
        <v>0</v>
      </c>
      <c r="Z15" s="162">
        <f t="shared" si="4"/>
        <v>0</v>
      </c>
      <c r="AA15" s="153">
        <f>IFERROR(VLOOKUP(A15,#REF!,8,FALSE),0)</f>
        <v>0</v>
      </c>
      <c r="AB15" s="39">
        <f t="shared" si="5"/>
        <v>1365</v>
      </c>
    </row>
    <row r="16" spans="1:29" s="153" customFormat="1" ht="15" customHeight="1" x14ac:dyDescent="0.3">
      <c r="A16" s="272">
        <v>2989</v>
      </c>
      <c r="B16" s="272">
        <v>36688</v>
      </c>
      <c r="C16" s="273" t="s">
        <v>1082</v>
      </c>
      <c r="D16" s="273" t="s">
        <v>307</v>
      </c>
      <c r="E16" s="273">
        <v>1482436688</v>
      </c>
      <c r="F16" s="274">
        <v>43139</v>
      </c>
      <c r="G16" s="274">
        <v>43142</v>
      </c>
      <c r="H16" s="273">
        <v>3</v>
      </c>
      <c r="I16" s="275"/>
      <c r="J16" s="276"/>
      <c r="K16" s="275"/>
      <c r="L16" s="275">
        <v>410</v>
      </c>
      <c r="M16" s="275"/>
      <c r="N16" s="275"/>
      <c r="O16" s="275"/>
      <c r="P16" s="275">
        <v>205</v>
      </c>
      <c r="Q16" s="158">
        <f t="shared" si="0"/>
        <v>615</v>
      </c>
      <c r="R16" s="158">
        <f t="shared" si="1"/>
        <v>0</v>
      </c>
      <c r="S16" s="156">
        <f>IF(H16=0,(Q16+R16/EERR!$D$2/1.19),(Q16+R16/EERR!$D$2/1.19)/H16)</f>
        <v>205</v>
      </c>
      <c r="T16" s="158">
        <f>R16+Q16*EERR!$D$2</f>
        <v>367032</v>
      </c>
      <c r="U16" s="153">
        <f ca="1">SUMIF(Siteminder!$A$5:$K$150,Feb!E16,Siteminder!$K$5:$K$150)</f>
        <v>3</v>
      </c>
      <c r="V16" s="294">
        <f ca="1">SUMIF(Transbank!$A$2:$A$494,B16,Transbank!$L$2:$L$433)+(I16+M16)+(J16+N16)*EERR!$D$2</f>
        <v>375504.64999999997</v>
      </c>
      <c r="W16" s="294">
        <f ca="1">V16/EERR!$D$2</f>
        <v>629.19679959785526</v>
      </c>
      <c r="X16" s="162">
        <f t="shared" ca="1" si="2"/>
        <v>8472.6499999999651</v>
      </c>
      <c r="Y16" s="162">
        <f t="shared" si="3"/>
        <v>0</v>
      </c>
      <c r="Z16" s="162">
        <f t="shared" si="4"/>
        <v>0</v>
      </c>
      <c r="AA16" s="153">
        <f>IFERROR(VLOOKUP(A16,#REF!,8,FALSE),0)</f>
        <v>0</v>
      </c>
      <c r="AB16" s="39">
        <f t="shared" si="5"/>
        <v>615</v>
      </c>
    </row>
    <row r="17" spans="1:28" s="153" customFormat="1" ht="15" customHeight="1" x14ac:dyDescent="0.3">
      <c r="A17" s="272">
        <v>2990</v>
      </c>
      <c r="B17" s="272">
        <v>28611</v>
      </c>
      <c r="C17" s="273" t="s">
        <v>1083</v>
      </c>
      <c r="D17" s="273" t="s">
        <v>307</v>
      </c>
      <c r="E17" s="273">
        <v>1749328611</v>
      </c>
      <c r="F17" s="274">
        <v>43139</v>
      </c>
      <c r="G17" s="274">
        <v>43141</v>
      </c>
      <c r="H17" s="273">
        <v>2</v>
      </c>
      <c r="I17" s="275"/>
      <c r="J17" s="276"/>
      <c r="K17" s="275"/>
      <c r="L17" s="275">
        <v>205</v>
      </c>
      <c r="M17" s="275"/>
      <c r="N17" s="275"/>
      <c r="O17" s="275"/>
      <c r="P17" s="275">
        <v>205</v>
      </c>
      <c r="Q17" s="158">
        <f t="shared" si="0"/>
        <v>410</v>
      </c>
      <c r="R17" s="158">
        <f t="shared" si="1"/>
        <v>0</v>
      </c>
      <c r="S17" s="156">
        <f>IF(H17=0,(Q17+R17/EERR!$D$2/1.19),(Q17+R17/EERR!$D$2/1.19)/H17)</f>
        <v>205</v>
      </c>
      <c r="T17" s="158">
        <f>R17+Q17*EERR!$D$2</f>
        <v>244687.99999999997</v>
      </c>
      <c r="U17" s="153">
        <f ca="1">SUMIF(Siteminder!$A$5:$K$150,Feb!E17,Siteminder!$K$5:$K$150)</f>
        <v>2</v>
      </c>
      <c r="V17" s="294">
        <f ca="1">SUMIF(Transbank!$A$2:$A$494,B17,Transbank!$L$2:$L$433)+(I17+M17)+(J17+N17)*EERR!$D$2</f>
        <v>253160.64999999997</v>
      </c>
      <c r="W17" s="294">
        <f ca="1">V17/EERR!$D$2</f>
        <v>424.1967995978552</v>
      </c>
      <c r="X17" s="162">
        <f t="shared" ca="1" si="2"/>
        <v>8472.6499999999942</v>
      </c>
      <c r="Y17" s="162">
        <f t="shared" si="3"/>
        <v>0</v>
      </c>
      <c r="Z17" s="162">
        <f t="shared" si="4"/>
        <v>0</v>
      </c>
      <c r="AA17" s="153">
        <f>IFERROR(VLOOKUP(A17,#REF!,8,FALSE),0)</f>
        <v>0</v>
      </c>
      <c r="AB17" s="39">
        <f t="shared" si="5"/>
        <v>410</v>
      </c>
    </row>
    <row r="18" spans="1:28" s="153" customFormat="1" ht="15" customHeight="1" x14ac:dyDescent="0.3">
      <c r="A18" s="272">
        <v>2991</v>
      </c>
      <c r="B18" s="272">
        <v>10301</v>
      </c>
      <c r="C18" s="273" t="s">
        <v>1056</v>
      </c>
      <c r="D18" s="273" t="s">
        <v>307</v>
      </c>
      <c r="E18" s="273">
        <v>1923310301</v>
      </c>
      <c r="F18" s="274">
        <v>43139</v>
      </c>
      <c r="G18" s="274">
        <v>43141</v>
      </c>
      <c r="H18" s="273">
        <v>2</v>
      </c>
      <c r="I18" s="275"/>
      <c r="J18" s="276">
        <v>195</v>
      </c>
      <c r="K18" s="275"/>
      <c r="L18" s="275"/>
      <c r="M18" s="275"/>
      <c r="N18" s="275"/>
      <c r="O18" s="275"/>
      <c r="P18" s="275">
        <v>195</v>
      </c>
      <c r="Q18" s="158">
        <f t="shared" si="0"/>
        <v>390</v>
      </c>
      <c r="R18" s="158">
        <f t="shared" si="1"/>
        <v>0</v>
      </c>
      <c r="S18" s="156">
        <f>IF(H18=0,(Q18+R18/EERR!$D$2/1.19),(Q18+R18/EERR!$D$2/1.19)/H18)</f>
        <v>195</v>
      </c>
      <c r="T18" s="158">
        <f>R18+Q18*EERR!$D$2</f>
        <v>232751.99999999997</v>
      </c>
      <c r="U18" s="153">
        <f ca="1">SUMIF(Siteminder!$A$5:$K$150,Feb!E18,Siteminder!$K$5:$K$150)</f>
        <v>2</v>
      </c>
      <c r="V18" s="294">
        <f ca="1">SUMIF(Transbank!$A$2:$A$494,B18,Transbank!$L$2:$L$433)+(I18+M18)+(J18+N18)*EERR!$D$2</f>
        <v>240811.34999999998</v>
      </c>
      <c r="W18" s="294">
        <f ca="1">V18/EERR!$D$2</f>
        <v>403.50427278820376</v>
      </c>
      <c r="X18" s="162">
        <f t="shared" ca="1" si="2"/>
        <v>8059.3500000000058</v>
      </c>
      <c r="Y18" s="162">
        <f t="shared" si="3"/>
        <v>0</v>
      </c>
      <c r="Z18" s="162">
        <f t="shared" si="4"/>
        <v>0</v>
      </c>
      <c r="AA18" s="153">
        <f>IFERROR(VLOOKUP(A18,#REF!,8,FALSE),0)</f>
        <v>0</v>
      </c>
      <c r="AB18" s="39">
        <f t="shared" si="5"/>
        <v>390</v>
      </c>
    </row>
    <row r="19" spans="1:28" s="153" customFormat="1" ht="15" customHeight="1" x14ac:dyDescent="0.3">
      <c r="A19" s="272">
        <v>3001</v>
      </c>
      <c r="B19" s="272">
        <v>62130</v>
      </c>
      <c r="C19" s="273" t="s">
        <v>1084</v>
      </c>
      <c r="D19" s="273" t="s">
        <v>307</v>
      </c>
      <c r="E19" s="273">
        <v>2050762130</v>
      </c>
      <c r="F19" s="274">
        <v>43139</v>
      </c>
      <c r="G19" s="274">
        <v>43146</v>
      </c>
      <c r="H19" s="273">
        <v>7</v>
      </c>
      <c r="I19" s="275"/>
      <c r="J19" s="276"/>
      <c r="K19" s="275"/>
      <c r="L19" s="275">
        <v>1170</v>
      </c>
      <c r="M19" s="275"/>
      <c r="N19" s="275"/>
      <c r="O19" s="275"/>
      <c r="P19" s="275">
        <v>195</v>
      </c>
      <c r="Q19" s="158">
        <f t="shared" si="0"/>
        <v>1365</v>
      </c>
      <c r="R19" s="158">
        <f t="shared" si="1"/>
        <v>0</v>
      </c>
      <c r="S19" s="156">
        <f>IF(H19=0,(Q19+R19/EERR!$D$2/1.19),(Q19+R19/EERR!$D$2/1.19)/H19)</f>
        <v>195</v>
      </c>
      <c r="T19" s="158">
        <f>R19+Q19*EERR!$D$2</f>
        <v>814631.99999999988</v>
      </c>
      <c r="U19" s="153">
        <f ca="1">SUMIF(Siteminder!$A$5:$K$150,Feb!E19,Siteminder!$K$5:$K$150)</f>
        <v>7</v>
      </c>
      <c r="V19" s="294">
        <f ca="1">SUMIF(Transbank!$A$2:$A$494,B19,Transbank!$L$2:$L$433)+(I19+M19)+(J19+N19)*EERR!$D$2</f>
        <v>822691.35</v>
      </c>
      <c r="W19" s="294">
        <f ca="1">V19/EERR!$D$2</f>
        <v>1378.5042727882037</v>
      </c>
      <c r="X19" s="162">
        <f t="shared" ca="1" si="2"/>
        <v>8059.3500000000931</v>
      </c>
      <c r="Y19" s="162">
        <f t="shared" si="3"/>
        <v>0</v>
      </c>
      <c r="Z19" s="162">
        <f t="shared" si="4"/>
        <v>0</v>
      </c>
      <c r="AA19" s="153">
        <f>IFERROR(VLOOKUP(A19,#REF!,8,FALSE),0)</f>
        <v>0</v>
      </c>
      <c r="AB19" s="39">
        <f t="shared" si="5"/>
        <v>1365</v>
      </c>
    </row>
    <row r="20" spans="1:28" s="153" customFormat="1" ht="15" customHeight="1" x14ac:dyDescent="0.3">
      <c r="A20" s="272">
        <v>3038</v>
      </c>
      <c r="B20" s="272">
        <v>40773</v>
      </c>
      <c r="C20" s="273" t="s">
        <v>1085</v>
      </c>
      <c r="D20" s="273" t="s">
        <v>307</v>
      </c>
      <c r="E20" s="273">
        <v>1238840773</v>
      </c>
      <c r="F20" s="274">
        <v>43139</v>
      </c>
      <c r="G20" s="274">
        <v>43140</v>
      </c>
      <c r="H20" s="273">
        <v>1</v>
      </c>
      <c r="I20" s="275"/>
      <c r="J20" s="276"/>
      <c r="K20" s="275"/>
      <c r="L20" s="275"/>
      <c r="M20" s="275"/>
      <c r="N20" s="275"/>
      <c r="O20" s="275"/>
      <c r="P20" s="275">
        <v>205</v>
      </c>
      <c r="Q20" s="158">
        <f t="shared" ref="Q20:Q22" si="6">J20+L20+N20+P20</f>
        <v>205</v>
      </c>
      <c r="R20" s="158">
        <f t="shared" ref="R20:R22" si="7">K20+M20+I20+O20</f>
        <v>0</v>
      </c>
      <c r="S20" s="156">
        <f>IF(H20=0,(Q20+R20/EERR!$D$2/1.19),(Q20+R20/EERR!$D$2/1.19)/H20)</f>
        <v>205</v>
      </c>
      <c r="T20" s="158">
        <f>R20+Q20*EERR!$D$2</f>
        <v>122343.99999999999</v>
      </c>
      <c r="U20" s="153">
        <f ca="1">SUMIF(Siteminder!$A$5:$K$150,Feb!E20,Siteminder!$K$5:$K$150)</f>
        <v>0</v>
      </c>
      <c r="V20" s="294">
        <f ca="1">SUMIF(Transbank!$A$2:$A$494,B20,Transbank!$L$2:$L$433)+(I20+M20)+(J20+N20)*EERR!$D$2</f>
        <v>130816.65</v>
      </c>
      <c r="W20" s="294">
        <f ca="1">V20/EERR!$D$2</f>
        <v>219.19679959785523</v>
      </c>
      <c r="X20" s="162"/>
      <c r="Y20" s="162"/>
      <c r="Z20" s="162"/>
      <c r="AB20" s="39"/>
    </row>
    <row r="21" spans="1:28" s="153" customFormat="1" ht="15" customHeight="1" x14ac:dyDescent="0.3">
      <c r="A21" s="272">
        <v>2993</v>
      </c>
      <c r="B21" s="272">
        <v>87176</v>
      </c>
      <c r="C21" s="273" t="s">
        <v>1086</v>
      </c>
      <c r="D21" s="273" t="s">
        <v>307</v>
      </c>
      <c r="E21" s="273">
        <v>1327587176</v>
      </c>
      <c r="F21" s="274">
        <v>43141</v>
      </c>
      <c r="G21" s="274">
        <v>43144</v>
      </c>
      <c r="H21" s="273">
        <v>3</v>
      </c>
      <c r="I21" s="275"/>
      <c r="J21" s="276">
        <v>390</v>
      </c>
      <c r="K21" s="275"/>
      <c r="L21" s="275"/>
      <c r="M21" s="275"/>
      <c r="N21" s="275"/>
      <c r="O21" s="275"/>
      <c r="P21" s="275">
        <v>195</v>
      </c>
      <c r="Q21" s="158">
        <f t="shared" si="6"/>
        <v>585</v>
      </c>
      <c r="R21" s="158">
        <f t="shared" si="7"/>
        <v>0</v>
      </c>
      <c r="S21" s="156">
        <f>IF(H21=0,(Q21+R21/EERR!$D$2/1.19),(Q21+R21/EERR!$D$2/1.19)/H21)</f>
        <v>195</v>
      </c>
      <c r="T21" s="158">
        <f>R21+Q21*EERR!$D$2</f>
        <v>349128</v>
      </c>
      <c r="U21" s="153">
        <f ca="1">SUMIF(Siteminder!$A$5:$K$150,Feb!E21,Siteminder!$K$5:$K$150)</f>
        <v>3</v>
      </c>
      <c r="V21" s="294">
        <f ca="1">SUMIF(Transbank!$A$2:$A$494,B21,Transbank!$L$2:$L$433)+(I21+M21)+(J21+N21)*EERR!$D$2</f>
        <v>357187.35</v>
      </c>
      <c r="W21" s="294">
        <f ca="1">V21/EERR!$D$2</f>
        <v>598.50427278820371</v>
      </c>
      <c r="X21" s="162"/>
      <c r="Y21" s="162"/>
      <c r="Z21" s="162"/>
      <c r="AB21" s="39"/>
    </row>
    <row r="22" spans="1:28" s="153" customFormat="1" ht="15" customHeight="1" x14ac:dyDescent="0.3">
      <c r="A22" s="272">
        <v>3002</v>
      </c>
      <c r="B22" s="272">
        <v>57706</v>
      </c>
      <c r="C22" s="273" t="s">
        <v>1087</v>
      </c>
      <c r="D22" s="273" t="s">
        <v>307</v>
      </c>
      <c r="E22" s="273">
        <v>1914957706</v>
      </c>
      <c r="F22" s="274">
        <v>43141</v>
      </c>
      <c r="G22" s="274">
        <v>43145</v>
      </c>
      <c r="H22" s="273">
        <v>8</v>
      </c>
      <c r="I22" s="275"/>
      <c r="J22" s="276">
        <v>1170</v>
      </c>
      <c r="K22" s="275"/>
      <c r="L22" s="275"/>
      <c r="M22" s="275"/>
      <c r="N22" s="275"/>
      <c r="O22" s="275"/>
      <c r="P22" s="275">
        <v>390</v>
      </c>
      <c r="Q22" s="158">
        <f t="shared" si="6"/>
        <v>1560</v>
      </c>
      <c r="R22" s="158">
        <f t="shared" si="7"/>
        <v>0</v>
      </c>
      <c r="S22" s="156">
        <f>IF(H22=0,(Q22+R22/EERR!$D$2/1.19),(Q22+R22/EERR!$D$2/1.19)/H22)</f>
        <v>195</v>
      </c>
      <c r="T22" s="158">
        <f>R22+Q22*EERR!$D$2</f>
        <v>931007.99999999988</v>
      </c>
      <c r="U22" s="153">
        <f ca="1">SUMIF(Siteminder!$A$5:$K$150,Feb!E22,Siteminder!$K$5:$K$150)</f>
        <v>8</v>
      </c>
      <c r="V22" s="294">
        <f ca="1">SUMIF(Transbank!$A$2:$A$494,B22,Transbank!$L$2:$L$433)+(I22+M22)+(J22+N22)*EERR!$D$2</f>
        <v>947126.7</v>
      </c>
      <c r="W22" s="294">
        <f ca="1">V22/EERR!$D$2</f>
        <v>1587.0085455764076</v>
      </c>
      <c r="X22" s="162"/>
      <c r="Y22" s="162"/>
      <c r="Z22" s="162"/>
      <c r="AB22" s="39"/>
    </row>
    <row r="23" spans="1:28" s="153" customFormat="1" ht="15" customHeight="1" x14ac:dyDescent="0.3">
      <c r="A23" s="272">
        <v>2995</v>
      </c>
      <c r="B23" s="272">
        <v>14012</v>
      </c>
      <c r="C23" s="273" t="s">
        <v>997</v>
      </c>
      <c r="D23" s="273" t="s">
        <v>307</v>
      </c>
      <c r="E23" s="273">
        <v>1956714012</v>
      </c>
      <c r="F23" s="274">
        <v>43142</v>
      </c>
      <c r="G23" s="274">
        <v>43147</v>
      </c>
      <c r="H23" s="273">
        <v>5</v>
      </c>
      <c r="I23" s="275"/>
      <c r="J23" s="276"/>
      <c r="K23" s="275"/>
      <c r="L23" s="275">
        <v>780</v>
      </c>
      <c r="M23" s="275"/>
      <c r="N23" s="275"/>
      <c r="O23" s="275"/>
      <c r="P23" s="275">
        <v>195</v>
      </c>
      <c r="Q23" s="158">
        <f t="shared" si="0"/>
        <v>975</v>
      </c>
      <c r="R23" s="158">
        <f t="shared" si="1"/>
        <v>0</v>
      </c>
      <c r="S23" s="156">
        <f>IF(H23=0,(Q23+R23/EERR!$D$2/1.19),(Q23+R23/EERR!$D$2/1.19)/H23)</f>
        <v>195</v>
      </c>
      <c r="T23" s="158">
        <f>R23+Q23*EERR!$D$2</f>
        <v>581880</v>
      </c>
      <c r="U23" s="153">
        <f ca="1">SUMIF(Siteminder!$A$5:$K$150,Feb!E23,Siteminder!$K$5:$K$150)</f>
        <v>5</v>
      </c>
      <c r="V23" s="294">
        <f ca="1">SUMIF(Transbank!$A$2:$A$494,B23,Transbank!$L$2:$L$433)+(I23+M23)+(J23+N23)*EERR!$D$2</f>
        <v>589939.35</v>
      </c>
      <c r="W23" s="294">
        <f ca="1">V23/EERR!$D$2</f>
        <v>988.50427278820382</v>
      </c>
      <c r="X23" s="162">
        <f t="shared" ca="1" si="2"/>
        <v>8059.3499999999767</v>
      </c>
      <c r="Y23" s="162">
        <f t="shared" si="3"/>
        <v>0</v>
      </c>
      <c r="Z23" s="162">
        <f t="shared" si="4"/>
        <v>0</v>
      </c>
      <c r="AA23" s="153">
        <f>IFERROR(VLOOKUP(A23,#REF!,8,FALSE),0)</f>
        <v>0</v>
      </c>
      <c r="AB23" s="39">
        <f t="shared" si="5"/>
        <v>975</v>
      </c>
    </row>
    <row r="24" spans="1:28" s="153" customFormat="1" ht="15" customHeight="1" x14ac:dyDescent="0.3">
      <c r="A24" s="272">
        <v>2997</v>
      </c>
      <c r="B24" s="272">
        <v>85064</v>
      </c>
      <c r="C24" s="273" t="s">
        <v>1088</v>
      </c>
      <c r="D24" s="273" t="s">
        <v>307</v>
      </c>
      <c r="E24" s="273">
        <v>1323585064</v>
      </c>
      <c r="F24" s="274">
        <v>43142</v>
      </c>
      <c r="G24" s="274">
        <v>43148</v>
      </c>
      <c r="H24" s="273">
        <v>6</v>
      </c>
      <c r="I24" s="275"/>
      <c r="J24" s="276"/>
      <c r="K24" s="275"/>
      <c r="L24" s="275">
        <v>975</v>
      </c>
      <c r="M24" s="275"/>
      <c r="N24" s="275"/>
      <c r="O24" s="275"/>
      <c r="P24" s="275">
        <v>195</v>
      </c>
      <c r="Q24" s="158">
        <f t="shared" si="0"/>
        <v>1170</v>
      </c>
      <c r="R24" s="158">
        <f t="shared" si="1"/>
        <v>0</v>
      </c>
      <c r="S24" s="156">
        <f>IF(H24=0,(Q24+R24/EERR!$D$2/1.19),(Q24+R24/EERR!$D$2/1.19)/H24)</f>
        <v>195</v>
      </c>
      <c r="T24" s="158">
        <f>R24+Q24*EERR!$D$2</f>
        <v>698256</v>
      </c>
      <c r="U24" s="153">
        <f ca="1">SUMIF(Siteminder!$A$5:$K$150,Feb!E24,Siteminder!$K$5:$K$150)</f>
        <v>6</v>
      </c>
      <c r="V24" s="294">
        <f ca="1">SUMIF(Transbank!$A$2:$A$494,B24,Transbank!$L$2:$L$433)+(I24+M24)+(J24+N24)*EERR!$D$2</f>
        <v>706315.35</v>
      </c>
      <c r="W24" s="294">
        <f ca="1">V24/EERR!$D$2</f>
        <v>1183.5042727882037</v>
      </c>
      <c r="X24" s="162">
        <f t="shared" ca="1" si="2"/>
        <v>8059.3499999999767</v>
      </c>
      <c r="Y24" s="162">
        <f t="shared" si="3"/>
        <v>0</v>
      </c>
      <c r="Z24" s="162">
        <f t="shared" si="4"/>
        <v>0</v>
      </c>
      <c r="AA24" s="153">
        <f>IFERROR(VLOOKUP(A24,#REF!,8,FALSE),0)</f>
        <v>0</v>
      </c>
      <c r="AB24" s="39">
        <f t="shared" si="5"/>
        <v>1170</v>
      </c>
    </row>
    <row r="25" spans="1:28" s="153" customFormat="1" ht="15" customHeight="1" x14ac:dyDescent="0.3">
      <c r="A25" s="272">
        <v>2998</v>
      </c>
      <c r="B25" s="272">
        <v>75454</v>
      </c>
      <c r="C25" s="273" t="s">
        <v>1089</v>
      </c>
      <c r="D25" s="273" t="s">
        <v>307</v>
      </c>
      <c r="E25" s="273">
        <v>1389375454</v>
      </c>
      <c r="F25" s="274">
        <v>43143</v>
      </c>
      <c r="G25" s="274">
        <v>43144</v>
      </c>
      <c r="H25" s="273">
        <v>1</v>
      </c>
      <c r="I25" s="275"/>
      <c r="J25" s="276"/>
      <c r="K25" s="275"/>
      <c r="L25" s="275"/>
      <c r="M25" s="275"/>
      <c r="N25" s="275"/>
      <c r="O25" s="275"/>
      <c r="P25" s="275">
        <v>184.5</v>
      </c>
      <c r="Q25" s="158">
        <f t="shared" si="0"/>
        <v>184.5</v>
      </c>
      <c r="R25" s="158">
        <f t="shared" si="1"/>
        <v>0</v>
      </c>
      <c r="S25" s="156">
        <f>IF(H25=0,(Q25+R25/EERR!$D$2/1.19),(Q25+R25/EERR!$D$2/1.19)/H25)</f>
        <v>184.5</v>
      </c>
      <c r="T25" s="158">
        <f>R25+Q25*EERR!$D$2</f>
        <v>110109.59999999999</v>
      </c>
      <c r="U25" s="153">
        <f ca="1">SUMIF(Siteminder!$A$5:$K$150,Feb!E25,Siteminder!$K$5:$K$150)</f>
        <v>1</v>
      </c>
      <c r="V25" s="294">
        <f ca="1">SUMIF(Transbank!$A$2:$A$494,B25,Transbank!$L$2:$L$433)+(I25+M25)+(J25+N25)*EERR!$D$2</f>
        <v>118054.05</v>
      </c>
      <c r="W25" s="294">
        <f ca="1">V25/EERR!$D$2</f>
        <v>197.8117459785523</v>
      </c>
      <c r="X25" s="162">
        <f t="shared" ca="1" si="2"/>
        <v>7944.4500000000116</v>
      </c>
      <c r="Y25" s="162">
        <f t="shared" si="3"/>
        <v>0</v>
      </c>
      <c r="Z25" s="162">
        <f t="shared" si="4"/>
        <v>0</v>
      </c>
      <c r="AA25" s="153">
        <f>IFERROR(VLOOKUP(A25,#REF!,8,FALSE),0)</f>
        <v>0</v>
      </c>
      <c r="AB25" s="39">
        <f t="shared" si="5"/>
        <v>184.5</v>
      </c>
    </row>
    <row r="26" spans="1:28" s="153" customFormat="1" ht="15" customHeight="1" x14ac:dyDescent="0.3">
      <c r="A26" s="272">
        <v>8893</v>
      </c>
      <c r="B26" s="272">
        <v>8893</v>
      </c>
      <c r="C26" s="273" t="s">
        <v>1090</v>
      </c>
      <c r="D26" s="273" t="s">
        <v>307</v>
      </c>
      <c r="E26" s="273">
        <v>1291808893</v>
      </c>
      <c r="F26" s="274">
        <v>43145</v>
      </c>
      <c r="G26" s="274">
        <v>43146</v>
      </c>
      <c r="H26" s="273">
        <v>1</v>
      </c>
      <c r="I26" s="275"/>
      <c r="J26" s="276"/>
      <c r="K26" s="275"/>
      <c r="L26" s="275"/>
      <c r="M26" s="275">
        <v>143613</v>
      </c>
      <c r="N26" s="275"/>
      <c r="O26" s="275"/>
      <c r="P26" s="275"/>
      <c r="Q26" s="158">
        <f t="shared" si="0"/>
        <v>0</v>
      </c>
      <c r="R26" s="158">
        <f t="shared" si="1"/>
        <v>143613</v>
      </c>
      <c r="S26" s="156">
        <f>IF(H26=0,(Q26+R26/EERR!$D$2/1.19),(Q26+R26/EERR!$D$2/1.19)/H26)</f>
        <v>202.21714691238429</v>
      </c>
      <c r="T26" s="158">
        <f>R26+Q26*EERR!$D$2</f>
        <v>143613</v>
      </c>
      <c r="U26" s="153">
        <f ca="1">SUMIF(Siteminder!$A$5:$K$150,Feb!E26,Siteminder!$K$5:$K$150)</f>
        <v>1</v>
      </c>
      <c r="V26" s="294">
        <f ca="1">SUMIF(Transbank!$A$2:$A$494,B26,Transbank!$L$2:$L$433)+(I26+M26)+(J26+N26)*EERR!$D$2</f>
        <v>143613</v>
      </c>
      <c r="W26" s="294">
        <f ca="1">V26/EERR!$D$2</f>
        <v>240.6384048257373</v>
      </c>
      <c r="X26" s="162">
        <f t="shared" ca="1" si="2"/>
        <v>0</v>
      </c>
      <c r="Y26" s="162">
        <f t="shared" si="3"/>
        <v>120683.19327731093</v>
      </c>
      <c r="Z26" s="162">
        <f t="shared" si="4"/>
        <v>0</v>
      </c>
      <c r="AA26" s="153">
        <f>IFERROR(VLOOKUP(A26,#REF!,8,FALSE),0)</f>
        <v>0</v>
      </c>
      <c r="AB26" s="39">
        <f t="shared" si="5"/>
        <v>0</v>
      </c>
    </row>
    <row r="27" spans="1:28" s="153" customFormat="1" ht="15" customHeight="1" x14ac:dyDescent="0.3">
      <c r="A27" s="272">
        <v>3003</v>
      </c>
      <c r="B27" s="272">
        <v>41206</v>
      </c>
      <c r="C27" s="273" t="s">
        <v>1091</v>
      </c>
      <c r="D27" s="273" t="s">
        <v>307</v>
      </c>
      <c r="E27" s="273">
        <v>1158841206</v>
      </c>
      <c r="F27" s="274">
        <v>43145</v>
      </c>
      <c r="G27" s="274">
        <v>43148</v>
      </c>
      <c r="H27" s="273">
        <v>3</v>
      </c>
      <c r="I27" s="275"/>
      <c r="J27" s="276"/>
      <c r="K27" s="275"/>
      <c r="L27" s="275">
        <v>390</v>
      </c>
      <c r="M27" s="275"/>
      <c r="N27" s="275"/>
      <c r="O27" s="275"/>
      <c r="P27" s="275">
        <v>195</v>
      </c>
      <c r="Q27" s="158">
        <f t="shared" si="0"/>
        <v>585</v>
      </c>
      <c r="R27" s="158">
        <f t="shared" si="1"/>
        <v>0</v>
      </c>
      <c r="S27" s="156">
        <f>IF(H27=0,(Q27+R27/EERR!$D$2/1.19),(Q27+R27/EERR!$D$2/1.19)/H27)</f>
        <v>195</v>
      </c>
      <c r="T27" s="158">
        <f>R27+Q27*EERR!$D$2</f>
        <v>349128</v>
      </c>
      <c r="U27" s="153">
        <f ca="1">SUMIF(Siteminder!$A$5:$K$150,Feb!E27,Siteminder!$K$5:$K$150)</f>
        <v>3</v>
      </c>
      <c r="V27" s="294">
        <f ca="1">SUMIF(Transbank!$A$2:$A$494,B27,Transbank!$L$2:$L$433)+(I27+M27)+(J27+N27)*EERR!$D$2</f>
        <v>357187.35</v>
      </c>
      <c r="W27" s="294">
        <f ca="1">V27/EERR!$D$2</f>
        <v>598.50427278820371</v>
      </c>
      <c r="X27" s="162">
        <f t="shared" ca="1" si="2"/>
        <v>8059.3499999999767</v>
      </c>
      <c r="Y27" s="162">
        <f t="shared" si="3"/>
        <v>0</v>
      </c>
      <c r="Z27" s="162">
        <f t="shared" si="4"/>
        <v>0</v>
      </c>
      <c r="AA27" s="153">
        <f>IFERROR(VLOOKUP(A27,#REF!,8,FALSE),0)</f>
        <v>0</v>
      </c>
      <c r="AB27" s="39">
        <f t="shared" si="5"/>
        <v>585</v>
      </c>
    </row>
    <row r="28" spans="1:28" s="153" customFormat="1" ht="15" customHeight="1" x14ac:dyDescent="0.3">
      <c r="A28" s="272">
        <v>37019</v>
      </c>
      <c r="B28" s="272">
        <v>37019</v>
      </c>
      <c r="C28" s="273" t="s">
        <v>1092</v>
      </c>
      <c r="D28" s="273" t="s">
        <v>307</v>
      </c>
      <c r="E28" s="273">
        <v>1817737019</v>
      </c>
      <c r="F28" s="274">
        <v>43145</v>
      </c>
      <c r="G28" s="274">
        <v>43148</v>
      </c>
      <c r="H28" s="273">
        <v>3</v>
      </c>
      <c r="I28" s="275"/>
      <c r="J28" s="276"/>
      <c r="K28" s="275">
        <v>292740</v>
      </c>
      <c r="L28" s="275"/>
      <c r="M28" s="275"/>
      <c r="N28" s="275"/>
      <c r="O28" s="275">
        <v>147345</v>
      </c>
      <c r="P28" s="275"/>
      <c r="Q28" s="158">
        <f t="shared" si="0"/>
        <v>0</v>
      </c>
      <c r="R28" s="158">
        <f t="shared" si="1"/>
        <v>440085</v>
      </c>
      <c r="S28" s="156">
        <f>IF(H28=0,(Q28+R28/EERR!$D$2/1.19),(Q28+R28/EERR!$D$2/1.19)/H28)</f>
        <v>206.55681843783091</v>
      </c>
      <c r="T28" s="158">
        <f>R28+Q28*EERR!$D$2</f>
        <v>440085</v>
      </c>
      <c r="U28" s="153">
        <f ca="1">SUMIF(Siteminder!$A$5:$K$150,Feb!E28,Siteminder!$K$5:$K$150)</f>
        <v>3</v>
      </c>
      <c r="V28" s="294">
        <f ca="1">SUMIF(Transbank!$A$2:$A$494,B28,Transbank!$L$2:$L$433)+(I28+M28)+(J28+N28)*EERR!$D$2</f>
        <v>440085</v>
      </c>
      <c r="W28" s="294">
        <f ca="1">V28/EERR!$D$2</f>
        <v>737.4078418230564</v>
      </c>
      <c r="X28" s="162">
        <f t="shared" ca="1" si="2"/>
        <v>0</v>
      </c>
      <c r="Y28" s="162">
        <f t="shared" si="3"/>
        <v>246000</v>
      </c>
      <c r="Z28" s="162">
        <f t="shared" si="4"/>
        <v>0</v>
      </c>
      <c r="AA28" s="153">
        <f>IFERROR(VLOOKUP(A28,#REF!,8,FALSE),0)</f>
        <v>0</v>
      </c>
      <c r="AB28" s="39">
        <f t="shared" si="5"/>
        <v>0</v>
      </c>
    </row>
    <row r="29" spans="1:28" s="153" customFormat="1" ht="15" customHeight="1" x14ac:dyDescent="0.3">
      <c r="A29" s="272">
        <v>3004</v>
      </c>
      <c r="B29" s="272">
        <v>6187</v>
      </c>
      <c r="C29" s="273" t="s">
        <v>1093</v>
      </c>
      <c r="D29" s="273" t="s">
        <v>307</v>
      </c>
      <c r="E29" s="273">
        <v>1460806187</v>
      </c>
      <c r="F29" s="274">
        <v>43145</v>
      </c>
      <c r="G29" s="274">
        <v>43150</v>
      </c>
      <c r="H29" s="273">
        <v>5</v>
      </c>
      <c r="I29" s="275"/>
      <c r="J29" s="276"/>
      <c r="K29" s="275"/>
      <c r="L29" s="275">
        <v>820</v>
      </c>
      <c r="M29" s="275"/>
      <c r="N29" s="275"/>
      <c r="O29" s="275"/>
      <c r="P29" s="275">
        <v>205</v>
      </c>
      <c r="Q29" s="158">
        <f t="shared" si="0"/>
        <v>1025</v>
      </c>
      <c r="R29" s="158">
        <f t="shared" si="1"/>
        <v>0</v>
      </c>
      <c r="S29" s="156">
        <f>IF(H29=0,(Q29+R29/EERR!$D$2/1.19),(Q29+R29/EERR!$D$2/1.19)/H29)</f>
        <v>205</v>
      </c>
      <c r="T29" s="158">
        <f>R29+Q29*EERR!$D$2</f>
        <v>611720</v>
      </c>
      <c r="U29" s="153">
        <f ca="1">SUMIF(Siteminder!$A$5:$K$150,Feb!E29,Siteminder!$K$5:$K$150)</f>
        <v>5</v>
      </c>
      <c r="V29" s="294">
        <f ca="1">SUMIF(Transbank!$A$2:$A$494,B29,Transbank!$L$2:$L$433)+(I29+M29)+(J29+N29)*EERR!$D$2</f>
        <v>632192.64999999991</v>
      </c>
      <c r="W29" s="294">
        <f ca="1">V29/EERR!$D$2</f>
        <v>1059.3040382037532</v>
      </c>
      <c r="X29" s="162">
        <f t="shared" ca="1" si="2"/>
        <v>20472.649999999907</v>
      </c>
      <c r="Y29" s="162">
        <f t="shared" si="3"/>
        <v>0</v>
      </c>
      <c r="Z29" s="162">
        <f t="shared" si="4"/>
        <v>0</v>
      </c>
      <c r="AA29" s="153">
        <f>IFERROR(VLOOKUP(A29,#REF!,8,FALSE),0)</f>
        <v>0</v>
      </c>
      <c r="AB29" s="39">
        <f t="shared" si="5"/>
        <v>1025</v>
      </c>
    </row>
    <row r="30" spans="1:28" s="153" customFormat="1" ht="15" customHeight="1" x14ac:dyDescent="0.3">
      <c r="A30" s="272">
        <v>3005</v>
      </c>
      <c r="B30" s="272">
        <v>43630</v>
      </c>
      <c r="C30" s="273" t="s">
        <v>1094</v>
      </c>
      <c r="D30" s="273" t="s">
        <v>307</v>
      </c>
      <c r="E30" s="273">
        <v>1533043630</v>
      </c>
      <c r="F30" s="274">
        <v>43145</v>
      </c>
      <c r="G30" s="274">
        <v>43146</v>
      </c>
      <c r="H30" s="273">
        <v>1</v>
      </c>
      <c r="I30" s="275"/>
      <c r="J30" s="276"/>
      <c r="K30" s="275"/>
      <c r="L30" s="275"/>
      <c r="M30" s="275"/>
      <c r="N30" s="275"/>
      <c r="O30" s="275"/>
      <c r="P30" s="275">
        <v>175.5</v>
      </c>
      <c r="Q30" s="158">
        <f t="shared" si="0"/>
        <v>175.5</v>
      </c>
      <c r="R30" s="158">
        <f t="shared" si="1"/>
        <v>0</v>
      </c>
      <c r="S30" s="156">
        <f>IF(H30=0,(Q30+R30/EERR!$D$2/1.19),(Q30+R30/EERR!$D$2/1.19)/H30)</f>
        <v>175.5</v>
      </c>
      <c r="T30" s="158">
        <f>R30+Q30*EERR!$D$2</f>
        <v>104738.4</v>
      </c>
      <c r="U30" s="153">
        <f ca="1">SUMIF(Siteminder!$A$5:$K$150,Feb!E30,Siteminder!$K$5:$K$150)</f>
        <v>1</v>
      </c>
      <c r="V30" s="294">
        <f ca="1">SUMIF(Transbank!$A$2:$A$494,B30,Transbank!$L$2:$L$433)+(I30+M30)+(J30+N30)*EERR!$D$2</f>
        <v>112310.88</v>
      </c>
      <c r="W30" s="294">
        <f ca="1">V30/EERR!$D$2</f>
        <v>188.18847184986598</v>
      </c>
      <c r="X30" s="162">
        <f t="shared" ca="1" si="2"/>
        <v>7572.4800000000105</v>
      </c>
      <c r="Y30" s="162">
        <f t="shared" si="3"/>
        <v>0</v>
      </c>
      <c r="Z30" s="162">
        <f t="shared" si="4"/>
        <v>0</v>
      </c>
      <c r="AA30" s="153">
        <f>IFERROR(VLOOKUP(A30,#REF!,8,FALSE),0)</f>
        <v>0</v>
      </c>
      <c r="AB30" s="39">
        <f t="shared" si="5"/>
        <v>175.5</v>
      </c>
    </row>
    <row r="31" spans="1:28" s="153" customFormat="1" ht="15" customHeight="1" x14ac:dyDescent="0.3">
      <c r="A31" s="272">
        <v>3006</v>
      </c>
      <c r="B31" s="272">
        <v>39246</v>
      </c>
      <c r="C31" s="273" t="s">
        <v>1095</v>
      </c>
      <c r="D31" s="273" t="s">
        <v>307</v>
      </c>
      <c r="E31" s="273">
        <v>1980739246</v>
      </c>
      <c r="F31" s="274">
        <v>43146</v>
      </c>
      <c r="G31" s="274">
        <v>43152</v>
      </c>
      <c r="H31" s="273">
        <v>6</v>
      </c>
      <c r="I31" s="275"/>
      <c r="J31" s="276"/>
      <c r="K31" s="275"/>
      <c r="L31" s="275">
        <v>975</v>
      </c>
      <c r="M31" s="275"/>
      <c r="N31" s="275"/>
      <c r="O31" s="275"/>
      <c r="P31" s="275">
        <v>195</v>
      </c>
      <c r="Q31" s="158">
        <f t="shared" si="0"/>
        <v>1170</v>
      </c>
      <c r="R31" s="158">
        <f t="shared" si="1"/>
        <v>0</v>
      </c>
      <c r="S31" s="156">
        <f>IF(H31=0,(Q31+R31/EERR!$D$2/1.19),(Q31+R31/EERR!$D$2/1.19)/H31)</f>
        <v>195</v>
      </c>
      <c r="T31" s="158">
        <f>R31+Q31*EERR!$D$2</f>
        <v>698256</v>
      </c>
      <c r="U31" s="153">
        <f ca="1">SUMIF(Siteminder!$A$5:$K$150,Feb!E31,Siteminder!$K$5:$K$150)</f>
        <v>6</v>
      </c>
      <c r="V31" s="294">
        <f ca="1">SUMIF(Transbank!$A$2:$A$494,B31,Transbank!$L$2:$L$433)+(I31+M31)+(J31+N31)*EERR!$D$2</f>
        <v>706315.35</v>
      </c>
      <c r="W31" s="294">
        <f ca="1">V31/EERR!$D$2</f>
        <v>1183.5042727882037</v>
      </c>
      <c r="X31" s="162">
        <f t="shared" ca="1" si="2"/>
        <v>8059.3499999999767</v>
      </c>
      <c r="Y31" s="162">
        <f t="shared" si="3"/>
        <v>0</v>
      </c>
      <c r="Z31" s="162">
        <f t="shared" si="4"/>
        <v>0</v>
      </c>
      <c r="AA31" s="153">
        <f>IFERROR(VLOOKUP(A31,#REF!,8,FALSE),0)</f>
        <v>0</v>
      </c>
      <c r="AB31" s="39">
        <f t="shared" si="5"/>
        <v>1170</v>
      </c>
    </row>
    <row r="32" spans="1:28" s="153" customFormat="1" ht="15" customHeight="1" x14ac:dyDescent="0.3">
      <c r="A32" s="272">
        <v>3007</v>
      </c>
      <c r="B32" s="272">
        <v>14536</v>
      </c>
      <c r="C32" s="273" t="s">
        <v>1096</v>
      </c>
      <c r="D32" s="273" t="s">
        <v>307</v>
      </c>
      <c r="E32" s="273">
        <v>1046614536</v>
      </c>
      <c r="F32" s="274">
        <v>43146</v>
      </c>
      <c r="G32" s="274">
        <v>43147</v>
      </c>
      <c r="H32" s="273">
        <v>1</v>
      </c>
      <c r="I32" s="275"/>
      <c r="J32" s="276"/>
      <c r="K32" s="275"/>
      <c r="L32" s="275"/>
      <c r="M32" s="275"/>
      <c r="N32" s="275"/>
      <c r="O32" s="275"/>
      <c r="P32" s="275">
        <v>184.5</v>
      </c>
      <c r="Q32" s="158">
        <f>J32+L32+N32+P32</f>
        <v>184.5</v>
      </c>
      <c r="R32" s="158">
        <f t="shared" si="1"/>
        <v>0</v>
      </c>
      <c r="S32" s="156">
        <f>IF(H32=0,(Q32+R32/EERR!$D$2/1.19),(Q32+R32/EERR!$D$2/1.19)/H32)</f>
        <v>184.5</v>
      </c>
      <c r="T32" s="158">
        <f>R32+Q32*EERR!$D$2</f>
        <v>110109.59999999999</v>
      </c>
      <c r="U32" s="153">
        <f ca="1">SUMIF(Siteminder!$A$5:$K$150,Feb!E32,Siteminder!$K$5:$K$150)</f>
        <v>1</v>
      </c>
      <c r="V32" s="294">
        <f ca="1">SUMIF(Transbank!$A$2:$A$494,B32,Transbank!$L$2:$L$433)+(I32+M32)+(J32+N32)*EERR!$D$2</f>
        <v>118054.05</v>
      </c>
      <c r="W32" s="294">
        <f ca="1">V32/EERR!$D$2</f>
        <v>197.8117459785523</v>
      </c>
      <c r="X32" s="162">
        <f t="shared" ca="1" si="2"/>
        <v>7944.4500000000116</v>
      </c>
      <c r="Y32" s="162">
        <f t="shared" si="3"/>
        <v>0</v>
      </c>
      <c r="Z32" s="162">
        <f t="shared" si="4"/>
        <v>0</v>
      </c>
      <c r="AA32" s="153">
        <f>IFERROR(VLOOKUP(A32,#REF!,8,FALSE),0)</f>
        <v>0</v>
      </c>
      <c r="AB32" s="39">
        <f t="shared" si="5"/>
        <v>184.5</v>
      </c>
    </row>
    <row r="33" spans="1:28" s="153" customFormat="1" ht="15" customHeight="1" x14ac:dyDescent="0.3">
      <c r="A33" s="272">
        <v>85900</v>
      </c>
      <c r="B33" s="272">
        <v>85900</v>
      </c>
      <c r="C33" s="273" t="s">
        <v>1097</v>
      </c>
      <c r="D33" s="273" t="s">
        <v>307</v>
      </c>
      <c r="E33" s="273">
        <v>1515985900</v>
      </c>
      <c r="F33" s="274">
        <v>43146</v>
      </c>
      <c r="G33" s="274">
        <v>43152</v>
      </c>
      <c r="H33" s="273">
        <v>12</v>
      </c>
      <c r="I33" s="275"/>
      <c r="J33" s="276"/>
      <c r="K33" s="275">
        <v>1246805</v>
      </c>
      <c r="L33" s="275"/>
      <c r="M33" s="275"/>
      <c r="N33" s="275"/>
      <c r="O33" s="275">
        <v>252284</v>
      </c>
      <c r="P33" s="275"/>
      <c r="Q33" s="158">
        <f t="shared" si="0"/>
        <v>0</v>
      </c>
      <c r="R33" s="158">
        <f t="shared" si="1"/>
        <v>1499089</v>
      </c>
      <c r="S33" s="156">
        <f>IF(H33=0,(Q33+R33/EERR!$D$2/1.19),(Q33+R33/EERR!$D$2/1.19)/H33)</f>
        <v>175.90184532257948</v>
      </c>
      <c r="T33" s="158">
        <f>R33+Q33*EERR!$D$2</f>
        <v>1499089</v>
      </c>
      <c r="U33" s="153">
        <f ca="1">SUMIF(Siteminder!$A$5:$K$150,Feb!E33,Siteminder!$K$5:$K$150)</f>
        <v>12</v>
      </c>
      <c r="V33" s="294">
        <f ca="1">SUMIF(Transbank!$A$2:$A$494,B33,Transbank!$L$2:$L$433)+(I33+M33)+(J33+N33)*EERR!$D$2</f>
        <v>1499089</v>
      </c>
      <c r="W33" s="294">
        <f ca="1">V33/EERR!$D$2</f>
        <v>2511.8783512064347</v>
      </c>
      <c r="X33" s="162">
        <f t="shared" ca="1" si="2"/>
        <v>0</v>
      </c>
      <c r="Y33" s="162">
        <f t="shared" si="3"/>
        <v>1047735.2941176471</v>
      </c>
      <c r="Z33" s="162">
        <f t="shared" si="4"/>
        <v>0</v>
      </c>
      <c r="AA33" s="153">
        <f>IFERROR(VLOOKUP(A33,#REF!,8,FALSE),0)</f>
        <v>0</v>
      </c>
      <c r="AB33" s="39">
        <f t="shared" si="5"/>
        <v>0</v>
      </c>
    </row>
    <row r="34" spans="1:28" s="153" customFormat="1" ht="15" customHeight="1" x14ac:dyDescent="0.3">
      <c r="A34" s="272">
        <v>3010</v>
      </c>
      <c r="B34" s="272">
        <v>80746</v>
      </c>
      <c r="C34" s="273" t="s">
        <v>1098</v>
      </c>
      <c r="D34" s="273" t="s">
        <v>307</v>
      </c>
      <c r="E34" s="273">
        <v>1274780746</v>
      </c>
      <c r="F34" s="274">
        <v>43147</v>
      </c>
      <c r="G34" s="274">
        <v>43149</v>
      </c>
      <c r="H34" s="273">
        <v>2</v>
      </c>
      <c r="I34" s="275"/>
      <c r="J34" s="276">
        <v>184.5</v>
      </c>
      <c r="K34" s="275"/>
      <c r="L34" s="275"/>
      <c r="M34" s="275"/>
      <c r="N34" s="275"/>
      <c r="O34" s="275"/>
      <c r="P34" s="275">
        <v>184.5</v>
      </c>
      <c r="Q34" s="158">
        <f t="shared" si="0"/>
        <v>369</v>
      </c>
      <c r="R34" s="158">
        <f t="shared" si="1"/>
        <v>0</v>
      </c>
      <c r="S34" s="156">
        <f>IF(H34=0,(Q34+R34/EERR!$D$2/1.19),(Q34+R34/EERR!$D$2/1.19)/H34)</f>
        <v>184.5</v>
      </c>
      <c r="T34" s="158">
        <f>R34+Q34*EERR!$D$2</f>
        <v>220219.19999999998</v>
      </c>
      <c r="U34" s="153">
        <f ca="1">SUMIF(Siteminder!$A$5:$K$150,Feb!E34,Siteminder!$K$5:$K$150)</f>
        <v>2</v>
      </c>
      <c r="V34" s="294">
        <f ca="1">SUMIF(Transbank!$A$2:$A$494,B34,Transbank!$L$2:$L$433)+(I34+M34)+(J34+N34)*EERR!$D$2</f>
        <v>228163.65</v>
      </c>
      <c r="W34" s="294">
        <f ca="1">V34/EERR!$D$2</f>
        <v>382.31174597855232</v>
      </c>
      <c r="X34" s="162">
        <f t="shared" ca="1" si="2"/>
        <v>7944.4500000000116</v>
      </c>
      <c r="Y34" s="162">
        <f t="shared" si="3"/>
        <v>0</v>
      </c>
      <c r="Z34" s="162">
        <f t="shared" si="4"/>
        <v>0</v>
      </c>
      <c r="AA34" s="153">
        <f>IFERROR(VLOOKUP(A34,#REF!,8,FALSE),0)</f>
        <v>0</v>
      </c>
      <c r="AB34" s="39">
        <f t="shared" si="5"/>
        <v>369</v>
      </c>
    </row>
    <row r="35" spans="1:28" s="153" customFormat="1" ht="15" customHeight="1" x14ac:dyDescent="0.3">
      <c r="A35" s="272">
        <v>3011</v>
      </c>
      <c r="B35" s="272">
        <v>21327</v>
      </c>
      <c r="C35" s="273" t="s">
        <v>1099</v>
      </c>
      <c r="D35" s="273" t="s">
        <v>307</v>
      </c>
      <c r="E35" s="273">
        <v>1262721327</v>
      </c>
      <c r="F35" s="274">
        <v>43148</v>
      </c>
      <c r="G35" s="274">
        <v>43149</v>
      </c>
      <c r="H35" s="273">
        <v>1</v>
      </c>
      <c r="I35" s="275"/>
      <c r="J35" s="276"/>
      <c r="K35" s="275"/>
      <c r="L35" s="275"/>
      <c r="M35" s="275"/>
      <c r="N35" s="275"/>
      <c r="O35" s="275"/>
      <c r="P35" s="275">
        <v>205</v>
      </c>
      <c r="Q35" s="158">
        <f t="shared" si="0"/>
        <v>205</v>
      </c>
      <c r="R35" s="158">
        <f t="shared" si="1"/>
        <v>0</v>
      </c>
      <c r="S35" s="156">
        <f>IF(H35=0,(Q35+R35/EERR!$D$2/1.19),(Q35+R35/EERR!$D$2/1.19)/H35)</f>
        <v>205</v>
      </c>
      <c r="T35" s="158">
        <f>R35+Q35*EERR!$D$2</f>
        <v>122343.99999999999</v>
      </c>
      <c r="U35" s="153">
        <f ca="1">SUMIF(Siteminder!$A$5:$K$150,Feb!E35,Siteminder!$K$5:$K$150)</f>
        <v>1</v>
      </c>
      <c r="V35" s="294">
        <f ca="1">SUMIF(Transbank!$A$2:$A$494,B35,Transbank!$L$2:$L$433)+(I35+M35)+(J35+N35)*EERR!$D$2</f>
        <v>122343.99999999999</v>
      </c>
      <c r="W35" s="294">
        <f ca="1">V35/EERR!$D$2</f>
        <v>205</v>
      </c>
      <c r="X35" s="162">
        <f t="shared" ca="1" si="2"/>
        <v>0</v>
      </c>
      <c r="Y35" s="162">
        <f t="shared" si="3"/>
        <v>0</v>
      </c>
      <c r="Z35" s="162">
        <f t="shared" si="4"/>
        <v>0</v>
      </c>
      <c r="AA35" s="153">
        <f>IFERROR(VLOOKUP(A35,#REF!,8,FALSE),0)</f>
        <v>0</v>
      </c>
      <c r="AB35" s="39">
        <f t="shared" si="5"/>
        <v>205</v>
      </c>
    </row>
    <row r="36" spans="1:28" s="153" customFormat="1" ht="15" customHeight="1" x14ac:dyDescent="0.3">
      <c r="A36" s="272">
        <v>3012</v>
      </c>
      <c r="B36" s="272">
        <v>29500</v>
      </c>
      <c r="C36" s="273" t="s">
        <v>1100</v>
      </c>
      <c r="D36" s="273" t="s">
        <v>307</v>
      </c>
      <c r="E36" s="273">
        <v>1845629500</v>
      </c>
      <c r="F36" s="274">
        <v>43148</v>
      </c>
      <c r="G36" s="274">
        <v>43150</v>
      </c>
      <c r="H36" s="273">
        <v>2</v>
      </c>
      <c r="I36" s="275"/>
      <c r="J36" s="276"/>
      <c r="K36" s="275"/>
      <c r="L36" s="275">
        <v>205</v>
      </c>
      <c r="M36" s="275"/>
      <c r="N36" s="275"/>
      <c r="O36" s="275"/>
      <c r="P36" s="275">
        <v>205</v>
      </c>
      <c r="Q36" s="158">
        <f t="shared" si="0"/>
        <v>410</v>
      </c>
      <c r="R36" s="158">
        <f t="shared" si="1"/>
        <v>0</v>
      </c>
      <c r="S36" s="156">
        <f>IF(H36=0,(Q36+R36/EERR!$D$2/1.19),(Q36+R36/EERR!$D$2/1.19)/H36)</f>
        <v>205</v>
      </c>
      <c r="T36" s="158">
        <f>R36+Q36*EERR!$D$2</f>
        <v>244687.99999999997</v>
      </c>
      <c r="U36" s="153">
        <f ca="1">SUMIF(Siteminder!$A$5:$K$150,Feb!E36,Siteminder!$K$5:$K$150)</f>
        <v>2</v>
      </c>
      <c r="V36" s="294">
        <f ca="1">SUMIF(Transbank!$A$2:$A$494,B36,Transbank!$L$2:$L$433)+(I36+M36)+(J36+N36)*EERR!$D$2</f>
        <v>244687.99999999997</v>
      </c>
      <c r="W36" s="294">
        <f ca="1">V36/EERR!$D$2</f>
        <v>410</v>
      </c>
      <c r="X36" s="162">
        <f t="shared" ca="1" si="2"/>
        <v>0</v>
      </c>
      <c r="Y36" s="162">
        <f t="shared" si="3"/>
        <v>0</v>
      </c>
      <c r="Z36" s="162">
        <f t="shared" si="4"/>
        <v>0</v>
      </c>
      <c r="AA36" s="153">
        <f>IFERROR(VLOOKUP(A36,#REF!,8,FALSE),0)</f>
        <v>0</v>
      </c>
      <c r="AB36" s="39">
        <f t="shared" si="5"/>
        <v>410</v>
      </c>
    </row>
    <row r="37" spans="1:28" s="153" customFormat="1" ht="15" customHeight="1" x14ac:dyDescent="0.3">
      <c r="A37" s="272">
        <v>3014</v>
      </c>
      <c r="B37" s="272">
        <v>77003</v>
      </c>
      <c r="C37" s="273" t="s">
        <v>1102</v>
      </c>
      <c r="D37" s="273" t="s">
        <v>307</v>
      </c>
      <c r="E37" s="273">
        <v>1343377003</v>
      </c>
      <c r="F37" s="274">
        <v>43149</v>
      </c>
      <c r="G37" s="274">
        <v>43156</v>
      </c>
      <c r="H37" s="273">
        <v>14</v>
      </c>
      <c r="I37" s="275"/>
      <c r="J37" s="276"/>
      <c r="K37" s="275"/>
      <c r="L37" s="275">
        <v>2340</v>
      </c>
      <c r="M37" s="275"/>
      <c r="N37" s="275"/>
      <c r="O37" s="275"/>
      <c r="P37" s="275">
        <v>390</v>
      </c>
      <c r="Q37" s="158">
        <f t="shared" si="0"/>
        <v>2730</v>
      </c>
      <c r="R37" s="158">
        <f t="shared" si="1"/>
        <v>0</v>
      </c>
      <c r="S37" s="156">
        <f>IF(H37=0,(Q37+R37/EERR!$D$2/1.19),(Q37+R37/EERR!$D$2/1.19)/H37)</f>
        <v>195</v>
      </c>
      <c r="T37" s="158">
        <f>R37+Q37*EERR!$D$2</f>
        <v>1629263.9999999998</v>
      </c>
      <c r="U37" s="153">
        <f ca="1">SUMIF(Siteminder!$A$5:$K$150,Feb!E37,Siteminder!$K$5:$K$150)</f>
        <v>14</v>
      </c>
      <c r="V37" s="294">
        <f ca="1">SUMIF(Transbank!$A$2:$A$494,B37,Transbank!$L$2:$L$433)+(I37+M37)+(J37+N37)*EERR!$D$2</f>
        <v>1645382.7</v>
      </c>
      <c r="W37" s="294">
        <f ca="1">V37/EERR!$D$2</f>
        <v>2757.0085455764074</v>
      </c>
      <c r="X37" s="162">
        <f t="shared" ca="1" si="2"/>
        <v>16118.700000000186</v>
      </c>
      <c r="Y37" s="162">
        <f t="shared" si="3"/>
        <v>0</v>
      </c>
      <c r="Z37" s="162">
        <f t="shared" si="4"/>
        <v>0</v>
      </c>
      <c r="AA37" s="153">
        <f>IFERROR(VLOOKUP(A37,#REF!,8,FALSE),0)</f>
        <v>0</v>
      </c>
      <c r="AB37" s="39">
        <f t="shared" si="5"/>
        <v>2730</v>
      </c>
    </row>
    <row r="38" spans="1:28" s="153" customFormat="1" ht="15" customHeight="1" x14ac:dyDescent="0.3">
      <c r="A38" s="272">
        <v>3015</v>
      </c>
      <c r="B38" s="272">
        <v>10520</v>
      </c>
      <c r="C38" s="273" t="s">
        <v>1098</v>
      </c>
      <c r="D38" s="273" t="s">
        <v>307</v>
      </c>
      <c r="E38" s="273">
        <v>1717310520</v>
      </c>
      <c r="F38" s="274">
        <v>43149</v>
      </c>
      <c r="G38" s="274">
        <v>43150</v>
      </c>
      <c r="H38" s="273">
        <v>1</v>
      </c>
      <c r="I38" s="275"/>
      <c r="J38" s="276"/>
      <c r="K38" s="275"/>
      <c r="L38" s="275">
        <v>205</v>
      </c>
      <c r="M38" s="275"/>
      <c r="N38" s="275"/>
      <c r="O38" s="275"/>
      <c r="P38" s="275"/>
      <c r="Q38" s="158">
        <f t="shared" si="0"/>
        <v>205</v>
      </c>
      <c r="R38" s="158">
        <f t="shared" si="1"/>
        <v>0</v>
      </c>
      <c r="S38" s="156">
        <f>IF(H38=0,(Q38+R38/EERR!$D$2/1.19),(Q38+R38/EERR!$D$2/1.19)/H38)</f>
        <v>205</v>
      </c>
      <c r="T38" s="158">
        <f>R38+Q38*EERR!$D$2</f>
        <v>122343.99999999999</v>
      </c>
      <c r="U38" s="153">
        <f ca="1">SUMIF(Siteminder!$A$5:$K$150,Feb!E38,Siteminder!$K$5:$K$150)</f>
        <v>1</v>
      </c>
      <c r="V38" s="294">
        <f ca="1">SUMIF(Transbank!$A$2:$A$494,B38,Transbank!$L$2:$L$433)+(I38+M38)+(J38+N38)*EERR!$D$2</f>
        <v>130816.65</v>
      </c>
      <c r="W38" s="294">
        <f ca="1">V38/EERR!$D$2</f>
        <v>219.19679959785523</v>
      </c>
      <c r="X38" s="162">
        <f t="shared" ca="1" si="2"/>
        <v>8472.6500000000087</v>
      </c>
      <c r="Y38" s="162">
        <f t="shared" si="3"/>
        <v>0</v>
      </c>
      <c r="Z38" s="162">
        <f t="shared" si="4"/>
        <v>0</v>
      </c>
      <c r="AA38" s="153">
        <f>IFERROR(VLOOKUP(A38,#REF!,8,FALSE),0)</f>
        <v>0</v>
      </c>
      <c r="AB38" s="39">
        <f t="shared" si="5"/>
        <v>205</v>
      </c>
    </row>
    <row r="39" spans="1:28" s="153" customFormat="1" ht="15" customHeight="1" x14ac:dyDescent="0.3">
      <c r="A39" s="272">
        <v>3016</v>
      </c>
      <c r="B39" s="272">
        <v>78073</v>
      </c>
      <c r="C39" s="273" t="s">
        <v>1103</v>
      </c>
      <c r="D39" s="273" t="s">
        <v>307</v>
      </c>
      <c r="E39" s="273">
        <v>1086678073</v>
      </c>
      <c r="F39" s="274">
        <v>43149</v>
      </c>
      <c r="G39" s="274">
        <v>43150</v>
      </c>
      <c r="H39" s="273">
        <v>1</v>
      </c>
      <c r="I39" s="275"/>
      <c r="J39" s="276"/>
      <c r="K39" s="275"/>
      <c r="L39" s="275"/>
      <c r="M39" s="275"/>
      <c r="N39" s="275"/>
      <c r="O39" s="275"/>
      <c r="P39" s="275">
        <v>184.5</v>
      </c>
      <c r="Q39" s="158">
        <f t="shared" si="0"/>
        <v>184.5</v>
      </c>
      <c r="R39" s="158">
        <f t="shared" si="1"/>
        <v>0</v>
      </c>
      <c r="S39" s="156">
        <f>IF(H39=0,(Q39+R39/EERR!$D$2/1.19),(Q39+R39/EERR!$D$2/1.19)/H39)</f>
        <v>184.5</v>
      </c>
      <c r="T39" s="158">
        <f>R39+Q39*EERR!$D$2</f>
        <v>110109.59999999999</v>
      </c>
      <c r="U39" s="153">
        <f ca="1">SUMIF(Siteminder!$A$5:$K$150,Feb!E39,Siteminder!$K$5:$K$150)</f>
        <v>1</v>
      </c>
      <c r="V39" s="294">
        <f ca="1">SUMIF(Transbank!$A$2:$A$494,B39,Transbank!$L$2:$L$433)+(I39+M39)+(J39+N39)*EERR!$D$2</f>
        <v>118054.05</v>
      </c>
      <c r="W39" s="294">
        <f ca="1">V39/EERR!$D$2</f>
        <v>197.8117459785523</v>
      </c>
      <c r="X39" s="162">
        <f t="shared" ca="1" si="2"/>
        <v>7944.4500000000116</v>
      </c>
      <c r="Y39" s="162">
        <f t="shared" si="3"/>
        <v>0</v>
      </c>
      <c r="Z39" s="162">
        <f t="shared" si="4"/>
        <v>0</v>
      </c>
      <c r="AA39" s="153">
        <f>IFERROR(VLOOKUP(A39,#REF!,8,FALSE),0)</f>
        <v>0</v>
      </c>
      <c r="AB39" s="39">
        <f t="shared" si="5"/>
        <v>184.5</v>
      </c>
    </row>
    <row r="40" spans="1:28" s="153" customFormat="1" ht="15" customHeight="1" x14ac:dyDescent="0.3">
      <c r="A40" s="317">
        <v>3017</v>
      </c>
      <c r="B40" s="317">
        <v>59576</v>
      </c>
      <c r="C40" s="318" t="s">
        <v>1104</v>
      </c>
      <c r="D40" s="273" t="s">
        <v>307</v>
      </c>
      <c r="E40" s="273">
        <v>1580659576</v>
      </c>
      <c r="F40" s="274">
        <v>43150</v>
      </c>
      <c r="G40" s="274">
        <v>43152</v>
      </c>
      <c r="H40" s="273">
        <v>2</v>
      </c>
      <c r="I40" s="275"/>
      <c r="J40" s="276"/>
      <c r="K40" s="275"/>
      <c r="L40" s="275">
        <v>410</v>
      </c>
      <c r="M40" s="275"/>
      <c r="N40" s="275"/>
      <c r="O40" s="275"/>
      <c r="P40" s="275"/>
      <c r="Q40" s="158">
        <f t="shared" si="0"/>
        <v>410</v>
      </c>
      <c r="R40" s="158">
        <f t="shared" si="1"/>
        <v>0</v>
      </c>
      <c r="S40" s="156">
        <f>IF(H40=0,(Q40+R40/EERR!$D$2/1.19),(Q40+R40/EERR!$D$2/1.19)/H40)</f>
        <v>205</v>
      </c>
      <c r="T40" s="158">
        <f>R40+Q40*EERR!$D$2</f>
        <v>244687.99999999997</v>
      </c>
      <c r="U40" s="153">
        <f ca="1">SUMIF(Siteminder!$A$5:$K$150,Feb!E40,Siteminder!$K$5:$K$150)</f>
        <v>2</v>
      </c>
      <c r="V40" s="294">
        <f ca="1">SUMIF(Transbank!$A$2:$A$494,B40,Transbank!$L$2:$L$433)+(I40+M40)+(J40+N40)*EERR!$D$2</f>
        <v>247672</v>
      </c>
      <c r="W40" s="294">
        <f ca="1">V40/EERR!$D$2</f>
        <v>415.00000000000006</v>
      </c>
      <c r="X40" s="162">
        <f t="shared" ca="1" si="2"/>
        <v>2984.0000000000291</v>
      </c>
      <c r="Y40" s="162">
        <f t="shared" si="3"/>
        <v>0</v>
      </c>
      <c r="Z40" s="162">
        <f t="shared" si="4"/>
        <v>0</v>
      </c>
      <c r="AA40" s="153">
        <f>IFERROR(VLOOKUP(A40,#REF!,8,FALSE),0)</f>
        <v>0</v>
      </c>
      <c r="AB40" s="39">
        <f t="shared" si="5"/>
        <v>410</v>
      </c>
    </row>
    <row r="41" spans="1:28" s="153" customFormat="1" ht="15" customHeight="1" x14ac:dyDescent="0.3">
      <c r="A41" s="272">
        <v>3021</v>
      </c>
      <c r="B41" s="272">
        <v>87649</v>
      </c>
      <c r="C41" s="273" t="s">
        <v>1105</v>
      </c>
      <c r="D41" s="273" t="s">
        <v>307</v>
      </c>
      <c r="E41" s="273">
        <v>1907687649</v>
      </c>
      <c r="F41" s="274">
        <v>43150</v>
      </c>
      <c r="G41" s="274">
        <v>43152</v>
      </c>
      <c r="H41" s="273">
        <v>2</v>
      </c>
      <c r="I41" s="275"/>
      <c r="J41" s="276"/>
      <c r="K41" s="275"/>
      <c r="L41" s="275">
        <v>369</v>
      </c>
      <c r="M41" s="275"/>
      <c r="N41" s="275"/>
      <c r="O41" s="275"/>
      <c r="P41" s="275"/>
      <c r="Q41" s="158">
        <f t="shared" si="0"/>
        <v>369</v>
      </c>
      <c r="R41" s="158">
        <f t="shared" si="1"/>
        <v>0</v>
      </c>
      <c r="S41" s="156">
        <f>IF(H41=0,(Q41+R41/EERR!$D$2/1.19),(Q41+R41/EERR!$D$2/1.19)/H41)</f>
        <v>184.5</v>
      </c>
      <c r="T41" s="158">
        <f>R41+Q41*EERR!$D$2</f>
        <v>220219.19999999998</v>
      </c>
      <c r="U41" s="153">
        <f ca="1">SUMIF(Siteminder!$A$5:$K$150,Feb!E41,Siteminder!$K$5:$K$150)</f>
        <v>2</v>
      </c>
      <c r="V41" s="294">
        <f ca="1">SUMIF(Transbank!$A$2:$A$494,B41,Transbank!$L$2:$L$433)+(I41+M41)+(J41+N41)*EERR!$D$2</f>
        <v>220219.19999999998</v>
      </c>
      <c r="W41" s="294">
        <f ca="1">V41/EERR!$D$2</f>
        <v>369</v>
      </c>
      <c r="X41" s="162">
        <f t="shared" ca="1" si="2"/>
        <v>0</v>
      </c>
      <c r="Y41" s="162">
        <f t="shared" si="3"/>
        <v>0</v>
      </c>
      <c r="Z41" s="162">
        <f t="shared" si="4"/>
        <v>0</v>
      </c>
      <c r="AA41" s="153">
        <f>IFERROR(VLOOKUP(A41,#REF!,8,FALSE),0)</f>
        <v>0</v>
      </c>
      <c r="AB41" s="39">
        <f t="shared" si="5"/>
        <v>369</v>
      </c>
    </row>
    <row r="42" spans="1:28" s="153" customFormat="1" ht="15" customHeight="1" x14ac:dyDescent="0.3">
      <c r="A42" s="272">
        <v>3018</v>
      </c>
      <c r="B42" s="272">
        <v>67939</v>
      </c>
      <c r="C42" s="273" t="s">
        <v>1106</v>
      </c>
      <c r="D42" s="273" t="s">
        <v>307</v>
      </c>
      <c r="E42" s="273">
        <v>1879467939</v>
      </c>
      <c r="F42" s="274">
        <v>43151</v>
      </c>
      <c r="G42" s="274">
        <v>43159</v>
      </c>
      <c r="H42" s="273">
        <v>8</v>
      </c>
      <c r="I42" s="275"/>
      <c r="J42" s="276"/>
      <c r="K42" s="275"/>
      <c r="L42" s="275">
        <v>1365</v>
      </c>
      <c r="M42" s="275"/>
      <c r="N42" s="275"/>
      <c r="O42" s="275"/>
      <c r="P42" s="275">
        <v>195</v>
      </c>
      <c r="Q42" s="158">
        <f t="shared" si="0"/>
        <v>1560</v>
      </c>
      <c r="R42" s="158">
        <f t="shared" si="1"/>
        <v>0</v>
      </c>
      <c r="S42" s="156">
        <f>IF(H42=0,(Q42+R42/EERR!$D$2/1.19),(Q42+R42/EERR!$D$2/1.19)/H42)</f>
        <v>195</v>
      </c>
      <c r="T42" s="158">
        <f>R42+Q42*EERR!$D$2</f>
        <v>931007.99999999988</v>
      </c>
      <c r="U42" s="153">
        <f ca="1">SUMIF(Siteminder!$A$5:$K$150,Feb!E42,Siteminder!$K$5:$K$150)</f>
        <v>8</v>
      </c>
      <c r="V42" s="294">
        <f ca="1">SUMIF(Transbank!$A$2:$A$494,B42,Transbank!$L$2:$L$433)+(I42+M42)+(J42+N42)*EERR!$D$2</f>
        <v>939067.34999999986</v>
      </c>
      <c r="W42" s="294">
        <f ca="1">V42/EERR!$D$2</f>
        <v>1573.5042727882037</v>
      </c>
      <c r="X42" s="162">
        <f t="shared" ca="1" si="2"/>
        <v>8059.3499999999767</v>
      </c>
      <c r="Y42" s="162">
        <f t="shared" si="3"/>
        <v>0</v>
      </c>
      <c r="Z42" s="162">
        <f t="shared" si="4"/>
        <v>0</v>
      </c>
      <c r="AA42" s="153" t="s">
        <v>348</v>
      </c>
      <c r="AB42" s="39" t="e">
        <f t="shared" si="5"/>
        <v>#VALUE!</v>
      </c>
    </row>
    <row r="43" spans="1:28" s="153" customFormat="1" ht="15" customHeight="1" x14ac:dyDescent="0.3">
      <c r="A43" s="272">
        <v>3019</v>
      </c>
      <c r="B43" s="272">
        <v>30483</v>
      </c>
      <c r="C43" s="273" t="s">
        <v>1066</v>
      </c>
      <c r="D43" s="273" t="s">
        <v>307</v>
      </c>
      <c r="E43" s="273">
        <v>1938230483</v>
      </c>
      <c r="F43" s="274">
        <v>43151</v>
      </c>
      <c r="G43" s="274">
        <v>43152</v>
      </c>
      <c r="H43" s="273">
        <v>1</v>
      </c>
      <c r="I43" s="275"/>
      <c r="J43" s="276"/>
      <c r="K43" s="275"/>
      <c r="L43" s="275">
        <v>205</v>
      </c>
      <c r="M43" s="275"/>
      <c r="N43" s="275"/>
      <c r="O43" s="275"/>
      <c r="P43" s="275"/>
      <c r="Q43" s="158">
        <f t="shared" si="0"/>
        <v>205</v>
      </c>
      <c r="R43" s="158">
        <f t="shared" si="1"/>
        <v>0</v>
      </c>
      <c r="S43" s="156">
        <f>IF(H43=0,(Q43+R43/EERR!$D$2/1.19),(Q43+R43/EERR!$D$2/1.19)/H43)</f>
        <v>205</v>
      </c>
      <c r="T43" s="158">
        <f>R43+Q43*EERR!$D$2</f>
        <v>122343.99999999999</v>
      </c>
      <c r="U43" s="153">
        <f ca="1">SUMIF(Siteminder!$A$5:$K$150,Feb!E43,Siteminder!$K$5:$K$150)</f>
        <v>1</v>
      </c>
      <c r="V43" s="294">
        <f ca="1">SUMIF(Transbank!$A$2:$A$494,B43,Transbank!$L$2:$L$433)+(I43+M43)+(J43+N43)*EERR!$D$2</f>
        <v>122343.99999999999</v>
      </c>
      <c r="W43" s="294">
        <f ca="1">V43/EERR!$D$2</f>
        <v>205</v>
      </c>
      <c r="X43" s="162">
        <f t="shared" ca="1" si="2"/>
        <v>0</v>
      </c>
      <c r="Y43" s="162">
        <f t="shared" si="3"/>
        <v>0</v>
      </c>
      <c r="Z43" s="162">
        <f t="shared" si="4"/>
        <v>0</v>
      </c>
      <c r="AA43" s="153">
        <f>IFERROR(VLOOKUP(A43,#REF!,8,FALSE),0)</f>
        <v>0</v>
      </c>
      <c r="AB43" s="39">
        <f t="shared" si="5"/>
        <v>205</v>
      </c>
    </row>
    <row r="44" spans="1:28" s="153" customFormat="1" ht="15" customHeight="1" x14ac:dyDescent="0.3">
      <c r="A44" s="272">
        <v>3031</v>
      </c>
      <c r="B44" s="272">
        <v>21992</v>
      </c>
      <c r="C44" s="273" t="s">
        <v>1107</v>
      </c>
      <c r="D44" s="273" t="s">
        <v>307</v>
      </c>
      <c r="E44" s="273">
        <v>1974321992</v>
      </c>
      <c r="F44" s="274">
        <v>43151</v>
      </c>
      <c r="G44" s="274">
        <v>43155</v>
      </c>
      <c r="H44" s="273">
        <v>4</v>
      </c>
      <c r="I44" s="275"/>
      <c r="J44" s="276">
        <v>605</v>
      </c>
      <c r="K44" s="275"/>
      <c r="L44" s="275"/>
      <c r="M44" s="275"/>
      <c r="N44" s="275"/>
      <c r="O44" s="275"/>
      <c r="P44" s="275">
        <v>205</v>
      </c>
      <c r="Q44" s="158">
        <f t="shared" si="0"/>
        <v>810</v>
      </c>
      <c r="R44" s="158">
        <f t="shared" si="1"/>
        <v>0</v>
      </c>
      <c r="S44" s="156">
        <f>IF(H44=0,(Q44+R44/EERR!$D$2/1.19),(Q44+R44/EERR!$D$2/1.19)/H44)</f>
        <v>202.5</v>
      </c>
      <c r="T44" s="158">
        <f>R44+Q44*EERR!$D$2</f>
        <v>483407.99999999994</v>
      </c>
      <c r="U44" s="153">
        <f ca="1">SUMIF(Siteminder!$A$5:$K$150,Feb!E44,Siteminder!$K$5:$K$150)</f>
        <v>4</v>
      </c>
      <c r="V44" s="294">
        <f ca="1">SUMIF(Transbank!$A$2:$A$494,B44,Transbank!$L$2:$L$433)+(I44+M44)+(J44+N44)*EERR!$D$2</f>
        <v>494864.65</v>
      </c>
      <c r="W44" s="294">
        <f ca="1">V44/EERR!$D$2</f>
        <v>829.19679959785537</v>
      </c>
      <c r="X44" s="162">
        <f t="shared" ca="1" si="2"/>
        <v>11456.650000000081</v>
      </c>
      <c r="Y44" s="162">
        <f t="shared" si="3"/>
        <v>0</v>
      </c>
      <c r="Z44" s="162">
        <f t="shared" si="4"/>
        <v>0</v>
      </c>
      <c r="AA44" s="153">
        <f>IFERROR(VLOOKUP(A44,#REF!,8,FALSE),0)</f>
        <v>0</v>
      </c>
      <c r="AB44" s="39">
        <f t="shared" si="5"/>
        <v>810</v>
      </c>
    </row>
    <row r="45" spans="1:28" s="153" customFormat="1" ht="15" customHeight="1" x14ac:dyDescent="0.3">
      <c r="A45" s="317">
        <v>3022</v>
      </c>
      <c r="B45" s="317">
        <v>60011</v>
      </c>
      <c r="C45" s="318" t="s">
        <v>1104</v>
      </c>
      <c r="D45" s="273" t="s">
        <v>307</v>
      </c>
      <c r="E45" s="273">
        <v>1939760011</v>
      </c>
      <c r="F45" s="274">
        <v>43152</v>
      </c>
      <c r="G45" s="274">
        <v>43153</v>
      </c>
      <c r="H45" s="273">
        <v>1</v>
      </c>
      <c r="I45" s="275"/>
      <c r="J45" s="276"/>
      <c r="K45" s="275"/>
      <c r="L45" s="275"/>
      <c r="M45" s="275"/>
      <c r="N45" s="275"/>
      <c r="O45" s="275"/>
      <c r="P45" s="275">
        <v>184.5</v>
      </c>
      <c r="Q45" s="158">
        <f t="shared" si="0"/>
        <v>184.5</v>
      </c>
      <c r="R45" s="158">
        <f t="shared" si="1"/>
        <v>0</v>
      </c>
      <c r="S45" s="156">
        <f>IF(H45=0,(Q45+R45/EERR!$D$2/1.19),(Q45+R45/EERR!$D$2/1.19)/H45)</f>
        <v>184.5</v>
      </c>
      <c r="T45" s="158">
        <f>R45+Q45*EERR!$D$2</f>
        <v>110109.59999999999</v>
      </c>
      <c r="U45" s="153">
        <f ca="1">SUMIF(Siteminder!$A$5:$K$150,Feb!E45,Siteminder!$K$5:$K$150)</f>
        <v>1</v>
      </c>
      <c r="V45" s="294">
        <f ca="1">SUMIF(Transbank!$A$2:$A$494,B45,Transbank!$L$2:$L$433)+(I45+M45)+(J45+N45)*EERR!$D$2</f>
        <v>110109.59999999999</v>
      </c>
      <c r="W45" s="294">
        <f ca="1">V45/EERR!$D$2</f>
        <v>184.5</v>
      </c>
      <c r="X45" s="162">
        <f t="shared" ca="1" si="2"/>
        <v>0</v>
      </c>
      <c r="Y45" s="162">
        <f t="shared" si="3"/>
        <v>0</v>
      </c>
      <c r="Z45" s="162">
        <f t="shared" si="4"/>
        <v>0</v>
      </c>
      <c r="AA45" s="153">
        <f>IFERROR(VLOOKUP(A45,#REF!,8,FALSE),0)</f>
        <v>0</v>
      </c>
      <c r="AB45" s="39">
        <f t="shared" si="5"/>
        <v>184.5</v>
      </c>
    </row>
    <row r="46" spans="1:28" s="153" customFormat="1" ht="15" customHeight="1" x14ac:dyDescent="0.3">
      <c r="A46" s="272">
        <v>3023</v>
      </c>
      <c r="B46" s="272">
        <v>78811</v>
      </c>
      <c r="C46" s="273" t="s">
        <v>1108</v>
      </c>
      <c r="D46" s="273" t="s">
        <v>307</v>
      </c>
      <c r="E46" s="273">
        <v>1137178811</v>
      </c>
      <c r="F46" s="274">
        <v>43153</v>
      </c>
      <c r="G46" s="274">
        <v>43154</v>
      </c>
      <c r="H46" s="273">
        <v>1</v>
      </c>
      <c r="I46" s="275"/>
      <c r="J46" s="276"/>
      <c r="K46" s="275"/>
      <c r="L46" s="275">
        <v>195</v>
      </c>
      <c r="M46" s="275"/>
      <c r="N46" s="275"/>
      <c r="O46" s="275"/>
      <c r="P46" s="275"/>
      <c r="Q46" s="158">
        <f t="shared" si="0"/>
        <v>195</v>
      </c>
      <c r="R46" s="158">
        <f t="shared" si="1"/>
        <v>0</v>
      </c>
      <c r="S46" s="156">
        <f>IF(H46=0,(Q46+R46/EERR!$D$2/1.19),(Q46+R46/EERR!$D$2/1.19)/H46)</f>
        <v>195</v>
      </c>
      <c r="T46" s="158">
        <f>R46+Q46*EERR!$D$2</f>
        <v>116375.99999999999</v>
      </c>
      <c r="U46" s="153">
        <f ca="1">SUMIF(Siteminder!$A$5:$K$150,Feb!E46,Siteminder!$K$5:$K$150)</f>
        <v>1</v>
      </c>
      <c r="V46" s="294">
        <f ca="1">SUMIF(Transbank!$A$2:$A$494,B46,Transbank!$L$2:$L$433)+(I46+M46)+(J46+N46)*EERR!$D$2</f>
        <v>116375.99999999999</v>
      </c>
      <c r="W46" s="294">
        <f ca="1">V46/EERR!$D$2</f>
        <v>195</v>
      </c>
      <c r="X46" s="162">
        <f t="shared" ca="1" si="2"/>
        <v>0</v>
      </c>
      <c r="Y46" s="162">
        <f t="shared" si="3"/>
        <v>0</v>
      </c>
      <c r="Z46" s="162">
        <f t="shared" si="4"/>
        <v>0</v>
      </c>
      <c r="AA46" s="153">
        <f>IFERROR(VLOOKUP(A46,#REF!,8,FALSE),0)</f>
        <v>0</v>
      </c>
      <c r="AB46" s="39">
        <f t="shared" si="5"/>
        <v>195</v>
      </c>
    </row>
    <row r="47" spans="1:28" s="153" customFormat="1" ht="15" customHeight="1" x14ac:dyDescent="0.3">
      <c r="A47" s="272">
        <v>3026</v>
      </c>
      <c r="B47" s="272">
        <v>64186</v>
      </c>
      <c r="C47" s="273" t="s">
        <v>1109</v>
      </c>
      <c r="D47" s="273" t="s">
        <v>307</v>
      </c>
      <c r="E47" s="273">
        <v>1269764186</v>
      </c>
      <c r="F47" s="274">
        <v>43153</v>
      </c>
      <c r="G47" s="274">
        <v>43157</v>
      </c>
      <c r="H47" s="273">
        <v>8</v>
      </c>
      <c r="I47" s="275"/>
      <c r="J47" s="276">
        <v>526.5</v>
      </c>
      <c r="K47" s="275"/>
      <c r="L47" s="275">
        <v>526.5</v>
      </c>
      <c r="M47" s="275"/>
      <c r="N47" s="275"/>
      <c r="O47" s="275"/>
      <c r="P47" s="275">
        <v>351</v>
      </c>
      <c r="Q47" s="158">
        <f t="shared" si="0"/>
        <v>1404</v>
      </c>
      <c r="R47" s="158">
        <f t="shared" si="1"/>
        <v>0</v>
      </c>
      <c r="S47" s="156">
        <f>IF(H47=0,(Q47+R47/EERR!$D$2/1.19),(Q47+R47/EERR!$D$2/1.19)/H47)</f>
        <v>175.5</v>
      </c>
      <c r="T47" s="158">
        <f>R47+Q47*EERR!$D$2</f>
        <v>837907.2</v>
      </c>
      <c r="U47" s="153">
        <f ca="1">SUMIF(Siteminder!$A$5:$K$150,Feb!E47,Siteminder!$K$5:$K$150)</f>
        <v>8</v>
      </c>
      <c r="V47" s="294">
        <f ca="1">SUMIF(Transbank!$A$2:$A$494,B47,Transbank!$L$2:$L$433)+(I47+M47)+(J47+N47)*EERR!$D$2</f>
        <v>852414.02999999991</v>
      </c>
      <c r="W47" s="294">
        <f ca="1">V47/EERR!$D$2</f>
        <v>1428.3076910187667</v>
      </c>
      <c r="X47" s="162">
        <f t="shared" ca="1" si="2"/>
        <v>14506.829999999958</v>
      </c>
      <c r="Y47" s="162">
        <f t="shared" si="3"/>
        <v>0</v>
      </c>
      <c r="Z47" s="162">
        <f t="shared" si="4"/>
        <v>0</v>
      </c>
      <c r="AA47" s="153">
        <f>IFERROR(VLOOKUP(A47,#REF!,8,FALSE),0)</f>
        <v>0</v>
      </c>
      <c r="AB47" s="39">
        <f t="shared" si="5"/>
        <v>1404</v>
      </c>
    </row>
    <row r="48" spans="1:28" s="153" customFormat="1" ht="15" customHeight="1" x14ac:dyDescent="0.3">
      <c r="A48" s="272">
        <v>3027</v>
      </c>
      <c r="B48" s="272">
        <v>97089</v>
      </c>
      <c r="C48" s="273" t="s">
        <v>1110</v>
      </c>
      <c r="D48" s="273" t="s">
        <v>307</v>
      </c>
      <c r="E48" s="273">
        <v>1119997089</v>
      </c>
      <c r="F48" s="274">
        <v>43153</v>
      </c>
      <c r="G48" s="274">
        <v>43154</v>
      </c>
      <c r="H48" s="273">
        <v>1</v>
      </c>
      <c r="I48" s="275"/>
      <c r="J48" s="276"/>
      <c r="K48" s="275"/>
      <c r="L48" s="275"/>
      <c r="M48" s="275"/>
      <c r="N48" s="275"/>
      <c r="O48" s="275"/>
      <c r="P48" s="275">
        <v>205</v>
      </c>
      <c r="Q48" s="158">
        <f t="shared" si="0"/>
        <v>205</v>
      </c>
      <c r="R48" s="158">
        <f t="shared" si="1"/>
        <v>0</v>
      </c>
      <c r="S48" s="156">
        <f>IF(H48=0,(Q48+R48/EERR!$D$2/1.19),(Q48+R48/EERR!$D$2/1.19)/H48)</f>
        <v>205</v>
      </c>
      <c r="T48" s="158">
        <f>R48+Q48*EERR!$D$2</f>
        <v>122343.99999999999</v>
      </c>
      <c r="U48" s="153">
        <f ca="1">SUMIF(Siteminder!$A$5:$K$150,Feb!E48,Siteminder!$K$5:$K$150)</f>
        <v>1</v>
      </c>
      <c r="V48" s="294">
        <f ca="1">SUMIF(Transbank!$A$2:$A$494,B48,Transbank!$L$2:$L$433)+(I48+M48)+(J48+N48)*EERR!$D$2</f>
        <v>122343.99999999999</v>
      </c>
      <c r="W48" s="294">
        <f ca="1">V48/EERR!$D$2</f>
        <v>205</v>
      </c>
      <c r="X48" s="162">
        <f t="shared" ca="1" si="2"/>
        <v>0</v>
      </c>
      <c r="Y48" s="162">
        <f t="shared" si="3"/>
        <v>0</v>
      </c>
      <c r="Z48" s="162">
        <f t="shared" si="4"/>
        <v>0</v>
      </c>
      <c r="AA48" s="153">
        <f>IFERROR(VLOOKUP(A48,#REF!,8,FALSE),0)</f>
        <v>0</v>
      </c>
      <c r="AB48" s="39">
        <f t="shared" si="5"/>
        <v>205</v>
      </c>
    </row>
    <row r="49" spans="1:29" s="153" customFormat="1" ht="15" customHeight="1" x14ac:dyDescent="0.3">
      <c r="A49" s="272">
        <v>3028</v>
      </c>
      <c r="B49" s="272">
        <v>92651</v>
      </c>
      <c r="C49" s="273" t="s">
        <v>1111</v>
      </c>
      <c r="D49" s="273" t="s">
        <v>307</v>
      </c>
      <c r="E49" s="273">
        <v>1437992651</v>
      </c>
      <c r="F49" s="274">
        <v>43154</v>
      </c>
      <c r="G49" s="274">
        <v>43158</v>
      </c>
      <c r="H49" s="273">
        <v>4</v>
      </c>
      <c r="I49" s="275"/>
      <c r="J49" s="276">
        <v>600</v>
      </c>
      <c r="K49" s="275"/>
      <c r="L49" s="275">
        <v>25</v>
      </c>
      <c r="M49" s="275"/>
      <c r="N49" s="275"/>
      <c r="O49" s="275"/>
      <c r="P49" s="275">
        <v>195</v>
      </c>
      <c r="Q49" s="158">
        <f t="shared" si="0"/>
        <v>820</v>
      </c>
      <c r="R49" s="158">
        <f t="shared" si="1"/>
        <v>0</v>
      </c>
      <c r="S49" s="156">
        <f>IF(H49=0,(Q49+R49/EERR!$D$2/1.19),(Q49+R49/EERR!$D$2/1.19)/H49)</f>
        <v>205</v>
      </c>
      <c r="T49" s="158">
        <f>R49+Q49*EERR!$D$2</f>
        <v>489375.99999999994</v>
      </c>
      <c r="U49" s="153">
        <f ca="1">SUMIF(Siteminder!$A$5:$K$150,Feb!E49,Siteminder!$K$5:$K$150)</f>
        <v>4</v>
      </c>
      <c r="V49" s="294">
        <f ca="1">SUMIF(Transbank!$A$2:$A$494,B49,Transbank!$L$2:$L$433)+(I49+M49)+(J49+N49)*EERR!$D$2</f>
        <v>508209.75</v>
      </c>
      <c r="W49" s="294">
        <f ca="1">V49/EERR!$D$2</f>
        <v>851.55789209115289</v>
      </c>
      <c r="X49" s="162">
        <f t="shared" ca="1" si="2"/>
        <v>18833.750000000058</v>
      </c>
      <c r="Y49" s="162">
        <f t="shared" si="3"/>
        <v>0</v>
      </c>
      <c r="Z49" s="162">
        <f t="shared" si="4"/>
        <v>0</v>
      </c>
      <c r="AA49" s="153">
        <f>IFERROR(VLOOKUP(A49,#REF!,8,FALSE),0)</f>
        <v>0</v>
      </c>
      <c r="AB49" s="39">
        <f t="shared" si="5"/>
        <v>820</v>
      </c>
    </row>
    <row r="50" spans="1:29" s="153" customFormat="1" ht="15" customHeight="1" x14ac:dyDescent="0.3">
      <c r="A50" s="272">
        <v>3029</v>
      </c>
      <c r="B50" s="272">
        <v>27019</v>
      </c>
      <c r="C50" s="273" t="s">
        <v>1112</v>
      </c>
      <c r="D50" s="273" t="s">
        <v>307</v>
      </c>
      <c r="E50" s="273">
        <v>1085827019</v>
      </c>
      <c r="F50" s="274">
        <v>43154</v>
      </c>
      <c r="G50" s="274">
        <v>43156</v>
      </c>
      <c r="H50" s="273">
        <v>2</v>
      </c>
      <c r="I50" s="275"/>
      <c r="J50" s="276"/>
      <c r="K50" s="275"/>
      <c r="L50" s="275">
        <v>195</v>
      </c>
      <c r="M50" s="275"/>
      <c r="N50" s="275"/>
      <c r="O50" s="275"/>
      <c r="P50" s="275">
        <v>195</v>
      </c>
      <c r="Q50" s="158">
        <f t="shared" si="0"/>
        <v>390</v>
      </c>
      <c r="R50" s="158">
        <f t="shared" si="1"/>
        <v>0</v>
      </c>
      <c r="S50" s="156">
        <f>IF(H50=0,(Q50+R50/EERR!$D$2/1.19),(Q50+R50/EERR!$D$2/1.19)/H50)</f>
        <v>195</v>
      </c>
      <c r="T50" s="158">
        <f>R50+Q50*EERR!$D$2</f>
        <v>232751.99999999997</v>
      </c>
      <c r="U50" s="153">
        <f ca="1">SUMIF(Siteminder!$A$5:$K$150,Feb!E50,Siteminder!$K$5:$K$150)</f>
        <v>2</v>
      </c>
      <c r="V50" s="294">
        <f ca="1">SUMIF(Transbank!$A$2:$A$494,B50,Transbank!$L$2:$L$433)+(I50+M50)+(J50+N50)*EERR!$D$2</f>
        <v>240811.34999999998</v>
      </c>
      <c r="W50" s="294">
        <f ca="1">V50/EERR!$D$2</f>
        <v>403.50427278820376</v>
      </c>
      <c r="X50" s="162">
        <f t="shared" ca="1" si="2"/>
        <v>8059.3500000000058</v>
      </c>
      <c r="Y50" s="162">
        <f t="shared" si="3"/>
        <v>0</v>
      </c>
      <c r="Z50" s="162">
        <f t="shared" si="4"/>
        <v>0</v>
      </c>
      <c r="AA50" s="153">
        <f>IFERROR(VLOOKUP(A50,#REF!,8,FALSE),0)</f>
        <v>0</v>
      </c>
      <c r="AB50" s="39">
        <f t="shared" si="5"/>
        <v>390</v>
      </c>
    </row>
    <row r="51" spans="1:29" s="153" customFormat="1" ht="15" customHeight="1" x14ac:dyDescent="0.3">
      <c r="A51" s="272">
        <v>3030</v>
      </c>
      <c r="B51" s="272">
        <v>54582</v>
      </c>
      <c r="C51" s="273" t="s">
        <v>1113</v>
      </c>
      <c r="D51" s="273" t="s">
        <v>307</v>
      </c>
      <c r="E51" s="273">
        <v>2011354582</v>
      </c>
      <c r="F51" s="274">
        <v>43154</v>
      </c>
      <c r="G51" s="274">
        <v>43159</v>
      </c>
      <c r="H51" s="273">
        <v>5</v>
      </c>
      <c r="I51" s="275"/>
      <c r="J51" s="276">
        <v>820</v>
      </c>
      <c r="K51" s="275"/>
      <c r="L51" s="275"/>
      <c r="M51" s="275"/>
      <c r="N51" s="275"/>
      <c r="O51" s="275"/>
      <c r="P51" s="275">
        <v>205</v>
      </c>
      <c r="Q51" s="158">
        <f t="shared" si="0"/>
        <v>1025</v>
      </c>
      <c r="R51" s="158">
        <f t="shared" si="1"/>
        <v>0</v>
      </c>
      <c r="S51" s="156">
        <f>IF(H51=0,(Q51+R51/EERR!$D$2/1.19),(Q51+R51/EERR!$D$2/1.19)/H51)</f>
        <v>205</v>
      </c>
      <c r="T51" s="158">
        <f>R51+Q51*EERR!$D$2</f>
        <v>611720</v>
      </c>
      <c r="U51" s="153">
        <f ca="1">SUMIF(Siteminder!$A$5:$K$150,Feb!E51,Siteminder!$K$5:$K$150)</f>
        <v>5</v>
      </c>
      <c r="V51" s="294">
        <f ca="1">SUMIF(Transbank!$A$2:$A$494,B51,Transbank!$L$2:$L$433)+(I51+M51)+(J51+N51)*EERR!$D$2</f>
        <v>620192.64999999991</v>
      </c>
      <c r="W51" s="294">
        <f ca="1">V51/EERR!$D$2</f>
        <v>1039.1967995978553</v>
      </c>
      <c r="X51" s="162">
        <f t="shared" ca="1" si="2"/>
        <v>8472.6499999999069</v>
      </c>
      <c r="Y51" s="162">
        <f t="shared" si="3"/>
        <v>0</v>
      </c>
      <c r="Z51" s="162">
        <f t="shared" si="4"/>
        <v>0</v>
      </c>
      <c r="AA51" s="153">
        <f>IFERROR(VLOOKUP(A51,#REF!,8,FALSE),0)</f>
        <v>0</v>
      </c>
      <c r="AB51" s="39">
        <f t="shared" si="5"/>
        <v>1025</v>
      </c>
    </row>
    <row r="52" spans="1:29" s="153" customFormat="1" x14ac:dyDescent="0.3">
      <c r="A52" s="272">
        <v>3032</v>
      </c>
      <c r="B52" s="272">
        <v>47992</v>
      </c>
      <c r="C52" s="273" t="s">
        <v>1066</v>
      </c>
      <c r="D52" s="273" t="s">
        <v>307</v>
      </c>
      <c r="E52" s="273">
        <v>2046447992</v>
      </c>
      <c r="F52" s="274">
        <v>43155</v>
      </c>
      <c r="G52" s="274">
        <v>43156</v>
      </c>
      <c r="H52" s="273">
        <v>1</v>
      </c>
      <c r="I52" s="275"/>
      <c r="J52" s="276"/>
      <c r="K52" s="275"/>
      <c r="L52" s="275"/>
      <c r="M52" s="275"/>
      <c r="N52" s="275"/>
      <c r="O52" s="275"/>
      <c r="P52" s="275">
        <v>205</v>
      </c>
      <c r="Q52" s="158">
        <f t="shared" si="0"/>
        <v>205</v>
      </c>
      <c r="R52" s="158">
        <f t="shared" si="1"/>
        <v>0</v>
      </c>
      <c r="S52" s="156">
        <f>IF(H52=0,(Q52+R52/EERR!$D$2/1.19),(Q52+R52/EERR!$D$2/1.19)/H52)</f>
        <v>205</v>
      </c>
      <c r="T52" s="158">
        <f>R52+Q52*EERR!$D$2</f>
        <v>122343.99999999999</v>
      </c>
      <c r="U52" s="153">
        <f ca="1">SUMIF(Siteminder!$A$5:$K$150,Feb!E52,Siteminder!$K$5:$K$150)</f>
        <v>1</v>
      </c>
      <c r="V52" s="294">
        <f ca="1">SUMIF(Transbank!$A$2:$A$494,B52,Transbank!$L$2:$L$433)+(I52+M52)+(J52+N52)*EERR!$D$2</f>
        <v>130816.65</v>
      </c>
      <c r="W52" s="294">
        <f ca="1">V52/EERR!$D$2</f>
        <v>219.19679959785523</v>
      </c>
      <c r="X52" s="162">
        <f t="shared" ca="1" si="2"/>
        <v>8472.6500000000087</v>
      </c>
      <c r="Y52" s="162">
        <f t="shared" si="3"/>
        <v>0</v>
      </c>
      <c r="Z52" s="162">
        <f t="shared" si="4"/>
        <v>0</v>
      </c>
      <c r="AA52" s="153">
        <f>IFERROR(VLOOKUP(A52,#REF!,8,FALSE),0)</f>
        <v>0</v>
      </c>
      <c r="AB52" s="39">
        <f t="shared" si="5"/>
        <v>205</v>
      </c>
      <c r="AC52" s="153" t="s">
        <v>388</v>
      </c>
    </row>
    <row r="53" spans="1:29" s="153" customFormat="1" ht="15" customHeight="1" x14ac:dyDescent="0.3">
      <c r="A53" s="272">
        <v>3034</v>
      </c>
      <c r="B53" s="272">
        <v>60413</v>
      </c>
      <c r="C53" s="273" t="s">
        <v>1114</v>
      </c>
      <c r="D53" s="273" t="s">
        <v>307</v>
      </c>
      <c r="E53" s="273">
        <v>1527660413</v>
      </c>
      <c r="F53" s="274">
        <v>43156</v>
      </c>
      <c r="G53" s="274">
        <v>43159</v>
      </c>
      <c r="H53" s="273">
        <v>3</v>
      </c>
      <c r="I53" s="275"/>
      <c r="J53" s="276"/>
      <c r="K53" s="275"/>
      <c r="L53" s="275">
        <v>390</v>
      </c>
      <c r="M53" s="275"/>
      <c r="N53" s="275"/>
      <c r="O53" s="275"/>
      <c r="P53" s="275">
        <v>205</v>
      </c>
      <c r="Q53" s="158">
        <f t="shared" si="0"/>
        <v>595</v>
      </c>
      <c r="R53" s="158">
        <f t="shared" si="1"/>
        <v>0</v>
      </c>
      <c r="S53" s="156">
        <f>IF(H53=0,(Q53+R53/EERR!$D$2/1.19),(Q53+R53/EERR!$D$2/1.19)/H53)</f>
        <v>198.33333333333334</v>
      </c>
      <c r="T53" s="158">
        <f>R53+Q53*EERR!$D$2</f>
        <v>355096</v>
      </c>
      <c r="U53" s="153">
        <f ca="1">SUMIF(Siteminder!$A$5:$K$150,Feb!E53,Siteminder!$K$5:$K$150)</f>
        <v>3</v>
      </c>
      <c r="V53" s="294">
        <f ca="1">SUMIF(Transbank!$A$2:$A$494,B53,Transbank!$L$2:$L$433)+(I53+M53)+(J53+N53)*EERR!$D$2</f>
        <v>355095.99999999994</v>
      </c>
      <c r="W53" s="294">
        <f ca="1">V53/EERR!$D$2</f>
        <v>595</v>
      </c>
      <c r="X53" s="162">
        <f t="shared" ca="1" si="2"/>
        <v>0</v>
      </c>
      <c r="Y53" s="162">
        <f t="shared" si="3"/>
        <v>0</v>
      </c>
      <c r="Z53" s="162">
        <f t="shared" si="4"/>
        <v>0</v>
      </c>
      <c r="AA53" s="153">
        <f>IFERROR(VLOOKUP(A53,#REF!,8,FALSE),0)</f>
        <v>0</v>
      </c>
      <c r="AB53" s="39">
        <f t="shared" si="5"/>
        <v>595</v>
      </c>
    </row>
    <row r="54" spans="1:29" s="153" customFormat="1" ht="15" customHeight="1" x14ac:dyDescent="0.3">
      <c r="A54" s="272">
        <v>3035</v>
      </c>
      <c r="B54" s="272">
        <v>81794</v>
      </c>
      <c r="C54" s="273" t="s">
        <v>1115</v>
      </c>
      <c r="D54" s="273" t="s">
        <v>307</v>
      </c>
      <c r="E54" s="273">
        <v>1107881794</v>
      </c>
      <c r="F54" s="274">
        <v>43156</v>
      </c>
      <c r="G54" s="274">
        <v>43159</v>
      </c>
      <c r="H54" s="273">
        <v>3</v>
      </c>
      <c r="I54" s="275"/>
      <c r="J54" s="276"/>
      <c r="K54" s="275"/>
      <c r="L54" s="275">
        <v>390</v>
      </c>
      <c r="M54" s="275"/>
      <c r="N54" s="275"/>
      <c r="O54" s="275"/>
      <c r="P54" s="275">
        <v>205</v>
      </c>
      <c r="Q54" s="158">
        <f t="shared" si="0"/>
        <v>595</v>
      </c>
      <c r="R54" s="158">
        <f t="shared" si="1"/>
        <v>0</v>
      </c>
      <c r="S54" s="156">
        <f>IF(H54=0,(Q54+R54/EERR!$D$2/1.19),(Q54+R54/EERR!$D$2/1.19)/H54)</f>
        <v>198.33333333333334</v>
      </c>
      <c r="T54" s="158">
        <f>R54+Q54*EERR!$D$2</f>
        <v>355096</v>
      </c>
      <c r="U54" s="153">
        <f ca="1">SUMIF(Siteminder!$A$5:$K$150,Feb!E54,Siteminder!$K$5:$K$150)</f>
        <v>3</v>
      </c>
      <c r="V54" s="294">
        <f ca="1">SUMIF(Transbank!$A$2:$A$494,B54,Transbank!$L$2:$L$433)+(I54+M54)+(J54+N54)*EERR!$D$2</f>
        <v>370568.64999999997</v>
      </c>
      <c r="W54" s="294">
        <f ca="1">V54/EERR!$D$2</f>
        <v>620.92602211796248</v>
      </c>
      <c r="X54" s="162">
        <f t="shared" ca="1" si="2"/>
        <v>15472.649999999965</v>
      </c>
      <c r="Y54" s="162">
        <f t="shared" si="3"/>
        <v>0</v>
      </c>
      <c r="Z54" s="162">
        <f t="shared" si="4"/>
        <v>0</v>
      </c>
      <c r="AA54" s="153">
        <f>IFERROR(VLOOKUP(A54,#REF!,8,FALSE),0)</f>
        <v>0</v>
      </c>
      <c r="AB54" s="39">
        <f t="shared" si="5"/>
        <v>595</v>
      </c>
    </row>
    <row r="55" spans="1:29" s="153" customFormat="1" ht="15" customHeight="1" x14ac:dyDescent="0.3">
      <c r="A55" s="272">
        <v>3041</v>
      </c>
      <c r="B55" s="272">
        <v>64740</v>
      </c>
      <c r="C55" s="273" t="s">
        <v>1116</v>
      </c>
      <c r="D55" s="273" t="s">
        <v>307</v>
      </c>
      <c r="E55" s="273">
        <v>1580664740</v>
      </c>
      <c r="F55" s="274">
        <v>43157</v>
      </c>
      <c r="G55" s="274">
        <v>43160</v>
      </c>
      <c r="H55" s="273">
        <v>3</v>
      </c>
      <c r="I55" s="275"/>
      <c r="J55" s="276"/>
      <c r="K55" s="275"/>
      <c r="L55" s="275">
        <v>553.5</v>
      </c>
      <c r="M55" s="275"/>
      <c r="N55" s="275"/>
      <c r="O55" s="275"/>
      <c r="P55" s="275"/>
      <c r="Q55" s="158">
        <f t="shared" ref="Q55:Q60" si="8">J55+L55+N55+P55</f>
        <v>553.5</v>
      </c>
      <c r="R55" s="158">
        <f t="shared" ref="R55:R60" si="9">K55+M55+I55+O55</f>
        <v>0</v>
      </c>
      <c r="S55" s="156">
        <f>IF(H55=0,(Q55+R55/EERR!$D$2/1.19),(Q55+R55/EERR!$D$2/1.19)/H55)</f>
        <v>184.5</v>
      </c>
      <c r="T55" s="158">
        <f>R55+Q55*EERR!$D$2</f>
        <v>330328.8</v>
      </c>
      <c r="U55" s="153">
        <f ca="1">SUMIF(Siteminder!$A$5:$K$150,Feb!E55,Siteminder!$K$5:$K$150)</f>
        <v>3</v>
      </c>
      <c r="V55" s="294">
        <f ca="1">SUMIF(Transbank!$A$2:$A$494,B55,Transbank!$L$2:$L$433)+(I55+M55)+(J55+N55)*EERR!$D$2</f>
        <v>330328.8</v>
      </c>
      <c r="W55" s="294">
        <f ca="1">V55/EERR!$D$2</f>
        <v>553.5</v>
      </c>
      <c r="X55" s="162">
        <f t="shared" ref="X55:X60" ca="1" si="10">+V55-T55</f>
        <v>0</v>
      </c>
      <c r="Y55" s="162"/>
      <c r="Z55" s="162"/>
      <c r="AB55" s="39"/>
    </row>
    <row r="56" spans="1:29" s="153" customFormat="1" ht="15" customHeight="1" x14ac:dyDescent="0.3">
      <c r="A56" s="272">
        <v>3042</v>
      </c>
      <c r="B56" s="272">
        <v>10586</v>
      </c>
      <c r="C56" s="273" t="s">
        <v>1117</v>
      </c>
      <c r="D56" s="273" t="s">
        <v>307</v>
      </c>
      <c r="E56" s="273">
        <v>1976910586</v>
      </c>
      <c r="F56" s="274">
        <v>43158</v>
      </c>
      <c r="G56" s="274">
        <v>43163</v>
      </c>
      <c r="H56" s="273">
        <v>5</v>
      </c>
      <c r="I56" s="275"/>
      <c r="J56" s="276">
        <v>702</v>
      </c>
      <c r="K56" s="275"/>
      <c r="L56" s="275"/>
      <c r="M56" s="275"/>
      <c r="N56" s="275"/>
      <c r="O56" s="275"/>
      <c r="P56" s="275">
        <v>175.5</v>
      </c>
      <c r="Q56" s="158">
        <f t="shared" si="8"/>
        <v>877.5</v>
      </c>
      <c r="R56" s="158">
        <f t="shared" si="9"/>
        <v>0</v>
      </c>
      <c r="S56" s="156">
        <f>IF(H56=0,(Q56+R56/EERR!$D$2/1.19),(Q56+R56/EERR!$D$2/1.19)/H56)</f>
        <v>175.5</v>
      </c>
      <c r="T56" s="158">
        <f>R56+Q56*EERR!$D$2</f>
        <v>523691.99999999994</v>
      </c>
      <c r="U56" s="153">
        <f ca="1">SUMIF(Siteminder!$A$5:$K$150,Feb!E56,Siteminder!$K$5:$K$150)</f>
        <v>5</v>
      </c>
      <c r="V56" s="294">
        <f ca="1">SUMIF(Transbank!$A$2:$A$494,B56,Transbank!$L$2:$L$433)+(I56+M56)+(J56+N56)*EERR!$D$2</f>
        <v>523692</v>
      </c>
      <c r="W56" s="294">
        <f ca="1">V56/EERR!$D$2</f>
        <v>877.50000000000011</v>
      </c>
      <c r="X56" s="162">
        <f t="shared" ca="1" si="10"/>
        <v>0</v>
      </c>
      <c r="Y56" s="162"/>
      <c r="Z56" s="162"/>
      <c r="AB56" s="39"/>
    </row>
    <row r="57" spans="1:29" s="153" customFormat="1" ht="15" customHeight="1" x14ac:dyDescent="0.3">
      <c r="A57" s="272">
        <v>3043</v>
      </c>
      <c r="B57" s="272">
        <v>28838</v>
      </c>
      <c r="C57" s="273" t="s">
        <v>1118</v>
      </c>
      <c r="D57" s="273" t="s">
        <v>307</v>
      </c>
      <c r="E57" s="273">
        <v>1655428838</v>
      </c>
      <c r="F57" s="274">
        <v>43158</v>
      </c>
      <c r="G57" s="274">
        <v>43164</v>
      </c>
      <c r="H57" s="273">
        <v>6</v>
      </c>
      <c r="I57" s="275"/>
      <c r="J57" s="276"/>
      <c r="K57" s="275"/>
      <c r="L57" s="275">
        <v>1005</v>
      </c>
      <c r="M57" s="275"/>
      <c r="N57" s="275"/>
      <c r="O57" s="275"/>
      <c r="P57" s="275">
        <v>195</v>
      </c>
      <c r="Q57" s="158">
        <f t="shared" si="8"/>
        <v>1200</v>
      </c>
      <c r="R57" s="158">
        <f t="shared" si="9"/>
        <v>0</v>
      </c>
      <c r="S57" s="156">
        <f>IF(H57=0,(Q57+R57/EERR!$D$2/1.19),(Q57+R57/EERR!$D$2/1.19)/H57)</f>
        <v>200</v>
      </c>
      <c r="T57" s="158">
        <f>R57+Q57*EERR!$D$2</f>
        <v>716160</v>
      </c>
      <c r="U57" s="153">
        <f ca="1">SUMIF(Siteminder!$A$5:$K$150,Feb!E57,Siteminder!$K$5:$K$150)</f>
        <v>6</v>
      </c>
      <c r="V57" s="294">
        <f ca="1">SUMIF(Transbank!$A$2:$A$494,B57,Transbank!$L$2:$L$433)+(I57+M57)+(J57+N57)*EERR!$D$2</f>
        <v>716160</v>
      </c>
      <c r="W57" s="294">
        <f ca="1">V57/EERR!$D$2</f>
        <v>1200</v>
      </c>
      <c r="X57" s="162">
        <f t="shared" ca="1" si="10"/>
        <v>0</v>
      </c>
      <c r="Y57" s="162"/>
      <c r="Z57" s="162"/>
      <c r="AB57" s="39"/>
    </row>
    <row r="58" spans="1:29" s="153" customFormat="1" ht="15" customHeight="1" x14ac:dyDescent="0.3">
      <c r="A58" s="272">
        <v>115</v>
      </c>
      <c r="B58" s="272">
        <v>84247</v>
      </c>
      <c r="C58" s="273" t="s">
        <v>1119</v>
      </c>
      <c r="D58" s="273" t="s">
        <v>307</v>
      </c>
      <c r="E58" s="273">
        <v>2092084247</v>
      </c>
      <c r="F58" s="274">
        <v>43159</v>
      </c>
      <c r="G58" s="274">
        <v>43161</v>
      </c>
      <c r="H58" s="273">
        <v>2</v>
      </c>
      <c r="I58" s="275"/>
      <c r="J58" s="276"/>
      <c r="K58" s="275">
        <v>136445</v>
      </c>
      <c r="L58" s="275"/>
      <c r="M58" s="275"/>
      <c r="N58" s="275"/>
      <c r="O58" s="275">
        <v>138070</v>
      </c>
      <c r="P58" s="275"/>
      <c r="Q58" s="158">
        <f t="shared" si="8"/>
        <v>0</v>
      </c>
      <c r="R58" s="158">
        <f t="shared" si="9"/>
        <v>274515</v>
      </c>
      <c r="S58" s="156">
        <f>IF(H58=0,(Q58+R58/EERR!$D$2/1.19),(Q58+R58/EERR!$D$2/1.19)/H58)</f>
        <v>193.26815846982225</v>
      </c>
      <c r="T58" s="158">
        <f>R58+Q58*EERR!$D$2</f>
        <v>274515</v>
      </c>
      <c r="U58" s="153">
        <f ca="1">SUMIF(Siteminder!$A$5:$K$150,Feb!E58,Siteminder!$K$5:$K$150)</f>
        <v>2</v>
      </c>
      <c r="V58" s="294">
        <f ca="1">SUMIF(Transbank!$A$2:$A$494,B58,Transbank!$L$2:$L$433)+(I58+M58)+(J58+N58)*EERR!$D$2</f>
        <v>274515</v>
      </c>
      <c r="W58" s="294">
        <f ca="1">V58/EERR!$D$2</f>
        <v>459.97821715817696</v>
      </c>
      <c r="X58" s="162">
        <f t="shared" ca="1" si="10"/>
        <v>0</v>
      </c>
      <c r="Y58" s="162"/>
      <c r="Z58" s="162"/>
      <c r="AB58" s="39"/>
    </row>
    <row r="59" spans="1:29" s="153" customFormat="1" ht="15" customHeight="1" x14ac:dyDescent="0.3">
      <c r="A59" s="272">
        <v>3045</v>
      </c>
      <c r="B59" s="272">
        <v>86059</v>
      </c>
      <c r="C59" s="273" t="s">
        <v>1120</v>
      </c>
      <c r="D59" s="273" t="s">
        <v>307</v>
      </c>
      <c r="E59" s="273">
        <v>2007186059</v>
      </c>
      <c r="F59" s="274">
        <v>43159</v>
      </c>
      <c r="G59" s="274">
        <v>43163</v>
      </c>
      <c r="H59" s="273">
        <v>4</v>
      </c>
      <c r="I59" s="275"/>
      <c r="J59" s="276"/>
      <c r="K59" s="275"/>
      <c r="L59" s="275">
        <v>526.5</v>
      </c>
      <c r="M59" s="275"/>
      <c r="N59" s="275"/>
      <c r="O59" s="275"/>
      <c r="P59" s="275">
        <v>175.5</v>
      </c>
      <c r="Q59" s="158">
        <f t="shared" si="8"/>
        <v>702</v>
      </c>
      <c r="R59" s="158">
        <f t="shared" si="9"/>
        <v>0</v>
      </c>
      <c r="S59" s="156">
        <f>IF(H59=0,(Q59+R59/EERR!$D$2/1.19),(Q59+R59/EERR!$D$2/1.19)/H59)</f>
        <v>175.5</v>
      </c>
      <c r="T59" s="158">
        <f>R59+Q59*EERR!$D$2</f>
        <v>418953.6</v>
      </c>
      <c r="U59" s="153">
        <f ca="1">SUMIF(Siteminder!$A$5:$K$150,Feb!E59,Siteminder!$K$5:$K$150)</f>
        <v>4</v>
      </c>
      <c r="V59" s="294">
        <f ca="1">SUMIF(Transbank!$A$2:$A$494,B59,Transbank!$L$2:$L$433)+(I59+M59)+(J59+N59)*EERR!$D$2</f>
        <v>418953.6</v>
      </c>
      <c r="W59" s="294">
        <f ca="1">V59/EERR!$D$2</f>
        <v>702</v>
      </c>
      <c r="X59" s="162">
        <f t="shared" ca="1" si="10"/>
        <v>0</v>
      </c>
      <c r="Y59" s="162"/>
      <c r="Z59" s="162"/>
      <c r="AB59" s="39"/>
    </row>
    <row r="60" spans="1:29" s="153" customFormat="1" ht="15" customHeight="1" x14ac:dyDescent="0.3">
      <c r="A60" s="272">
        <v>114</v>
      </c>
      <c r="B60" s="272">
        <v>14184</v>
      </c>
      <c r="C60" s="273" t="s">
        <v>1121</v>
      </c>
      <c r="D60" s="273" t="s">
        <v>307</v>
      </c>
      <c r="E60" s="273">
        <v>1547314184</v>
      </c>
      <c r="F60" s="274">
        <v>43159</v>
      </c>
      <c r="G60" s="274">
        <v>43163</v>
      </c>
      <c r="H60" s="273">
        <v>4</v>
      </c>
      <c r="I60" s="275"/>
      <c r="J60" s="276"/>
      <c r="K60" s="275">
        <v>559776</v>
      </c>
      <c r="L60" s="275"/>
      <c r="M60" s="275"/>
      <c r="N60" s="275"/>
      <c r="O60" s="275"/>
      <c r="P60" s="275"/>
      <c r="Q60" s="158">
        <f t="shared" si="8"/>
        <v>0</v>
      </c>
      <c r="R60" s="158">
        <f t="shared" si="9"/>
        <v>559776</v>
      </c>
      <c r="S60" s="156">
        <f>IF(H60=0,(Q60+R60/EERR!$D$2/1.19),(Q60+R60/EERR!$D$2/1.19)/H60)</f>
        <v>197.05093833780163</v>
      </c>
      <c r="T60" s="158">
        <f>R60+Q60*EERR!$D$2</f>
        <v>559776</v>
      </c>
      <c r="U60" s="153">
        <f ca="1">SUMIF(Siteminder!$A$5:$K$150,Feb!E60,Siteminder!$K$5:$K$150)</f>
        <v>4</v>
      </c>
      <c r="V60" s="294">
        <f ca="1">SUMIF(Transbank!$A$2:$A$494,B60,Transbank!$L$2:$L$433)+(I60+M60)+(J60+N60)*EERR!$D$2</f>
        <v>559776</v>
      </c>
      <c r="W60" s="294">
        <f ca="1">V60/EERR!$D$2</f>
        <v>937.96246648793567</v>
      </c>
      <c r="X60" s="162">
        <f t="shared" ca="1" si="10"/>
        <v>0</v>
      </c>
      <c r="Y60" s="162"/>
      <c r="Z60" s="162"/>
      <c r="AB60" s="39"/>
    </row>
    <row r="61" spans="1:29" s="153" customFormat="1" ht="15" customHeight="1" x14ac:dyDescent="0.3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/>
      <c r="R61" s="158"/>
      <c r="S61" s="156"/>
      <c r="T61" s="158"/>
      <c r="V61" s="310"/>
      <c r="W61" s="310"/>
      <c r="X61" s="162"/>
      <c r="Y61" s="162"/>
      <c r="Z61" s="162"/>
      <c r="AB61" s="39"/>
    </row>
    <row r="62" spans="1:29" s="153" customFormat="1" ht="15" customHeight="1" x14ac:dyDescent="0.3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/>
      <c r="R62" s="158"/>
      <c r="S62" s="156"/>
      <c r="T62" s="158"/>
      <c r="U62" s="153">
        <f ca="1">SUMIF(Siteminder!$A$5:$K$150,Feb!E62,Siteminder!$K$5:$K$150)</f>
        <v>0</v>
      </c>
      <c r="V62" s="294">
        <f>SUMIF(Transbank!$A$2:$A$433,B62,Transbank!$L$2:$L$433)+(I62+M62)+(J62+N62)*EERR!$D$2</f>
        <v>0</v>
      </c>
      <c r="W62" s="294">
        <f>V62/EERR!$D$2</f>
        <v>0</v>
      </c>
      <c r="X62" s="162">
        <f t="shared" ref="X62" si="11">+V62-T62</f>
        <v>0</v>
      </c>
      <c r="Y62" s="162">
        <f t="shared" ref="Y62" si="12">(I62+K62+M62)/1.19</f>
        <v>0</v>
      </c>
      <c r="Z62" s="162">
        <f t="shared" ref="Z62" si="13">IF(AA62="b",(I62+K62+M62)*0.19,0)</f>
        <v>0</v>
      </c>
      <c r="AA62" s="153">
        <f>IFERROR(VLOOKUP(A62,#REF!,8,FALSE),0)</f>
        <v>0</v>
      </c>
      <c r="AB62" s="39">
        <f t="shared" ref="AB62" si="14">Q62-AA62</f>
        <v>0</v>
      </c>
    </row>
    <row r="63" spans="1:29" x14ac:dyDescent="0.3">
      <c r="A63" s="256"/>
      <c r="B63" s="256"/>
      <c r="C63" s="256"/>
      <c r="D63" s="256"/>
      <c r="E63" s="256"/>
      <c r="F63" s="261"/>
      <c r="G63" s="261"/>
      <c r="H63" s="262">
        <f t="shared" ref="H63:N63" si="15">SUM(H3:H62)</f>
        <v>218</v>
      </c>
      <c r="I63" s="262">
        <f t="shared" si="15"/>
        <v>0</v>
      </c>
      <c r="J63" s="262">
        <f t="shared" si="15"/>
        <v>7398</v>
      </c>
      <c r="K63" s="262">
        <f t="shared" si="15"/>
        <v>4709429</v>
      </c>
      <c r="L63" s="262">
        <f t="shared" si="15"/>
        <v>16892.5</v>
      </c>
      <c r="M63" s="262">
        <f t="shared" si="15"/>
        <v>143613</v>
      </c>
      <c r="N63" s="262">
        <f t="shared" si="15"/>
        <v>0</v>
      </c>
      <c r="O63" s="262"/>
      <c r="P63" s="262"/>
      <c r="Q63" s="262">
        <f>SUM(Q3:Q62)</f>
        <v>33630</v>
      </c>
      <c r="R63" s="262">
        <f>SUM(R3:R62)</f>
        <v>6086639</v>
      </c>
      <c r="S63" s="262">
        <f>IF(H63=0,(Q63+R63/EERR!$D$2/1.19),(Q63+R63/EERR!$D$2/1.19)/H63)</f>
        <v>193.57987776609525</v>
      </c>
      <c r="T63" s="262">
        <f>SUM(T3:T62)</f>
        <v>26157023</v>
      </c>
      <c r="U63" s="153">
        <f ca="1">SUMIF(Siteminder!$A$5:$K$150,Feb!E63,Siteminder!$K$5:$K$150)</f>
        <v>0</v>
      </c>
      <c r="V63" s="262">
        <f ca="1">SUM(V3:V62)</f>
        <v>26546001.140000001</v>
      </c>
      <c r="W63" s="262"/>
      <c r="X63" s="162">
        <f t="shared" ref="X63:X117" ca="1" si="16">+V63-T63</f>
        <v>388978.1400000006</v>
      </c>
      <c r="Y63" s="168"/>
      <c r="Z63" s="168"/>
      <c r="AA63" s="153"/>
      <c r="AB63" s="39"/>
    </row>
    <row r="64" spans="1:29" s="129" customFormat="1" x14ac:dyDescent="0.3">
      <c r="A64" s="272">
        <v>2977</v>
      </c>
      <c r="B64" s="272">
        <v>58997</v>
      </c>
      <c r="C64" s="273" t="s">
        <v>1122</v>
      </c>
      <c r="D64" s="273" t="s">
        <v>449</v>
      </c>
      <c r="E64" s="273">
        <v>58997</v>
      </c>
      <c r="F64" s="274">
        <v>43132</v>
      </c>
      <c r="G64" s="274">
        <v>43133</v>
      </c>
      <c r="H64" s="273">
        <v>1</v>
      </c>
      <c r="I64" s="275"/>
      <c r="J64" s="276">
        <v>194.75</v>
      </c>
      <c r="K64" s="275"/>
      <c r="L64" s="275"/>
      <c r="M64" s="275"/>
      <c r="N64" s="275"/>
      <c r="O64" s="275"/>
      <c r="P64" s="275"/>
      <c r="Q64" s="158">
        <f t="shared" ref="Q64" si="17">J64+L64+N64+P64</f>
        <v>194.75</v>
      </c>
      <c r="R64" s="158">
        <f t="shared" ref="R64" si="18">K64+M64+I64+O64</f>
        <v>0</v>
      </c>
      <c r="S64" s="156">
        <f>IF(H64=0,(Q64+R64/EERR!$D$2/1.19),(Q64+R64/EERR!$D$2/1.19)/H64)</f>
        <v>194.75</v>
      </c>
      <c r="T64" s="158">
        <f>R64+Q64*EERR!$D$2</f>
        <v>116226.79999999999</v>
      </c>
      <c r="U64" s="153">
        <f ca="1">SUMIF(Siteminder!$A$5:$K$150,Feb!E64,Siteminder!$K$5:$K$150)</f>
        <v>1</v>
      </c>
      <c r="V64" s="313">
        <f>SUMIF(Transbank!$A$2:$A$433,B64,Transbank!$L$2:$L$433)+(I64+M64)+(J64+N64)*EERR!$D$2</f>
        <v>142933.59999999998</v>
      </c>
      <c r="W64" s="309">
        <f>V64/EERR!$D$2</f>
        <v>239.49999999999997</v>
      </c>
      <c r="X64" s="162">
        <f t="shared" ref="X64" si="19">+V64-T64</f>
        <v>26706.799999999988</v>
      </c>
      <c r="Y64" s="168">
        <f t="shared" ref="Y64:Y78" si="20">(I64+K64+M64)/1.19</f>
        <v>0</v>
      </c>
      <c r="Z64" s="168">
        <f t="shared" ref="Z64:Z78" si="21">IF(AA64="b",(I64+K64+M64)*0.19,0)</f>
        <v>0</v>
      </c>
      <c r="AA64" s="153">
        <f>IFERROR(VLOOKUP(A64,#REF!,8,FALSE),0)</f>
        <v>0</v>
      </c>
      <c r="AB64" s="39">
        <f t="shared" ref="AB64:AB78" si="22">Q64-AA64</f>
        <v>194.75</v>
      </c>
    </row>
    <row r="65" spans="1:29" s="153" customFormat="1" x14ac:dyDescent="0.3">
      <c r="A65" s="272">
        <v>2980</v>
      </c>
      <c r="B65" s="272">
        <v>59029</v>
      </c>
      <c r="C65" s="273" t="s">
        <v>1053</v>
      </c>
      <c r="D65" s="273" t="s">
        <v>449</v>
      </c>
      <c r="E65" s="273">
        <v>59029</v>
      </c>
      <c r="F65" s="274">
        <v>43132</v>
      </c>
      <c r="G65" s="274">
        <v>43133</v>
      </c>
      <c r="H65" s="273">
        <v>1</v>
      </c>
      <c r="I65" s="275"/>
      <c r="J65" s="276">
        <v>150</v>
      </c>
      <c r="K65" s="275"/>
      <c r="L65" s="275">
        <v>44.75</v>
      </c>
      <c r="M65" s="275"/>
      <c r="N65" s="275"/>
      <c r="O65" s="275"/>
      <c r="P65" s="275"/>
      <c r="Q65" s="158">
        <f t="shared" ref="Q65:Q78" si="23">J65+L65+N65+P65</f>
        <v>194.75</v>
      </c>
      <c r="R65" s="158">
        <f t="shared" ref="R65:R78" si="24">K65+M65+I65+O65</f>
        <v>0</v>
      </c>
      <c r="S65" s="156">
        <f>IF(H65=0,(Q65+R65/EERR!$D$2/1.19),(Q65+R65/EERR!$D$2/1.19)/H65)</f>
        <v>194.75</v>
      </c>
      <c r="T65" s="158">
        <f>R65+Q65*EERR!$D$2</f>
        <v>116226.79999999999</v>
      </c>
      <c r="U65" s="153">
        <f ca="1">SUMIF(Siteminder!$A$5:$K$150,Feb!E65,Siteminder!$K$5:$K$150)</f>
        <v>1</v>
      </c>
      <c r="V65" s="313">
        <f>SUMIF(Transbank!$A$2:$A$433,B65,Transbank!$L$2:$L$433)+(I65+M65)+(J65+N65)*EERR!$D$2</f>
        <v>89520</v>
      </c>
      <c r="W65" s="309">
        <f>V65/EERR!$D$2</f>
        <v>150</v>
      </c>
      <c r="X65" s="162">
        <f t="shared" ref="X65:X78" si="25">+V65-T65</f>
        <v>-26706.799999999988</v>
      </c>
      <c r="Y65" s="168">
        <f t="shared" si="20"/>
        <v>0</v>
      </c>
      <c r="Z65" s="168">
        <f t="shared" si="21"/>
        <v>0</v>
      </c>
      <c r="AA65" s="153">
        <f>IFERROR(VLOOKUP(A65,#REF!,8,FALSE),0)</f>
        <v>0</v>
      </c>
      <c r="AB65" s="39">
        <f t="shared" si="22"/>
        <v>194.75</v>
      </c>
    </row>
    <row r="66" spans="1:29" s="153" customFormat="1" x14ac:dyDescent="0.3">
      <c r="A66" s="317">
        <v>2981</v>
      </c>
      <c r="B66" s="317">
        <v>84008</v>
      </c>
      <c r="C66" s="273" t="s">
        <v>1123</v>
      </c>
      <c r="D66" s="273" t="s">
        <v>449</v>
      </c>
      <c r="E66" s="273">
        <v>4008</v>
      </c>
      <c r="F66" s="274">
        <v>43133</v>
      </c>
      <c r="G66" s="274">
        <v>43138</v>
      </c>
      <c r="H66" s="273">
        <v>5</v>
      </c>
      <c r="I66" s="275"/>
      <c r="J66" s="276">
        <v>779</v>
      </c>
      <c r="K66" s="275"/>
      <c r="L66" s="275"/>
      <c r="M66" s="275"/>
      <c r="N66" s="275"/>
      <c r="O66" s="275"/>
      <c r="P66" s="275">
        <v>194.75</v>
      </c>
      <c r="Q66" s="158">
        <f t="shared" si="23"/>
        <v>973.75</v>
      </c>
      <c r="R66" s="158">
        <f t="shared" si="24"/>
        <v>0</v>
      </c>
      <c r="S66" s="156">
        <f>IF(H66=0,(Q66+R66/EERR!$D$2/1.19),(Q66+R66/EERR!$D$2/1.19)/H66)</f>
        <v>194.75</v>
      </c>
      <c r="T66" s="158">
        <f>R66+Q66*EERR!$D$2</f>
        <v>581134</v>
      </c>
      <c r="U66" s="153">
        <f ca="1">SUMIF(Siteminder!$A$5:$K$150,Feb!E66,Siteminder!$K$5:$K$150)</f>
        <v>5</v>
      </c>
      <c r="V66" s="313">
        <f>SUMIF(Transbank!$A$2:$A$433,B66,Transbank!$L$2:$L$433)+(I66+M66)+(J66+N66)*EERR!$D$2</f>
        <v>589342.54999999993</v>
      </c>
      <c r="W66" s="309">
        <f>V66/EERR!$D$2</f>
        <v>987.50427278820371</v>
      </c>
      <c r="X66" s="162">
        <f t="shared" si="25"/>
        <v>8208.5499999999302</v>
      </c>
      <c r="Y66" s="168">
        <f t="shared" ref="Y66:Y76" si="26">(I66+K66+M66)/1.19</f>
        <v>0</v>
      </c>
      <c r="Z66" s="168">
        <f t="shared" ref="Z66:Z76" si="27">IF(AA66="b",(I66+K66+M66)*0.19,0)</f>
        <v>0</v>
      </c>
      <c r="AA66" s="153">
        <f>IFERROR(VLOOKUP(A66,#REF!,8,FALSE),0)</f>
        <v>0</v>
      </c>
      <c r="AB66" s="39">
        <f t="shared" ref="AB66:AB76" si="28">Q66-AA66</f>
        <v>973.75</v>
      </c>
      <c r="AC66" s="153" t="s">
        <v>389</v>
      </c>
    </row>
    <row r="67" spans="1:29" s="153" customFormat="1" x14ac:dyDescent="0.3">
      <c r="A67" s="272">
        <v>72804</v>
      </c>
      <c r="B67" s="272">
        <v>72804</v>
      </c>
      <c r="C67" s="273" t="s">
        <v>1124</v>
      </c>
      <c r="D67" s="273" t="s">
        <v>449</v>
      </c>
      <c r="E67" s="273">
        <v>72804</v>
      </c>
      <c r="F67" s="274">
        <v>43134</v>
      </c>
      <c r="G67" s="274">
        <v>43138</v>
      </c>
      <c r="H67" s="273">
        <v>4</v>
      </c>
      <c r="I67" s="275"/>
      <c r="J67" s="276"/>
      <c r="K67" s="275">
        <v>360570</v>
      </c>
      <c r="L67" s="275"/>
      <c r="M67" s="275"/>
      <c r="N67" s="275"/>
      <c r="O67" s="275">
        <v>142425</v>
      </c>
      <c r="P67" s="275"/>
      <c r="Q67" s="158">
        <f t="shared" si="23"/>
        <v>0</v>
      </c>
      <c r="R67" s="158">
        <f t="shared" si="24"/>
        <v>502995</v>
      </c>
      <c r="S67" s="156">
        <f>IF(H67=0,(Q67+R67/EERR!$D$2/1.19),(Q67+R67/EERR!$D$2/1.19)/H67)</f>
        <v>177.06303365850366</v>
      </c>
      <c r="T67" s="158">
        <f>R67+Q67*EERR!$D$2</f>
        <v>502995</v>
      </c>
      <c r="U67" s="153">
        <f ca="1">SUMIF(Siteminder!$A$5:$K$150,Feb!E67,Siteminder!$K$5:$K$150)</f>
        <v>4</v>
      </c>
      <c r="V67" s="313">
        <f>SUMIF(Transbank!$A$2:$A$433,B67,Transbank!$L$2:$L$433)+(I67+M67)+(J67+N67)*EERR!$D$2</f>
        <v>508995</v>
      </c>
      <c r="W67" s="309">
        <f>V67/EERR!$D$2</f>
        <v>852.87365951742629</v>
      </c>
      <c r="X67" s="162">
        <f t="shared" si="25"/>
        <v>6000</v>
      </c>
      <c r="Y67" s="168">
        <f t="shared" ref="Y67:Y73" si="29">(I67+K67+M67)/1.19</f>
        <v>303000</v>
      </c>
      <c r="Z67" s="168">
        <f t="shared" ref="Z67:Z73" si="30">IF(AA67="b",(I67+K67+M67)*0.19,0)</f>
        <v>0</v>
      </c>
      <c r="AA67" s="153">
        <f>IFERROR(VLOOKUP(A67,#REF!,8,FALSE),0)</f>
        <v>0</v>
      </c>
      <c r="AB67" s="39"/>
    </row>
    <row r="68" spans="1:29" s="153" customFormat="1" x14ac:dyDescent="0.3">
      <c r="A68" s="272">
        <v>2996</v>
      </c>
      <c r="B68" s="272">
        <v>99358</v>
      </c>
      <c r="C68" s="273" t="s">
        <v>1088</v>
      </c>
      <c r="D68" s="273" t="s">
        <v>449</v>
      </c>
      <c r="E68" s="273">
        <v>99358</v>
      </c>
      <c r="F68" s="274">
        <v>43141</v>
      </c>
      <c r="G68" s="274">
        <v>43142</v>
      </c>
      <c r="H68" s="273">
        <v>1</v>
      </c>
      <c r="I68" s="275"/>
      <c r="J68" s="276"/>
      <c r="K68" s="275"/>
      <c r="L68" s="275"/>
      <c r="M68" s="275"/>
      <c r="N68" s="275"/>
      <c r="O68" s="275"/>
      <c r="P68" s="275">
        <v>185.25</v>
      </c>
      <c r="Q68" s="158">
        <f t="shared" ref="Q68:Q75" si="31">J68+L68+N68+P68</f>
        <v>185.25</v>
      </c>
      <c r="R68" s="158">
        <f t="shared" ref="R68:R75" si="32">K68+M68+I68+O68</f>
        <v>0</v>
      </c>
      <c r="S68" s="156">
        <f>IF(H68=0,(Q68+R68/EERR!$D$2/1.19),(Q68+R68/EERR!$D$2/1.19)/H68)</f>
        <v>185.25</v>
      </c>
      <c r="T68" s="158">
        <f>R68+Q68*EERR!$D$2</f>
        <v>110557.2</v>
      </c>
      <c r="U68" s="153">
        <f ca="1">SUMIF(Siteminder!$A$5:$K$150,Feb!E68,Siteminder!$K$5:$K$150)</f>
        <v>1</v>
      </c>
      <c r="V68" s="313">
        <f>SUMIF(Transbank!$A$2:$A$433,B68,Transbank!$L$2:$L$433)+(I68+M68)+(J68+N68)*EERR!$D$2</f>
        <v>118054.05</v>
      </c>
      <c r="W68" s="309">
        <f>V68/EERR!$D$2</f>
        <v>197.8117459785523</v>
      </c>
      <c r="X68" s="162">
        <f t="shared" si="25"/>
        <v>7496.8500000000058</v>
      </c>
      <c r="Y68" s="168">
        <f t="shared" si="29"/>
        <v>0</v>
      </c>
      <c r="Z68" s="168">
        <f t="shared" si="30"/>
        <v>0</v>
      </c>
      <c r="AA68" s="153">
        <f>IFERROR(VLOOKUP(A68,#REF!,8,FALSE),0)</f>
        <v>0</v>
      </c>
      <c r="AB68" s="39"/>
    </row>
    <row r="69" spans="1:29" s="153" customFormat="1" x14ac:dyDescent="0.3">
      <c r="A69" s="272">
        <v>2992</v>
      </c>
      <c r="B69" s="272">
        <v>81870</v>
      </c>
      <c r="C69" s="273" t="s">
        <v>1056</v>
      </c>
      <c r="D69" s="273" t="s">
        <v>449</v>
      </c>
      <c r="E69" s="273">
        <v>81870</v>
      </c>
      <c r="F69" s="274">
        <v>43144</v>
      </c>
      <c r="G69" s="274">
        <v>43145</v>
      </c>
      <c r="H69" s="273">
        <v>1</v>
      </c>
      <c r="I69" s="275"/>
      <c r="J69" s="276">
        <v>194.75</v>
      </c>
      <c r="K69" s="275"/>
      <c r="L69" s="275"/>
      <c r="M69" s="275"/>
      <c r="N69" s="275"/>
      <c r="O69" s="275"/>
      <c r="P69" s="275"/>
      <c r="Q69" s="158">
        <f t="shared" si="31"/>
        <v>194.75</v>
      </c>
      <c r="R69" s="158">
        <f t="shared" si="32"/>
        <v>0</v>
      </c>
      <c r="S69" s="156">
        <f>IF(H69=0,(Q69+R69/EERR!$D$2/1.19),(Q69+R69/EERR!$D$2/1.19)/H69)</f>
        <v>194.75</v>
      </c>
      <c r="T69" s="158">
        <f>R69+Q69*EERR!$D$2</f>
        <v>116226.79999999999</v>
      </c>
      <c r="U69" s="153">
        <f ca="1">SUMIF(Siteminder!$A$5:$K$150,Feb!E69,Siteminder!$K$5:$K$150)</f>
        <v>1</v>
      </c>
      <c r="V69" s="313">
        <f>SUMIF(Transbank!$A$2:$A$433,B69,Transbank!$L$2:$L$433)+(I69+M69)+(J69+N69)*EERR!$D$2</f>
        <v>116226.79999999999</v>
      </c>
      <c r="W69" s="309">
        <f>V69/EERR!$D$2</f>
        <v>194.75</v>
      </c>
      <c r="X69" s="162">
        <f t="shared" si="25"/>
        <v>0</v>
      </c>
      <c r="Y69" s="168">
        <f t="shared" si="29"/>
        <v>0</v>
      </c>
      <c r="Z69" s="168">
        <f t="shared" si="30"/>
        <v>0</v>
      </c>
      <c r="AA69" s="153">
        <f>IFERROR(VLOOKUP(A69,#REF!,8,FALSE),0)</f>
        <v>0</v>
      </c>
      <c r="AB69" s="39"/>
    </row>
    <row r="70" spans="1:29" s="153" customFormat="1" x14ac:dyDescent="0.3">
      <c r="A70" s="272">
        <v>3024</v>
      </c>
      <c r="B70" s="272">
        <v>14669</v>
      </c>
      <c r="C70" s="273" t="s">
        <v>1125</v>
      </c>
      <c r="D70" s="273" t="s">
        <v>449</v>
      </c>
      <c r="E70" s="273">
        <v>14669</v>
      </c>
      <c r="F70" s="274">
        <v>43153</v>
      </c>
      <c r="G70" s="274">
        <v>43154</v>
      </c>
      <c r="H70" s="273">
        <v>1</v>
      </c>
      <c r="I70" s="275"/>
      <c r="J70" s="276"/>
      <c r="K70" s="275"/>
      <c r="L70" s="275">
        <v>194.75</v>
      </c>
      <c r="M70" s="275"/>
      <c r="N70" s="275"/>
      <c r="O70" s="275"/>
      <c r="P70" s="275"/>
      <c r="Q70" s="158">
        <f t="shared" si="31"/>
        <v>194.75</v>
      </c>
      <c r="R70" s="158">
        <f t="shared" si="32"/>
        <v>0</v>
      </c>
      <c r="S70" s="156">
        <f>IF(H70=0,(Q70+R70/EERR!$D$2/1.19),(Q70+R70/EERR!$D$2/1.19)/H70)</f>
        <v>194.75</v>
      </c>
      <c r="T70" s="158">
        <f>R70+Q70*EERR!$D$2</f>
        <v>116226.79999999999</v>
      </c>
      <c r="U70" s="153">
        <f ca="1">SUMIF(Siteminder!$A$5:$K$150,Feb!E70,Siteminder!$K$5:$K$150)</f>
        <v>1</v>
      </c>
      <c r="V70" s="313">
        <f>SUMIF(Transbank!$A$2:$A$433,B70,Transbank!$L$2:$L$433)+(I70+M70)+(J70+N70)*EERR!$D$2</f>
        <v>116226.79999999999</v>
      </c>
      <c r="W70" s="309">
        <f>V70/EERR!$D$2</f>
        <v>194.75</v>
      </c>
      <c r="X70" s="162">
        <f t="shared" si="25"/>
        <v>0</v>
      </c>
      <c r="Y70" s="168">
        <f t="shared" si="29"/>
        <v>0</v>
      </c>
      <c r="Z70" s="168">
        <f t="shared" si="30"/>
        <v>0</v>
      </c>
      <c r="AA70" s="153">
        <f>IFERROR(VLOOKUP(A70,#REF!,8,FALSE),0)</f>
        <v>0</v>
      </c>
      <c r="AB70" s="39"/>
    </row>
    <row r="71" spans="1:29" s="153" customFormat="1" x14ac:dyDescent="0.3">
      <c r="A71" s="272">
        <v>3025</v>
      </c>
      <c r="B71" s="272">
        <v>14841</v>
      </c>
      <c r="C71" s="273" t="s">
        <v>1125</v>
      </c>
      <c r="D71" s="273" t="s">
        <v>449</v>
      </c>
      <c r="E71" s="273">
        <v>14841</v>
      </c>
      <c r="F71" s="274">
        <v>43154</v>
      </c>
      <c r="G71" s="274">
        <v>43155</v>
      </c>
      <c r="H71" s="273">
        <v>1</v>
      </c>
      <c r="I71" s="275"/>
      <c r="J71" s="276"/>
      <c r="K71" s="275"/>
      <c r="L71" s="275">
        <v>194.75</v>
      </c>
      <c r="M71" s="275"/>
      <c r="N71" s="275"/>
      <c r="O71" s="275"/>
      <c r="P71" s="275"/>
      <c r="Q71" s="158">
        <f t="shared" si="31"/>
        <v>194.75</v>
      </c>
      <c r="R71" s="158">
        <f t="shared" si="32"/>
        <v>0</v>
      </c>
      <c r="S71" s="156">
        <f>IF(H71=0,(Q71+R71/EERR!$D$2/1.19),(Q71+R71/EERR!$D$2/1.19)/H71)</f>
        <v>194.75</v>
      </c>
      <c r="T71" s="158">
        <f>R71+Q71*EERR!$D$2</f>
        <v>116226.79999999999</v>
      </c>
      <c r="U71" s="153">
        <f ca="1">SUMIF(Siteminder!$A$5:$K$150,Feb!E71,Siteminder!$K$5:$K$150)</f>
        <v>1</v>
      </c>
      <c r="V71" s="313">
        <f>SUMIF(Transbank!$A$2:$A$433,B71,Transbank!$L$2:$L$433)+(I71+M71)+(J71+N71)*EERR!$D$2</f>
        <v>116226.79999999999</v>
      </c>
      <c r="W71" s="309">
        <f>V71/EERR!$D$2</f>
        <v>194.75</v>
      </c>
      <c r="X71" s="162">
        <f t="shared" si="25"/>
        <v>0</v>
      </c>
      <c r="Y71" s="168">
        <f t="shared" si="29"/>
        <v>0</v>
      </c>
      <c r="Z71" s="168">
        <f t="shared" si="30"/>
        <v>0</v>
      </c>
      <c r="AA71" s="153">
        <f>IFERROR(VLOOKUP(A71,#REF!,8,FALSE),0)</f>
        <v>0</v>
      </c>
      <c r="AB71" s="39"/>
    </row>
    <row r="72" spans="1:29" s="153" customFormat="1" x14ac:dyDescent="0.3">
      <c r="A72" s="272">
        <v>3036</v>
      </c>
      <c r="B72" s="272">
        <v>23670</v>
      </c>
      <c r="C72" s="273" t="s">
        <v>1066</v>
      </c>
      <c r="D72" s="273" t="s">
        <v>449</v>
      </c>
      <c r="E72" s="273">
        <v>23670</v>
      </c>
      <c r="F72" s="274">
        <v>43156</v>
      </c>
      <c r="G72" s="274">
        <v>43157</v>
      </c>
      <c r="H72" s="273">
        <v>1</v>
      </c>
      <c r="I72" s="275"/>
      <c r="J72" s="276"/>
      <c r="K72" s="275"/>
      <c r="L72" s="275">
        <v>97.38</v>
      </c>
      <c r="M72" s="275"/>
      <c r="N72" s="275"/>
      <c r="O72" s="275"/>
      <c r="P72" s="275"/>
      <c r="Q72" s="158">
        <f t="shared" si="31"/>
        <v>97.38</v>
      </c>
      <c r="R72" s="158">
        <f t="shared" si="32"/>
        <v>0</v>
      </c>
      <c r="S72" s="156">
        <f>IF(H72=0,(Q72+R72/EERR!$D$2/1.19),(Q72+R72/EERR!$D$2/1.19)/H72)</f>
        <v>97.38</v>
      </c>
      <c r="T72" s="158">
        <f>R72+Q72*EERR!$D$2</f>
        <v>58116.383999999991</v>
      </c>
      <c r="U72" s="153">
        <f ca="1">SUMIF(Siteminder!$A$5:$K$150,Feb!E72,Siteminder!$K$5:$K$150)</f>
        <v>1</v>
      </c>
      <c r="V72" s="313">
        <f>SUMIF(Transbank!$A$2:$A$433,B72,Transbank!$L$2:$L$433)+(I72+M72)+(J72+N72)*EERR!$D$2</f>
        <v>58116.383999999991</v>
      </c>
      <c r="W72" s="309">
        <f>V72/EERR!$D$2</f>
        <v>97.38</v>
      </c>
      <c r="X72" s="162">
        <f t="shared" si="25"/>
        <v>0</v>
      </c>
      <c r="Y72" s="168">
        <f t="shared" si="29"/>
        <v>0</v>
      </c>
      <c r="Z72" s="168">
        <f t="shared" si="30"/>
        <v>0</v>
      </c>
      <c r="AA72" s="153">
        <f>IFERROR(VLOOKUP(A72,#REF!,8,FALSE),0)</f>
        <v>0</v>
      </c>
      <c r="AB72" s="39"/>
    </row>
    <row r="73" spans="1:29" s="153" customFormat="1" x14ac:dyDescent="0.3">
      <c r="A73" s="272">
        <v>3037</v>
      </c>
      <c r="B73" s="272">
        <v>14850</v>
      </c>
      <c r="C73" s="273" t="s">
        <v>1125</v>
      </c>
      <c r="D73" s="273" t="s">
        <v>449</v>
      </c>
      <c r="E73" s="273">
        <v>14850</v>
      </c>
      <c r="F73" s="274">
        <v>43156</v>
      </c>
      <c r="G73" s="274">
        <v>43157</v>
      </c>
      <c r="H73" s="273">
        <v>1</v>
      </c>
      <c r="I73" s="275"/>
      <c r="J73" s="276"/>
      <c r="K73" s="275"/>
      <c r="L73" s="275">
        <v>194.75</v>
      </c>
      <c r="M73" s="275"/>
      <c r="N73" s="275"/>
      <c r="O73" s="275"/>
      <c r="P73" s="275"/>
      <c r="Q73" s="158">
        <f t="shared" si="31"/>
        <v>194.75</v>
      </c>
      <c r="R73" s="158">
        <f t="shared" si="32"/>
        <v>0</v>
      </c>
      <c r="S73" s="156">
        <f>IF(H73=0,(Q73+R73/EERR!$D$2/1.19),(Q73+R73/EERR!$D$2/1.19)/H73)</f>
        <v>194.75</v>
      </c>
      <c r="T73" s="158">
        <f>R73+Q73*EERR!$D$2</f>
        <v>116226.79999999999</v>
      </c>
      <c r="U73" s="153">
        <f ca="1">SUMIF(Siteminder!$A$5:$K$150,Feb!E73,Siteminder!$K$5:$K$150)</f>
        <v>1</v>
      </c>
      <c r="V73" s="313">
        <f>SUMIF(Transbank!$A$2:$A$433,B73,Transbank!$L$2:$L$433)+(I73+M73)+(J73+N73)*EERR!$D$2</f>
        <v>116226.79999999999</v>
      </c>
      <c r="W73" s="309">
        <f>V73/EERR!$D$2</f>
        <v>194.75</v>
      </c>
      <c r="X73" s="162">
        <f t="shared" si="25"/>
        <v>0</v>
      </c>
      <c r="Y73" s="168">
        <f t="shared" si="29"/>
        <v>0</v>
      </c>
      <c r="Z73" s="168">
        <f t="shared" si="30"/>
        <v>0</v>
      </c>
      <c r="AA73" s="153">
        <f>IFERROR(VLOOKUP(A73,#REF!,8,FALSE),0)</f>
        <v>0</v>
      </c>
      <c r="AB73" s="39"/>
    </row>
    <row r="74" spans="1:29" s="153" customFormat="1" x14ac:dyDescent="0.3">
      <c r="A74" s="272">
        <v>3039</v>
      </c>
      <c r="B74" s="272">
        <v>27039</v>
      </c>
      <c r="C74" s="273" t="s">
        <v>1126</v>
      </c>
      <c r="D74" s="273" t="s">
        <v>449</v>
      </c>
      <c r="E74" s="273">
        <v>27039</v>
      </c>
      <c r="F74" s="274">
        <v>43157</v>
      </c>
      <c r="G74" s="274">
        <v>43159</v>
      </c>
      <c r="H74" s="273">
        <v>2</v>
      </c>
      <c r="I74" s="275"/>
      <c r="J74" s="276"/>
      <c r="K74" s="275"/>
      <c r="L74" s="275">
        <v>370.5</v>
      </c>
      <c r="M74" s="275"/>
      <c r="N74" s="275"/>
      <c r="O74" s="275"/>
      <c r="P74" s="275"/>
      <c r="Q74" s="158">
        <f t="shared" si="31"/>
        <v>370.5</v>
      </c>
      <c r="R74" s="158">
        <f t="shared" si="32"/>
        <v>0</v>
      </c>
      <c r="S74" s="156">
        <f>IF(H74=0,(Q74+R74/EERR!$D$2/1.19),(Q74+R74/EERR!$D$2/1.19)/H74)</f>
        <v>185.25</v>
      </c>
      <c r="T74" s="158">
        <f>R74+Q74*EERR!$D$2</f>
        <v>221114.4</v>
      </c>
      <c r="U74" s="153">
        <f ca="1">SUMIF(Siteminder!$A$5:$K$150,Feb!E74,Siteminder!$K$5:$K$150)</f>
        <v>2</v>
      </c>
      <c r="V74" s="313">
        <f>SUMIF(Transbank!$A$2:$A$433,B74,Transbank!$L$2:$L$433)+(I74+M74)+(J74+N74)*EERR!$D$2</f>
        <v>221114.4</v>
      </c>
      <c r="W74" s="309">
        <f>V74/EERR!$D$2</f>
        <v>370.5</v>
      </c>
      <c r="X74" s="162">
        <f t="shared" si="25"/>
        <v>0</v>
      </c>
      <c r="Y74" s="168">
        <f t="shared" si="26"/>
        <v>0</v>
      </c>
      <c r="Z74" s="168">
        <f t="shared" si="27"/>
        <v>0</v>
      </c>
      <c r="AA74" s="153">
        <f>IFERROR(VLOOKUP(A74,#REF!,8,FALSE),0)</f>
        <v>0</v>
      </c>
      <c r="AB74" s="39">
        <f t="shared" si="28"/>
        <v>370.5</v>
      </c>
    </row>
    <row r="75" spans="1:29" s="153" customFormat="1" x14ac:dyDescent="0.3">
      <c r="A75" s="272">
        <v>3040</v>
      </c>
      <c r="B75" s="272">
        <v>27051</v>
      </c>
      <c r="C75" s="273" t="s">
        <v>1127</v>
      </c>
      <c r="D75" s="273" t="s">
        <v>449</v>
      </c>
      <c r="E75" s="273">
        <v>27051</v>
      </c>
      <c r="F75" s="274">
        <v>43157</v>
      </c>
      <c r="G75" s="274">
        <v>43159</v>
      </c>
      <c r="H75" s="273">
        <v>2</v>
      </c>
      <c r="I75" s="275"/>
      <c r="J75" s="276"/>
      <c r="K75" s="275"/>
      <c r="L75" s="275">
        <v>389.5</v>
      </c>
      <c r="M75" s="275"/>
      <c r="N75" s="275"/>
      <c r="O75" s="275"/>
      <c r="P75" s="275"/>
      <c r="Q75" s="158">
        <f t="shared" si="31"/>
        <v>389.5</v>
      </c>
      <c r="R75" s="158">
        <f t="shared" si="32"/>
        <v>0</v>
      </c>
      <c r="S75" s="156">
        <f>IF(H75=0,(Q75+R75/EERR!$D$2/1.19),(Q75+R75/EERR!$D$2/1.19)/H75)</f>
        <v>194.75</v>
      </c>
      <c r="T75" s="158">
        <f>R75+Q75*EERR!$D$2</f>
        <v>232453.59999999998</v>
      </c>
      <c r="U75" s="153">
        <f ca="1">SUMIF(Siteminder!$A$5:$K$150,Feb!E75,Siteminder!$K$5:$K$150)</f>
        <v>2</v>
      </c>
      <c r="V75" s="313">
        <f>SUMIF(Transbank!$A$2:$A$433,B75,Transbank!$L$2:$L$433)+(I75+M75)+(J75+N75)*EERR!$D$2</f>
        <v>232453.59999999998</v>
      </c>
      <c r="W75" s="309">
        <f>V75/EERR!$D$2</f>
        <v>389.5</v>
      </c>
      <c r="X75" s="162">
        <f t="shared" si="25"/>
        <v>0</v>
      </c>
      <c r="Y75" s="168">
        <f t="shared" si="26"/>
        <v>0</v>
      </c>
      <c r="Z75" s="168">
        <f t="shared" si="27"/>
        <v>0</v>
      </c>
      <c r="AA75" s="153">
        <f>IFERROR(VLOOKUP(A75,#REF!,8,FALSE),0)</f>
        <v>0</v>
      </c>
      <c r="AB75" s="39">
        <f t="shared" si="28"/>
        <v>389.5</v>
      </c>
    </row>
    <row r="76" spans="1:29" s="153" customFormat="1" x14ac:dyDescent="0.3">
      <c r="A76" s="272">
        <v>3044</v>
      </c>
      <c r="B76" s="272">
        <v>33828</v>
      </c>
      <c r="C76" s="273" t="s">
        <v>1128</v>
      </c>
      <c r="D76" s="273" t="s">
        <v>449</v>
      </c>
      <c r="E76" s="273">
        <v>33828</v>
      </c>
      <c r="F76" s="274">
        <v>43159</v>
      </c>
      <c r="G76" s="274">
        <v>43160</v>
      </c>
      <c r="H76" s="273">
        <v>1</v>
      </c>
      <c r="I76" s="275"/>
      <c r="J76" s="276"/>
      <c r="K76" s="275"/>
      <c r="L76" s="275"/>
      <c r="M76" s="275"/>
      <c r="N76" s="275"/>
      <c r="O76" s="275"/>
      <c r="P76" s="275">
        <v>185.25</v>
      </c>
      <c r="Q76" s="158">
        <f t="shared" ref="Q76" si="33">J76+L76+N76+P76</f>
        <v>185.25</v>
      </c>
      <c r="R76" s="158">
        <f t="shared" ref="R76" si="34">K76+M76+I76+O76</f>
        <v>0</v>
      </c>
      <c r="S76" s="156">
        <f>IF(H76=0,(Q76+R76/EERR!$D$2/1.19),(Q76+R76/EERR!$D$2/1.19)/H76)</f>
        <v>185.25</v>
      </c>
      <c r="T76" s="158">
        <f>R76+Q76*EERR!$D$2</f>
        <v>110557.2</v>
      </c>
      <c r="U76" s="153">
        <f ca="1">SUMIF(Siteminder!$A$5:$K$150,Feb!E76,Siteminder!$K$5:$K$150)</f>
        <v>1</v>
      </c>
      <c r="V76" s="313">
        <f>SUMIF(Transbank!$A$2:$A$433,B76,Transbank!$L$2:$L$433)+(I76+M76)+(J76+N76)*EERR!$D$2</f>
        <v>110557.2</v>
      </c>
      <c r="W76" s="309">
        <f>V76/EERR!$D$2</f>
        <v>185.25</v>
      </c>
      <c r="X76" s="162">
        <f t="shared" si="25"/>
        <v>0</v>
      </c>
      <c r="Y76" s="168">
        <f t="shared" si="26"/>
        <v>0</v>
      </c>
      <c r="Z76" s="168">
        <f t="shared" si="27"/>
        <v>0</v>
      </c>
      <c r="AA76" s="153">
        <f>IFERROR(VLOOKUP(A76,#REF!,8,FALSE),0)</f>
        <v>0</v>
      </c>
      <c r="AB76" s="39">
        <f t="shared" si="28"/>
        <v>185.25</v>
      </c>
    </row>
    <row r="77" spans="1:29" s="153" customFormat="1" x14ac:dyDescent="0.3">
      <c r="A77" s="272"/>
      <c r="B77" s="272"/>
      <c r="C77" s="273"/>
      <c r="D77" s="273"/>
      <c r="E77" s="273"/>
      <c r="F77" s="274"/>
      <c r="G77" s="274"/>
      <c r="H77" s="273"/>
      <c r="I77" s="275"/>
      <c r="J77" s="276"/>
      <c r="K77" s="275"/>
      <c r="L77" s="275"/>
      <c r="M77" s="275"/>
      <c r="N77" s="275"/>
      <c r="O77" s="275"/>
      <c r="P77" s="275"/>
      <c r="Q77" s="158">
        <f t="shared" si="23"/>
        <v>0</v>
      </c>
      <c r="R77" s="158">
        <f t="shared" si="24"/>
        <v>0</v>
      </c>
      <c r="S77" s="156">
        <f>IF(H77=0,(Q77+R77/EERR!$D$2/1.19),(Q77+R77/EERR!$D$2/1.19)/H77)</f>
        <v>0</v>
      </c>
      <c r="T77" s="158">
        <f>R77+Q77*EERR!$D$2</f>
        <v>0</v>
      </c>
      <c r="U77" s="153">
        <f ca="1">SUMIF(Siteminder!$A$5:$K$150,Feb!E77,Siteminder!$K$5:$K$150)</f>
        <v>0</v>
      </c>
      <c r="V77" s="310">
        <f>SUMIF(Transbank!$A$2:$A$433,B77,Transbank!$L$2:$L$433)+(I77+M77)+(J77+N77)*EERR!$D$2</f>
        <v>0</v>
      </c>
      <c r="W77" s="309">
        <f>V77/EERR!$D$2</f>
        <v>0</v>
      </c>
      <c r="X77" s="162">
        <f t="shared" si="25"/>
        <v>0</v>
      </c>
      <c r="Y77" s="168">
        <f t="shared" si="20"/>
        <v>0</v>
      </c>
      <c r="Z77" s="168">
        <f t="shared" si="21"/>
        <v>0</v>
      </c>
      <c r="AA77" s="153">
        <f>IFERROR(VLOOKUP(A77,#REF!,8,FALSE),0)</f>
        <v>0</v>
      </c>
      <c r="AB77" s="39">
        <f t="shared" si="22"/>
        <v>0</v>
      </c>
    </row>
    <row r="78" spans="1:29" s="153" customFormat="1" x14ac:dyDescent="0.3">
      <c r="A78" s="272"/>
      <c r="B78" s="272"/>
      <c r="C78" s="273"/>
      <c r="D78" s="273"/>
      <c r="E78" s="273"/>
      <c r="F78" s="274"/>
      <c r="G78" s="274"/>
      <c r="H78" s="273"/>
      <c r="I78" s="275"/>
      <c r="J78" s="276"/>
      <c r="K78" s="275"/>
      <c r="L78" s="275"/>
      <c r="M78" s="275"/>
      <c r="N78" s="275"/>
      <c r="O78" s="275"/>
      <c r="P78" s="275"/>
      <c r="Q78" s="158">
        <f t="shared" si="23"/>
        <v>0</v>
      </c>
      <c r="R78" s="158">
        <f t="shared" si="24"/>
        <v>0</v>
      </c>
      <c r="S78" s="156">
        <f>IF(H78=0,(Q78+R78/EERR!$D$2/1.19),(Q78+R78/EERR!$D$2/1.19)/H78)</f>
        <v>0</v>
      </c>
      <c r="T78" s="158">
        <f>R78+Q78*EERR!$D$2</f>
        <v>0</v>
      </c>
      <c r="U78" s="153">
        <f ca="1">SUMIF(Siteminder!$A$5:$K$150,Feb!E78,Siteminder!$K$5:$K$150)</f>
        <v>0</v>
      </c>
      <c r="V78" s="294">
        <f>SUMIF(Transbank!$A$2:$A$433,B78,Transbank!$L$2:$L$433)+(I78+M78)+(J78+N78)*EERR!$D$2</f>
        <v>0</v>
      </c>
      <c r="W78" s="296">
        <f>V78/EERR!$D$2</f>
        <v>0</v>
      </c>
      <c r="X78" s="162">
        <f t="shared" si="25"/>
        <v>0</v>
      </c>
      <c r="Y78" s="168">
        <f t="shared" si="20"/>
        <v>0</v>
      </c>
      <c r="Z78" s="168">
        <f t="shared" si="21"/>
        <v>0</v>
      </c>
      <c r="AA78" s="153">
        <f>IFERROR(VLOOKUP(A78,#REF!,8,FALSE),0)</f>
        <v>0</v>
      </c>
      <c r="AB78" s="39">
        <f t="shared" si="22"/>
        <v>0</v>
      </c>
    </row>
    <row r="79" spans="1:29" x14ac:dyDescent="0.3">
      <c r="A79" s="256"/>
      <c r="B79" s="256"/>
      <c r="C79" s="256"/>
      <c r="D79" s="256"/>
      <c r="E79" s="256"/>
      <c r="F79" s="261"/>
      <c r="G79" s="261"/>
      <c r="H79" s="262">
        <f>SUM(H64:H78)</f>
        <v>22</v>
      </c>
      <c r="I79" s="262">
        <f t="shared" ref="I79:R79" si="35">SUM(I64:I78)</f>
        <v>0</v>
      </c>
      <c r="J79" s="262">
        <f t="shared" si="35"/>
        <v>1318.5</v>
      </c>
      <c r="K79" s="262">
        <f t="shared" si="35"/>
        <v>360570</v>
      </c>
      <c r="L79" s="262">
        <f t="shared" si="35"/>
        <v>1486.38</v>
      </c>
      <c r="M79" s="262">
        <f t="shared" si="35"/>
        <v>0</v>
      </c>
      <c r="N79" s="262">
        <f t="shared" si="35"/>
        <v>0</v>
      </c>
      <c r="O79" s="262">
        <f t="shared" si="35"/>
        <v>142425</v>
      </c>
      <c r="P79" s="262">
        <f t="shared" si="35"/>
        <v>565.25</v>
      </c>
      <c r="Q79" s="262">
        <f>SUM(Q64:Q78)</f>
        <v>3370.13</v>
      </c>
      <c r="R79" s="262">
        <f t="shared" si="35"/>
        <v>502995</v>
      </c>
      <c r="S79" s="262">
        <f>IF(H79=0,(Q79+R79/EERR!$D$2/1.19),(Q79+R79/EERR!$D$2/1.19)/H79)</f>
        <v>185.38100611972794</v>
      </c>
      <c r="T79" s="262">
        <f>SUM(T64:T78)</f>
        <v>2514288.5840000007</v>
      </c>
      <c r="U79" s="153">
        <f ca="1">SUMIF(Siteminder!$A$5:$K$150,Feb!E79,Siteminder!$K$5:$K$150)</f>
        <v>0</v>
      </c>
      <c r="V79" s="262">
        <f>SUM(V64:V78)</f>
        <v>2535993.9840000006</v>
      </c>
      <c r="W79" s="262"/>
      <c r="X79" s="162">
        <f t="shared" si="16"/>
        <v>21705.399999999907</v>
      </c>
      <c r="Y79" s="168"/>
      <c r="Z79" s="168"/>
      <c r="AA79" s="153"/>
      <c r="AB79" s="39"/>
    </row>
    <row r="80" spans="1:29" x14ac:dyDescent="0.3">
      <c r="A80" s="272">
        <v>2988</v>
      </c>
      <c r="B80" s="272">
        <v>76128</v>
      </c>
      <c r="C80" s="273" t="s">
        <v>1129</v>
      </c>
      <c r="D80" s="273" t="s">
        <v>269</v>
      </c>
      <c r="E80" s="273">
        <v>969676128</v>
      </c>
      <c r="F80" s="274">
        <v>43139</v>
      </c>
      <c r="G80" s="274">
        <v>43140</v>
      </c>
      <c r="H80" s="273">
        <v>1</v>
      </c>
      <c r="I80" s="275"/>
      <c r="J80" s="276"/>
      <c r="K80" s="275"/>
      <c r="L80" s="275">
        <v>205</v>
      </c>
      <c r="M80" s="275"/>
      <c r="N80" s="275"/>
      <c r="O80" s="275"/>
      <c r="P80" s="275"/>
      <c r="Q80" s="158">
        <f t="shared" ref="Q80" si="36">J80+L80+N80+P80</f>
        <v>205</v>
      </c>
      <c r="R80" s="158">
        <f t="shared" ref="R80" si="37">K80+M80+I80+O80</f>
        <v>0</v>
      </c>
      <c r="S80" s="156">
        <f>IF(H80=0,(Q80+R80/EERR!$D$2/1.19),(Q80+R80/EERR!$D$2/1.19)/H80)</f>
        <v>205</v>
      </c>
      <c r="T80" s="158">
        <f>R80+Q80*EERR!$D$2</f>
        <v>122343.99999999999</v>
      </c>
      <c r="U80" s="153">
        <f ca="1">SUMIF(Siteminder!$A$5:$K$150,Feb!E80,Siteminder!$K$5:$K$150)</f>
        <v>1</v>
      </c>
      <c r="V80" s="310">
        <f>SUMIF(Transbank!$A$2:$A$433,B80,Transbank!$L$2:$L$433)+(I80+M80)+(J80+N80)*EERR!$D$2</f>
        <v>130816.65</v>
      </c>
      <c r="W80" s="310">
        <f>V80/EERR!$D$2</f>
        <v>219.19679959785523</v>
      </c>
      <c r="X80" s="295">
        <f t="shared" si="16"/>
        <v>8472.6500000000087</v>
      </c>
      <c r="Y80" s="162">
        <f t="shared" ref="Y80" si="38">(I80+K80+M80)/1.19</f>
        <v>0</v>
      </c>
      <c r="Z80" s="162">
        <f t="shared" ref="Z80" si="39">IF(AA80="b",(I80+K80+M80)*0.19,0)</f>
        <v>0</v>
      </c>
      <c r="AA80" s="153">
        <f>IFERROR(VLOOKUP(A80,#REF!,8,FALSE),0)</f>
        <v>0</v>
      </c>
      <c r="AB80" s="39">
        <f t="shared" ref="AB80" si="40">Q80-AA80</f>
        <v>205</v>
      </c>
      <c r="AC80" s="33" t="s">
        <v>390</v>
      </c>
    </row>
    <row r="81" spans="1:28" s="153" customFormat="1" x14ac:dyDescent="0.3">
      <c r="A81" s="272">
        <v>2999</v>
      </c>
      <c r="B81" s="272">
        <v>29074</v>
      </c>
      <c r="C81" s="273" t="s">
        <v>1130</v>
      </c>
      <c r="D81" s="273" t="s">
        <v>269</v>
      </c>
      <c r="E81" s="273">
        <v>901629074</v>
      </c>
      <c r="F81" s="274">
        <v>43141</v>
      </c>
      <c r="G81" s="274">
        <v>43142</v>
      </c>
      <c r="H81" s="273">
        <v>1</v>
      </c>
      <c r="I81" s="275"/>
      <c r="J81" s="276"/>
      <c r="K81" s="275"/>
      <c r="L81" s="275"/>
      <c r="M81" s="275"/>
      <c r="N81" s="275"/>
      <c r="O81" s="275"/>
      <c r="P81" s="275">
        <v>195</v>
      </c>
      <c r="Q81" s="158">
        <f t="shared" ref="Q81:Q87" si="41">J81+L81+N81+P81</f>
        <v>195</v>
      </c>
      <c r="R81" s="158">
        <f t="shared" ref="R81:R87" si="42">K81+M81+I81+O81</f>
        <v>0</v>
      </c>
      <c r="S81" s="156">
        <f>IF(H81=0,(Q81+R81/EERR!$D$2/1.19),(Q81+R81/EERR!$D$2/1.19)/H81)</f>
        <v>195</v>
      </c>
      <c r="T81" s="158">
        <f>R81+Q81*EERR!$D$2</f>
        <v>116375.99999999999</v>
      </c>
      <c r="U81" s="153">
        <f ca="1">SUMIF(Siteminder!$A$5:$K$150,Feb!E81,Siteminder!$K$5:$K$150)</f>
        <v>1</v>
      </c>
      <c r="V81" s="310">
        <f>SUMIF(Transbank!$A$2:$A$433,B81,Transbank!$L$2:$L$433)+(I81+M81)+(J81+N81)*EERR!$D$2</f>
        <v>124435.35</v>
      </c>
      <c r="W81" s="310">
        <f>V81/EERR!$D$2</f>
        <v>208.50427278820379</v>
      </c>
      <c r="X81" s="162">
        <f t="shared" ref="X81:X87" si="43">+V81-T81</f>
        <v>8059.3500000000204</v>
      </c>
      <c r="Y81" s="162">
        <f t="shared" ref="Y81:Y87" si="44">(I81+K81+M81)/1.19</f>
        <v>0</v>
      </c>
      <c r="Z81" s="162">
        <f t="shared" ref="Z81:Z87" si="45">IF(AA81="b",(I81+K81+M81)*0.19,0)</f>
        <v>0</v>
      </c>
      <c r="AB81" s="39"/>
    </row>
    <row r="82" spans="1:28" s="153" customFormat="1" x14ac:dyDescent="0.3">
      <c r="A82" s="272">
        <v>2994</v>
      </c>
      <c r="B82" s="272">
        <v>42143</v>
      </c>
      <c r="C82" s="273" t="s">
        <v>1131</v>
      </c>
      <c r="D82" s="273" t="s">
        <v>269</v>
      </c>
      <c r="E82" s="273">
        <v>948142143</v>
      </c>
      <c r="F82" s="274">
        <v>43142</v>
      </c>
      <c r="G82" s="274">
        <v>43143</v>
      </c>
      <c r="H82" s="273">
        <v>1</v>
      </c>
      <c r="I82" s="275"/>
      <c r="J82" s="276"/>
      <c r="K82" s="275"/>
      <c r="L82" s="275"/>
      <c r="M82" s="275"/>
      <c r="N82" s="275"/>
      <c r="O82" s="275"/>
      <c r="P82" s="275">
        <v>205</v>
      </c>
      <c r="Q82" s="158">
        <f t="shared" si="41"/>
        <v>205</v>
      </c>
      <c r="R82" s="158">
        <f t="shared" si="42"/>
        <v>0</v>
      </c>
      <c r="S82" s="156">
        <f>IF(H82=0,(Q82+R82/EERR!$D$2/1.19),(Q82+R82/EERR!$D$2/1.19)/H82)</f>
        <v>205</v>
      </c>
      <c r="T82" s="158">
        <f>R82+Q82*EERR!$D$2</f>
        <v>122343.99999999999</v>
      </c>
      <c r="U82" s="153">
        <f ca="1">SUMIF(Siteminder!$A$5:$K$150,Feb!E82,Siteminder!$K$5:$K$150)</f>
        <v>1</v>
      </c>
      <c r="V82" s="310">
        <f>SUMIF(Transbank!$A$2:$A$433,B82,Transbank!$L$2:$L$433)+(I82+M82)+(J82+N82)*EERR!$D$2</f>
        <v>130816.65</v>
      </c>
      <c r="W82" s="310">
        <f>V82/EERR!$D$2</f>
        <v>219.19679959785523</v>
      </c>
      <c r="X82" s="162">
        <f t="shared" si="43"/>
        <v>8472.6500000000087</v>
      </c>
      <c r="Y82" s="162">
        <f t="shared" si="44"/>
        <v>0</v>
      </c>
      <c r="Z82" s="162">
        <f t="shared" si="45"/>
        <v>0</v>
      </c>
      <c r="AB82" s="39"/>
    </row>
    <row r="83" spans="1:28" s="153" customFormat="1" x14ac:dyDescent="0.3">
      <c r="A83" s="272">
        <v>3000</v>
      </c>
      <c r="B83" s="272">
        <v>42866</v>
      </c>
      <c r="C83" s="273" t="s">
        <v>1130</v>
      </c>
      <c r="D83" s="273" t="s">
        <v>269</v>
      </c>
      <c r="E83" s="273">
        <v>901042866</v>
      </c>
      <c r="F83" s="274">
        <v>43142</v>
      </c>
      <c r="G83" s="274">
        <v>43145</v>
      </c>
      <c r="H83" s="273">
        <v>3</v>
      </c>
      <c r="I83" s="275"/>
      <c r="J83" s="276"/>
      <c r="K83" s="275"/>
      <c r="L83" s="275">
        <v>390</v>
      </c>
      <c r="M83" s="275"/>
      <c r="N83" s="275"/>
      <c r="O83" s="275"/>
      <c r="P83" s="275">
        <v>195</v>
      </c>
      <c r="Q83" s="158">
        <f t="shared" si="41"/>
        <v>585</v>
      </c>
      <c r="R83" s="158">
        <f t="shared" si="42"/>
        <v>0</v>
      </c>
      <c r="S83" s="156">
        <f>IF(H83=0,(Q83+R83/EERR!$D$2/1.19),(Q83+R83/EERR!$D$2/1.19)/H83)</f>
        <v>195</v>
      </c>
      <c r="T83" s="158">
        <f>R83+Q83*EERR!$D$2</f>
        <v>349128</v>
      </c>
      <c r="U83" s="153">
        <f ca="1">SUMIF(Siteminder!$A$5:$K$150,Feb!E83,Siteminder!$K$5:$K$150)</f>
        <v>3</v>
      </c>
      <c r="V83" s="310">
        <f>SUMIF(Transbank!$A$2:$A$433,B83,Transbank!$L$2:$L$433)+(I83+M83)+(J83+N83)*EERR!$D$2</f>
        <v>360768.15</v>
      </c>
      <c r="W83" s="310">
        <f>V83/EERR!$D$2</f>
        <v>604.50427278820382</v>
      </c>
      <c r="X83" s="162">
        <f t="shared" si="43"/>
        <v>11640.150000000023</v>
      </c>
      <c r="Y83" s="162">
        <f t="shared" si="44"/>
        <v>0</v>
      </c>
      <c r="Z83" s="162">
        <f t="shared" si="45"/>
        <v>0</v>
      </c>
      <c r="AB83" s="39"/>
    </row>
    <row r="84" spans="1:28" s="153" customFormat="1" x14ac:dyDescent="0.3">
      <c r="A84" s="272">
        <v>36149</v>
      </c>
      <c r="B84" s="272">
        <v>36149</v>
      </c>
      <c r="C84" s="273" t="s">
        <v>1132</v>
      </c>
      <c r="D84" s="273" t="s">
        <v>269</v>
      </c>
      <c r="E84" s="273">
        <v>937036149</v>
      </c>
      <c r="F84" s="274">
        <v>43143</v>
      </c>
      <c r="G84" s="274">
        <v>43147</v>
      </c>
      <c r="H84" s="273">
        <v>4</v>
      </c>
      <c r="I84" s="275"/>
      <c r="J84" s="276"/>
      <c r="K84" s="275">
        <v>420475</v>
      </c>
      <c r="L84" s="275"/>
      <c r="M84" s="275"/>
      <c r="N84" s="275"/>
      <c r="O84" s="275">
        <v>140158</v>
      </c>
      <c r="P84" s="275"/>
      <c r="Q84" s="158">
        <f t="shared" si="41"/>
        <v>0</v>
      </c>
      <c r="R84" s="158">
        <f t="shared" si="42"/>
        <v>560633</v>
      </c>
      <c r="S84" s="156">
        <f>IF(H84=0,(Q84+R84/EERR!$D$2/1.19),(Q84+R84/EERR!$D$2/1.19)/H84)</f>
        <v>197.35261732038663</v>
      </c>
      <c r="T84" s="158">
        <f>R84+Q84*EERR!$D$2</f>
        <v>560633</v>
      </c>
      <c r="U84" s="153">
        <f ca="1">SUMIF(Siteminder!$A$5:$K$150,Feb!E84,Siteminder!$K$5:$K$150)</f>
        <v>4</v>
      </c>
      <c r="V84" s="310">
        <f>SUMIF(Transbank!$A$2:$A$433,B84,Transbank!$L$2:$L$433)+(I84+M84)+(J84+N84)*EERR!$D$2</f>
        <v>560633</v>
      </c>
      <c r="W84" s="310">
        <f>V84/EERR!$D$2</f>
        <v>939.39845844504032</v>
      </c>
      <c r="X84" s="162">
        <f t="shared" si="43"/>
        <v>0</v>
      </c>
      <c r="Y84" s="162">
        <f t="shared" si="44"/>
        <v>353340.33613445377</v>
      </c>
      <c r="Z84" s="162">
        <f t="shared" si="45"/>
        <v>0</v>
      </c>
      <c r="AB84" s="39"/>
    </row>
    <row r="85" spans="1:28" s="153" customFormat="1" x14ac:dyDescent="0.3">
      <c r="A85" s="272">
        <v>3008</v>
      </c>
      <c r="B85" s="272">
        <v>95741</v>
      </c>
      <c r="C85" s="273" t="s">
        <v>1133</v>
      </c>
      <c r="D85" s="273" t="s">
        <v>269</v>
      </c>
      <c r="E85" s="273">
        <v>956395741</v>
      </c>
      <c r="F85" s="274">
        <v>43147</v>
      </c>
      <c r="G85" s="274">
        <v>43148</v>
      </c>
      <c r="H85" s="273">
        <v>1</v>
      </c>
      <c r="I85" s="275"/>
      <c r="J85" s="276"/>
      <c r="K85" s="275"/>
      <c r="L85" s="275"/>
      <c r="M85" s="275"/>
      <c r="N85" s="275"/>
      <c r="O85" s="275"/>
      <c r="P85" s="275">
        <v>205</v>
      </c>
      <c r="Q85" s="158">
        <f t="shared" si="41"/>
        <v>205</v>
      </c>
      <c r="R85" s="158">
        <f t="shared" si="42"/>
        <v>0</v>
      </c>
      <c r="S85" s="156">
        <f>IF(H85=0,(Q85+R85/EERR!$D$2/1.19),(Q85+R85/EERR!$D$2/1.19)/H85)</f>
        <v>205</v>
      </c>
      <c r="T85" s="158">
        <f>R85+Q85*EERR!$D$2</f>
        <v>122343.99999999999</v>
      </c>
      <c r="U85" s="153">
        <f ca="1">SUMIF(Siteminder!$A$5:$K$150,Feb!E85,Siteminder!$K$5:$K$150)</f>
        <v>1</v>
      </c>
      <c r="V85" s="310">
        <f>SUMIF(Transbank!$A$2:$A$433,B85,Transbank!$L$2:$L$433)+(I85+M85)+(J85+N85)*EERR!$D$2</f>
        <v>130816.65</v>
      </c>
      <c r="W85" s="310">
        <f>V85/EERR!$D$2</f>
        <v>219.19679959785523</v>
      </c>
      <c r="X85" s="162">
        <f t="shared" si="43"/>
        <v>8472.6500000000087</v>
      </c>
      <c r="Y85" s="162">
        <f t="shared" si="44"/>
        <v>0</v>
      </c>
      <c r="Z85" s="162">
        <f t="shared" si="45"/>
        <v>0</v>
      </c>
      <c r="AB85" s="39"/>
    </row>
    <row r="86" spans="1:28" s="153" customFormat="1" x14ac:dyDescent="0.3">
      <c r="A86" s="272">
        <v>3009</v>
      </c>
      <c r="B86" s="272">
        <v>95742</v>
      </c>
      <c r="C86" s="273" t="s">
        <v>1134</v>
      </c>
      <c r="D86" s="273" t="s">
        <v>269</v>
      </c>
      <c r="E86" s="273">
        <v>956395742</v>
      </c>
      <c r="F86" s="274">
        <v>43147</v>
      </c>
      <c r="G86" s="274">
        <v>43148</v>
      </c>
      <c r="H86" s="273">
        <v>1</v>
      </c>
      <c r="I86" s="275"/>
      <c r="J86" s="276"/>
      <c r="K86" s="275"/>
      <c r="L86" s="275"/>
      <c r="M86" s="275"/>
      <c r="N86" s="275"/>
      <c r="O86" s="275"/>
      <c r="P86" s="275">
        <v>205</v>
      </c>
      <c r="Q86" s="158">
        <f t="shared" si="41"/>
        <v>205</v>
      </c>
      <c r="R86" s="158">
        <f t="shared" si="42"/>
        <v>0</v>
      </c>
      <c r="S86" s="156">
        <f>IF(H86=0,(Q86+R86/EERR!$D$2/1.19),(Q86+R86/EERR!$D$2/1.19)/H86)</f>
        <v>205</v>
      </c>
      <c r="T86" s="158">
        <f>R86+Q86*EERR!$D$2</f>
        <v>122343.99999999999</v>
      </c>
      <c r="U86" s="153">
        <f ca="1">SUMIF(Siteminder!$A$5:$K$150,Feb!E86,Siteminder!$K$5:$K$150)</f>
        <v>1</v>
      </c>
      <c r="V86" s="310">
        <f>SUMIF(Transbank!$A$2:$A$433,B86,Transbank!$L$2:$L$433)+(I86+M86)+(J86+N86)*EERR!$D$2</f>
        <v>130816.65</v>
      </c>
      <c r="W86" s="310">
        <f>V86/EERR!$D$2</f>
        <v>219.19679959785523</v>
      </c>
      <c r="X86" s="162">
        <f t="shared" si="43"/>
        <v>8472.6500000000087</v>
      </c>
      <c r="Y86" s="162">
        <f t="shared" si="44"/>
        <v>0</v>
      </c>
      <c r="Z86" s="162">
        <f t="shared" si="45"/>
        <v>0</v>
      </c>
      <c r="AB86" s="39"/>
    </row>
    <row r="87" spans="1:28" s="153" customFormat="1" x14ac:dyDescent="0.3">
      <c r="A87" s="272">
        <v>3033</v>
      </c>
      <c r="B87" s="272">
        <v>2305</v>
      </c>
      <c r="C87" s="273" t="s">
        <v>1135</v>
      </c>
      <c r="D87" s="273" t="s">
        <v>269</v>
      </c>
      <c r="E87" s="273">
        <v>968502305</v>
      </c>
      <c r="F87" s="274">
        <v>43155</v>
      </c>
      <c r="G87" s="274">
        <v>43158</v>
      </c>
      <c r="H87" s="273">
        <v>3</v>
      </c>
      <c r="I87" s="275"/>
      <c r="J87" s="276"/>
      <c r="K87" s="275"/>
      <c r="L87" s="275">
        <v>400</v>
      </c>
      <c r="M87" s="275"/>
      <c r="N87" s="275"/>
      <c r="O87" s="275"/>
      <c r="P87" s="275">
        <v>205</v>
      </c>
      <c r="Q87" s="158">
        <f t="shared" si="41"/>
        <v>605</v>
      </c>
      <c r="R87" s="158">
        <f t="shared" si="42"/>
        <v>0</v>
      </c>
      <c r="S87" s="156">
        <f>IF(H87=0,(Q87+R87/EERR!$D$2/1.19),(Q87+R87/EERR!$D$2/1.19)/H87)</f>
        <v>201.66666666666666</v>
      </c>
      <c r="T87" s="158">
        <f>R87+Q87*EERR!$D$2</f>
        <v>361064</v>
      </c>
      <c r="U87" s="153">
        <f ca="1">SUMIF(Siteminder!$A$5:$K$150,Feb!E87,Siteminder!$K$5:$K$150)</f>
        <v>3</v>
      </c>
      <c r="V87" s="310">
        <f>SUMIF(Transbank!$A$2:$A$433,B87,Transbank!$L$2:$L$433)+(I87+M87)+(J87+N87)*EERR!$D$2</f>
        <v>369536.64999999997</v>
      </c>
      <c r="W87" s="310">
        <f>V87/EERR!$D$2</f>
        <v>619.19679959785526</v>
      </c>
      <c r="X87" s="162">
        <f t="shared" si="43"/>
        <v>8472.6499999999651</v>
      </c>
      <c r="Y87" s="162">
        <f t="shared" si="44"/>
        <v>0</v>
      </c>
      <c r="Z87" s="162">
        <f t="shared" si="45"/>
        <v>0</v>
      </c>
      <c r="AB87" s="39"/>
    </row>
    <row r="88" spans="1:28" s="153" customFormat="1" x14ac:dyDescent="0.3">
      <c r="A88" s="272">
        <v>3013</v>
      </c>
      <c r="B88" s="272">
        <v>36312</v>
      </c>
      <c r="C88" s="273" t="s">
        <v>1101</v>
      </c>
      <c r="D88" s="273" t="s">
        <v>269</v>
      </c>
      <c r="E88" s="273">
        <v>943936312</v>
      </c>
      <c r="F88" s="274">
        <v>43148</v>
      </c>
      <c r="G88" s="274">
        <v>43151</v>
      </c>
      <c r="H88" s="273">
        <v>3</v>
      </c>
      <c r="I88" s="275"/>
      <c r="J88" s="276">
        <v>410</v>
      </c>
      <c r="K88" s="275"/>
      <c r="L88" s="275"/>
      <c r="M88" s="275"/>
      <c r="N88" s="275"/>
      <c r="O88" s="275"/>
      <c r="P88" s="275">
        <v>205</v>
      </c>
      <c r="Q88" s="158">
        <f t="shared" ref="Q88" si="46">J88+L88+N88+P88</f>
        <v>615</v>
      </c>
      <c r="R88" s="158">
        <f t="shared" ref="R88" si="47">K88+M88+I88+O88</f>
        <v>0</v>
      </c>
      <c r="S88" s="156">
        <f>IF(H88=0,(Q88+R88/EERR!$D$2/1.19),(Q88+R88/EERR!$D$2/1.19)/H88)</f>
        <v>205</v>
      </c>
      <c r="T88" s="158">
        <f>R88+Q88*EERR!$D$2</f>
        <v>367032</v>
      </c>
      <c r="U88" s="153">
        <f ca="1">SUMIF(Siteminder!$A$5:$K$150,Feb!E88,Siteminder!$K$5:$K$150)</f>
        <v>3</v>
      </c>
      <c r="V88" s="310">
        <f>SUMIF(Transbank!$A$2:$A$433,B88,Transbank!$L$2:$L$433)+(I88+M88)+(J88+N88)*EERR!$D$2</f>
        <v>375504.64999999997</v>
      </c>
      <c r="W88" s="310">
        <f>V88/EERR!$D$2</f>
        <v>629.19679959785526</v>
      </c>
      <c r="X88" s="162">
        <f t="shared" ref="X88:X95" si="48">+V88-T88</f>
        <v>8472.6499999999651</v>
      </c>
      <c r="Y88" s="162"/>
      <c r="Z88" s="162" t="e">
        <f>+#REF!-#REF!</f>
        <v>#REF!</v>
      </c>
      <c r="AB88" s="39"/>
    </row>
    <row r="89" spans="1:28" s="153" customFormat="1" x14ac:dyDescent="0.3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/>
      <c r="R89" s="158"/>
      <c r="S89" s="156"/>
      <c r="T89" s="158"/>
      <c r="U89" s="153">
        <f ca="1">SUMIF(Siteminder!$A$5:$K$150,Feb!E89,Siteminder!$K$5:$K$150)</f>
        <v>0</v>
      </c>
      <c r="V89" s="294">
        <f>SUMIF(Transbank!$A$2:$A$433,B89,Transbank!$L$2:$L$433)+(I89+M89)+(J89+N89)*EERR!$D$2</f>
        <v>0</v>
      </c>
      <c r="W89" s="294">
        <f>V89/EERR!$D$2</f>
        <v>0</v>
      </c>
      <c r="X89" s="162">
        <f t="shared" si="48"/>
        <v>0</v>
      </c>
      <c r="Y89" s="162"/>
      <c r="Z89" s="162"/>
      <c r="AB89" s="39"/>
    </row>
    <row r="90" spans="1:28" s="153" customFormat="1" x14ac:dyDescent="0.3">
      <c r="A90" s="272"/>
      <c r="B90" s="272"/>
      <c r="C90" s="273"/>
      <c r="D90" s="273"/>
      <c r="E90" s="273"/>
      <c r="F90" s="274"/>
      <c r="G90" s="274"/>
      <c r="H90" s="273"/>
      <c r="I90" s="275"/>
      <c r="J90" s="276"/>
      <c r="K90" s="275"/>
      <c r="L90" s="275"/>
      <c r="M90" s="275"/>
      <c r="N90" s="275"/>
      <c r="O90" s="275"/>
      <c r="P90" s="275"/>
      <c r="Q90" s="158"/>
      <c r="R90" s="158"/>
      <c r="S90" s="156"/>
      <c r="T90" s="158"/>
      <c r="U90" s="153">
        <f ca="1">SUMIF(Siteminder!$A$5:$K$150,Feb!E90,Siteminder!$K$5:$K$150)</f>
        <v>0</v>
      </c>
      <c r="V90" s="294">
        <f>SUMIF(Transbank!$A$2:$A$433,B90,Transbank!$L$2:$L$433)+(I90+M90)+(J90+N90)*EERR!$D$2</f>
        <v>0</v>
      </c>
      <c r="W90" s="294">
        <f>V90/EERR!$D$2</f>
        <v>0</v>
      </c>
      <c r="X90" s="162">
        <f t="shared" si="48"/>
        <v>0</v>
      </c>
      <c r="Y90" s="162"/>
      <c r="Z90" s="162"/>
      <c r="AB90" s="39"/>
    </row>
    <row r="91" spans="1:28" s="153" customFormat="1" x14ac:dyDescent="0.3">
      <c r="A91" s="278"/>
      <c r="B91" s="278"/>
      <c r="C91" s="277"/>
      <c r="D91" s="277"/>
      <c r="E91" s="277"/>
      <c r="F91" s="279"/>
      <c r="G91" s="279"/>
      <c r="H91" s="277"/>
      <c r="I91" s="275"/>
      <c r="J91" s="276"/>
      <c r="K91" s="275"/>
      <c r="L91" s="275"/>
      <c r="M91" s="275"/>
      <c r="N91" s="275"/>
      <c r="O91" s="275"/>
      <c r="P91" s="275"/>
      <c r="Q91" s="158"/>
      <c r="R91" s="158"/>
      <c r="S91" s="156"/>
      <c r="T91" s="158"/>
      <c r="U91" s="153">
        <f ca="1">SUMIF(Siteminder!$A$5:$K$150,Feb!E91,Siteminder!$K$5:$K$150)</f>
        <v>0</v>
      </c>
      <c r="V91" s="294">
        <f>SUMIF(Transbank!$A$2:$A$433,B91,Transbank!$L$2:$L$433)+(I91+M91)+(J91+N91)*EERR!$D$2</f>
        <v>0</v>
      </c>
      <c r="W91" s="294">
        <f>V91/EERR!$D$2</f>
        <v>0</v>
      </c>
      <c r="X91" s="162">
        <f t="shared" si="48"/>
        <v>0</v>
      </c>
      <c r="Y91" s="162"/>
      <c r="Z91" s="162"/>
      <c r="AB91" s="39"/>
    </row>
    <row r="92" spans="1:28" s="153" customFormat="1" x14ac:dyDescent="0.3">
      <c r="A92" s="272"/>
      <c r="B92" s="272"/>
      <c r="C92" s="273"/>
      <c r="D92" s="273"/>
      <c r="E92" s="273"/>
      <c r="F92" s="274"/>
      <c r="G92" s="274"/>
      <c r="H92" s="273"/>
      <c r="I92" s="275"/>
      <c r="J92" s="276"/>
      <c r="K92" s="275"/>
      <c r="L92" s="275"/>
      <c r="M92" s="275"/>
      <c r="N92" s="275"/>
      <c r="O92" s="275"/>
      <c r="P92" s="275"/>
      <c r="Q92" s="158"/>
      <c r="R92" s="158"/>
      <c r="S92" s="156"/>
      <c r="T92" s="158"/>
      <c r="U92" s="153">
        <f ca="1">SUMIF(Siteminder!$A$5:$K$150,Feb!E92,Siteminder!$K$5:$K$150)</f>
        <v>0</v>
      </c>
      <c r="V92" s="294">
        <f>SUMIF(Transbank!$A$2:$A$433,B92,Transbank!$L$2:$L$433)+(I92+M92)+(J92+N92)*EERR!$D$2</f>
        <v>0</v>
      </c>
      <c r="W92" s="294">
        <f>V92/EERR!$D$2</f>
        <v>0</v>
      </c>
      <c r="X92" s="162">
        <f t="shared" si="48"/>
        <v>0</v>
      </c>
      <c r="Y92" s="162"/>
      <c r="Z92" s="162"/>
      <c r="AB92" s="39"/>
    </row>
    <row r="93" spans="1:28" s="153" customFormat="1" x14ac:dyDescent="0.3">
      <c r="A93" s="272"/>
      <c r="B93" s="272"/>
      <c r="C93" s="273"/>
      <c r="D93" s="273"/>
      <c r="E93" s="273"/>
      <c r="F93" s="274"/>
      <c r="G93" s="274"/>
      <c r="H93" s="273"/>
      <c r="I93" s="275"/>
      <c r="J93" s="276"/>
      <c r="K93" s="275"/>
      <c r="L93" s="275"/>
      <c r="M93" s="275"/>
      <c r="N93" s="275"/>
      <c r="O93" s="275"/>
      <c r="P93" s="275"/>
      <c r="Q93" s="158"/>
      <c r="R93" s="158"/>
      <c r="S93" s="156"/>
      <c r="T93" s="158"/>
      <c r="U93" s="153">
        <f ca="1">SUMIF(Siteminder!$A$5:$K$150,Feb!E93,Siteminder!$K$5:$K$150)</f>
        <v>0</v>
      </c>
      <c r="V93" s="294">
        <f>SUMIF(Transbank!$A$2:$A$433,B93,Transbank!$L$2:$L$433)+(I93+M93)+(J93+N93)*EERR!$D$2</f>
        <v>0</v>
      </c>
      <c r="W93" s="294">
        <f>V93/EERR!$D$2</f>
        <v>0</v>
      </c>
      <c r="X93" s="162">
        <f t="shared" si="48"/>
        <v>0</v>
      </c>
      <c r="Y93" s="162"/>
      <c r="Z93" s="162"/>
      <c r="AB93" s="39"/>
    </row>
    <row r="94" spans="1:28" s="153" customFormat="1" x14ac:dyDescent="0.3">
      <c r="A94" s="272"/>
      <c r="B94" s="272"/>
      <c r="C94" s="273"/>
      <c r="D94" s="273"/>
      <c r="E94" s="273"/>
      <c r="F94" s="274"/>
      <c r="G94" s="274"/>
      <c r="H94" s="273"/>
      <c r="I94" s="275"/>
      <c r="J94" s="276"/>
      <c r="K94" s="275"/>
      <c r="L94" s="275"/>
      <c r="M94" s="275"/>
      <c r="N94" s="275"/>
      <c r="O94" s="275"/>
      <c r="P94" s="275"/>
      <c r="Q94" s="158">
        <f t="shared" ref="Q94:Q95" si="49">J94+L94+N94+P94</f>
        <v>0</v>
      </c>
      <c r="R94" s="158">
        <f t="shared" ref="R94:R95" si="50">K94+M94+I94+O94</f>
        <v>0</v>
      </c>
      <c r="S94" s="156">
        <f>IF(H94=0,(Q94+R94/EERR!$D$2/1.19),(Q94+R94/EERR!$D$2/1.19)/H94)</f>
        <v>0</v>
      </c>
      <c r="T94" s="158">
        <f>R94+Q94*EERR!$D$2</f>
        <v>0</v>
      </c>
      <c r="U94" s="153">
        <f ca="1">SUMIF(Siteminder!$A$5:$K$150,Feb!E94,Siteminder!$K$5:$K$150)</f>
        <v>0</v>
      </c>
      <c r="V94" s="294">
        <f>SUMIF(Transbank!$A$2:$A$433,B94,Transbank!$L$2:$L$433)+(I94+M94)+(J94+N94)*EERR!$D$2</f>
        <v>0</v>
      </c>
      <c r="W94" s="294">
        <f>V94/EERR!$D$2</f>
        <v>0</v>
      </c>
      <c r="X94" s="162">
        <f t="shared" si="48"/>
        <v>0</v>
      </c>
      <c r="Y94" s="162"/>
      <c r="Z94" s="162"/>
      <c r="AB94" s="39"/>
    </row>
    <row r="95" spans="1:28" s="153" customFormat="1" x14ac:dyDescent="0.3">
      <c r="A95" s="272"/>
      <c r="B95" s="272"/>
      <c r="C95" s="273"/>
      <c r="D95" s="273"/>
      <c r="E95" s="273"/>
      <c r="F95" s="274"/>
      <c r="G95" s="274"/>
      <c r="H95" s="273"/>
      <c r="I95" s="275"/>
      <c r="J95" s="276"/>
      <c r="K95" s="275"/>
      <c r="L95" s="275"/>
      <c r="M95" s="275"/>
      <c r="N95" s="275"/>
      <c r="O95" s="275"/>
      <c r="P95" s="275"/>
      <c r="Q95" s="158">
        <f t="shared" si="49"/>
        <v>0</v>
      </c>
      <c r="R95" s="158">
        <f t="shared" si="50"/>
        <v>0</v>
      </c>
      <c r="S95" s="156">
        <f>IF(H95=0,(Q95+R95/EERR!$D$2/1.19),(Q95+R95/EERR!$D$2/1.19)/H95)</f>
        <v>0</v>
      </c>
      <c r="T95" s="158">
        <f>R95+Q95*EERR!$D$2</f>
        <v>0</v>
      </c>
      <c r="U95" s="153">
        <f ca="1">SUMIF(Siteminder!$A$5:$K$150,Feb!E95,Siteminder!$K$5:$K$150)</f>
        <v>0</v>
      </c>
      <c r="V95" s="294">
        <f>SUMIF(Transbank!$A$2:$A$433,B95,Transbank!$L$2:$L$433)+(I95+M95)+(J95+N95)*EERR!$D$2</f>
        <v>0</v>
      </c>
      <c r="W95" s="294">
        <f>V95/EERR!$D$2</f>
        <v>0</v>
      </c>
      <c r="X95" s="162">
        <f t="shared" si="48"/>
        <v>0</v>
      </c>
      <c r="Y95" s="162">
        <f t="shared" ref="Y95" si="51">(I95+K95+M95)/1.19</f>
        <v>0</v>
      </c>
      <c r="Z95" s="162">
        <f t="shared" ref="Z95" si="52">IF(AA95="b",(I95+K95+M95)*0.19,0)</f>
        <v>0</v>
      </c>
      <c r="AA95" s="153">
        <f>IFERROR(VLOOKUP(A95,#REF!,8,FALSE),0)</f>
        <v>0</v>
      </c>
      <c r="AB95" s="39"/>
    </row>
    <row r="96" spans="1:28" x14ac:dyDescent="0.3">
      <c r="A96" s="256"/>
      <c r="B96" s="256"/>
      <c r="C96" s="256"/>
      <c r="D96" s="256"/>
      <c r="E96" s="256"/>
      <c r="F96" s="257"/>
      <c r="G96" s="257"/>
      <c r="H96" s="256">
        <f t="shared" ref="H96:N96" si="53">SUM(H80:H95)</f>
        <v>18</v>
      </c>
      <c r="I96" s="256">
        <f t="shared" si="53"/>
        <v>0</v>
      </c>
      <c r="J96" s="256">
        <f t="shared" si="53"/>
        <v>410</v>
      </c>
      <c r="K96" s="256">
        <f t="shared" si="53"/>
        <v>420475</v>
      </c>
      <c r="L96" s="256">
        <f t="shared" si="53"/>
        <v>995</v>
      </c>
      <c r="M96" s="256">
        <f t="shared" si="53"/>
        <v>0</v>
      </c>
      <c r="N96" s="256">
        <f t="shared" si="53"/>
        <v>0</v>
      </c>
      <c r="O96" s="256"/>
      <c r="P96" s="256"/>
      <c r="Q96" s="262">
        <f>SUM(Q80:Q95)</f>
        <v>2820</v>
      </c>
      <c r="R96" s="262">
        <f>SUM(R80:R95)</f>
        <v>560633</v>
      </c>
      <c r="S96" s="262">
        <f>IF(H96=0,(Q96+R96/EERR!$D$2/1.19),(Q96+R96/EERR!$D$2/1.19)/H96)</f>
        <v>200.5228038489748</v>
      </c>
      <c r="T96" s="262">
        <f>SUM(T80:T95)</f>
        <v>2243609</v>
      </c>
      <c r="U96" s="262"/>
      <c r="V96" s="262">
        <f>SUM(V80:V95)</f>
        <v>2314144.4</v>
      </c>
      <c r="W96" s="262"/>
      <c r="X96" s="162">
        <f t="shared" si="16"/>
        <v>70535.399999999907</v>
      </c>
      <c r="Y96" s="162"/>
      <c r="Z96" s="162"/>
      <c r="AA96" s="153"/>
      <c r="AB96" s="153"/>
    </row>
    <row r="97" spans="1:28" s="153" customFormat="1" x14ac:dyDescent="0.3">
      <c r="A97" s="154"/>
      <c r="B97" s="154"/>
      <c r="C97" s="154"/>
      <c r="D97" s="154"/>
      <c r="E97" s="154"/>
      <c r="F97" s="155"/>
      <c r="G97" s="155"/>
      <c r="H97" s="154"/>
      <c r="I97" s="156"/>
      <c r="J97" s="157"/>
      <c r="K97" s="156"/>
      <c r="L97" s="156"/>
      <c r="M97" s="156"/>
      <c r="N97" s="156"/>
      <c r="O97" s="156"/>
      <c r="P97" s="156"/>
      <c r="Q97" s="158"/>
      <c r="R97" s="158"/>
      <c r="S97" s="156">
        <f>IF(H97=0,(Q97+R97/EERR!$D$2/1.19),(Q97+R97/EERR!$D$2/1.19)/H97)</f>
        <v>0</v>
      </c>
      <c r="T97" s="154"/>
      <c r="V97" s="162"/>
      <c r="W97" s="162"/>
      <c r="X97" s="162">
        <f t="shared" si="16"/>
        <v>0</v>
      </c>
      <c r="Y97" s="162"/>
      <c r="Z97" s="162"/>
    </row>
    <row r="98" spans="1:28" x14ac:dyDescent="0.3">
      <c r="A98" s="263"/>
      <c r="B98" s="263"/>
      <c r="C98" s="263" t="s">
        <v>332</v>
      </c>
      <c r="D98" s="263"/>
      <c r="E98" s="263"/>
      <c r="F98" s="264"/>
      <c r="G98" s="264"/>
      <c r="H98" s="263"/>
      <c r="I98" s="265"/>
      <c r="J98" s="266"/>
      <c r="K98" s="265"/>
      <c r="L98" s="265"/>
      <c r="M98" s="265"/>
      <c r="N98" s="265"/>
      <c r="O98" s="265"/>
      <c r="P98" s="265"/>
      <c r="Q98" s="267"/>
      <c r="R98" s="267">
        <f t="shared" ref="R98" si="54">K98+M98+I98</f>
        <v>0</v>
      </c>
      <c r="S98" s="265">
        <f>IF(H98=0,(Q98+R98/EERR!$D$2/1.19),(Q98+R98/EERR!$D$2/1.19)/H98)</f>
        <v>0</v>
      </c>
      <c r="T98" s="263"/>
      <c r="V98" s="162">
        <f>IF((K98+L98)&gt;0,SUMIF(Transbank!$A$2:$A$214,Feb!A98,Transbank!$L$2:$L$214),I98+(J98+Feb!N98)*EERR!$D$2+Feb!M98)</f>
        <v>0</v>
      </c>
      <c r="W98" s="162">
        <f>V98/EERR!$D$2</f>
        <v>0</v>
      </c>
      <c r="X98" s="162">
        <f t="shared" si="16"/>
        <v>0</v>
      </c>
      <c r="Y98" s="162">
        <f t="shared" ref="Y98" si="55">(I98+K98+M98)/1.19</f>
        <v>0</v>
      </c>
      <c r="Z98" s="162">
        <f t="shared" ref="Z98" si="56">IF(AA98="b",(I98+K98+M98)*0.19,0)</f>
        <v>0</v>
      </c>
      <c r="AA98" s="153"/>
      <c r="AB98" s="153"/>
    </row>
    <row r="99" spans="1:28" x14ac:dyDescent="0.3">
      <c r="A99" s="256"/>
      <c r="B99" s="256"/>
      <c r="C99" s="256"/>
      <c r="D99" s="256"/>
      <c r="E99" s="256"/>
      <c r="F99" s="257"/>
      <c r="G99" s="257"/>
      <c r="H99" s="262">
        <f t="shared" ref="H99:R99" si="57">SUM(H98:H98)</f>
        <v>0</v>
      </c>
      <c r="I99" s="262">
        <f t="shared" si="57"/>
        <v>0</v>
      </c>
      <c r="J99" s="262">
        <f t="shared" si="57"/>
        <v>0</v>
      </c>
      <c r="K99" s="262">
        <f t="shared" si="57"/>
        <v>0</v>
      </c>
      <c r="L99" s="262">
        <f>SUM(L97:L98)</f>
        <v>0</v>
      </c>
      <c r="M99" s="262">
        <f t="shared" si="57"/>
        <v>0</v>
      </c>
      <c r="N99" s="262">
        <f t="shared" si="57"/>
        <v>0</v>
      </c>
      <c r="O99" s="262"/>
      <c r="P99" s="262"/>
      <c r="Q99" s="262">
        <f t="shared" si="57"/>
        <v>0</v>
      </c>
      <c r="R99" s="262">
        <f t="shared" si="57"/>
        <v>0</v>
      </c>
      <c r="S99" s="268"/>
      <c r="T99" s="262"/>
      <c r="U99" s="256"/>
      <c r="V99" s="269"/>
      <c r="W99" s="269"/>
      <c r="X99" s="162">
        <f t="shared" si="16"/>
        <v>0</v>
      </c>
      <c r="Y99" s="162"/>
      <c r="Z99" s="162"/>
      <c r="AA99" s="153"/>
      <c r="AB99" s="153"/>
    </row>
    <row r="100" spans="1:28" x14ac:dyDescent="0.3">
      <c r="A100" s="256"/>
      <c r="B100" s="256"/>
      <c r="C100" s="270"/>
      <c r="D100" s="270"/>
      <c r="E100" s="270"/>
      <c r="F100" s="271">
        <f>F63+F79+F96</f>
        <v>0</v>
      </c>
      <c r="G100" s="271">
        <f>G63+G79+G96</f>
        <v>0</v>
      </c>
      <c r="H100" s="271">
        <f t="shared" ref="H100:Q100" si="58">H63+H79+H96+H99</f>
        <v>258</v>
      </c>
      <c r="I100" s="271">
        <f t="shared" si="58"/>
        <v>0</v>
      </c>
      <c r="J100" s="271">
        <f t="shared" si="58"/>
        <v>9126.5</v>
      </c>
      <c r="K100" s="271">
        <f t="shared" si="58"/>
        <v>5490474</v>
      </c>
      <c r="L100" s="271">
        <f t="shared" si="58"/>
        <v>19373.88</v>
      </c>
      <c r="M100" s="271">
        <f t="shared" si="58"/>
        <v>143613</v>
      </c>
      <c r="N100" s="271">
        <f t="shared" si="58"/>
        <v>0</v>
      </c>
      <c r="O100" s="271">
        <f t="shared" si="58"/>
        <v>142425</v>
      </c>
      <c r="P100" s="271">
        <f t="shared" si="58"/>
        <v>565.25</v>
      </c>
      <c r="Q100" s="271">
        <f t="shared" si="58"/>
        <v>39820.129999999997</v>
      </c>
      <c r="R100" s="271">
        <f>(R63+R79+R96+R99)/1.19</f>
        <v>6008627.7310924372</v>
      </c>
      <c r="S100" s="271">
        <f>(S63*H63+S79*H79+S96*H96)/H100</f>
        <v>193.36513936792372</v>
      </c>
      <c r="T100" s="271">
        <f>T63+T79+T96</f>
        <v>30914920.583999999</v>
      </c>
      <c r="U100" s="256"/>
      <c r="V100" s="269">
        <f ca="1">V63+V79+V96</f>
        <v>31396139.524</v>
      </c>
      <c r="W100" s="269"/>
      <c r="X100" s="162">
        <f t="shared" ca="1" si="16"/>
        <v>481218.94000000134</v>
      </c>
      <c r="Y100" s="162"/>
      <c r="Z100" s="162"/>
      <c r="AA100" s="153"/>
      <c r="AB100" s="153"/>
    </row>
    <row r="101" spans="1:28" x14ac:dyDescent="0.3">
      <c r="A101" s="256"/>
      <c r="B101" s="256"/>
      <c r="C101" s="256"/>
      <c r="D101" s="256"/>
      <c r="E101" s="256"/>
      <c r="F101" s="262"/>
      <c r="G101" s="262"/>
      <c r="H101" s="262"/>
      <c r="I101" s="262">
        <f>(I100)/EERR!$D$2</f>
        <v>0</v>
      </c>
      <c r="J101" s="262">
        <f>J100</f>
        <v>9126.5</v>
      </c>
      <c r="K101" s="262">
        <f>(K100)/EERR!$D$2</f>
        <v>9199.8558981233255</v>
      </c>
      <c r="L101" s="262">
        <f>L100</f>
        <v>19373.88</v>
      </c>
      <c r="M101" s="262">
        <f>(M100)/EERR!$D$2</f>
        <v>240.6384048257373</v>
      </c>
      <c r="N101" s="262">
        <f>(N100)/EERR!$D$2</f>
        <v>0</v>
      </c>
      <c r="O101" s="262"/>
      <c r="P101" s="262"/>
      <c r="Q101" s="262">
        <f>Q100+Q99</f>
        <v>39820.129999999997</v>
      </c>
      <c r="R101" s="262">
        <f>(R100)/EERR!D2</f>
        <v>10068.075956924326</v>
      </c>
      <c r="S101" s="262">
        <f>S100+S99</f>
        <v>193.36513936792372</v>
      </c>
      <c r="T101" s="262">
        <f>T100+T99</f>
        <v>30914920.583999999</v>
      </c>
      <c r="U101" s="262">
        <f>SUM(I101:T101)</f>
        <v>31002943.029399239</v>
      </c>
      <c r="V101" s="256"/>
      <c r="W101" s="256"/>
      <c r="X101" s="162">
        <f t="shared" si="16"/>
        <v>-30914920.583999999</v>
      </c>
      <c r="Y101" s="153"/>
      <c r="Z101" s="153"/>
      <c r="AA101" s="153"/>
      <c r="AB101" s="153"/>
    </row>
    <row r="102" spans="1:28" x14ac:dyDescent="0.3">
      <c r="H102" s="251">
        <f>H100/280</f>
        <v>0.92142857142857137</v>
      </c>
      <c r="J102" s="38"/>
      <c r="Q102" s="330">
        <f>SUM(Q101:R101)</f>
        <v>49888.205956924321</v>
      </c>
      <c r="R102" s="330"/>
      <c r="X102" s="162">
        <f t="shared" si="16"/>
        <v>0</v>
      </c>
      <c r="Y102" s="153"/>
      <c r="Z102" s="153"/>
      <c r="AA102" s="153"/>
      <c r="AB102" s="153"/>
    </row>
    <row r="103" spans="1:28" x14ac:dyDescent="0.3">
      <c r="J103" s="35"/>
      <c r="Q103" s="328">
        <f>Q102*EERR!D2</f>
        <v>29773281.315092433</v>
      </c>
      <c r="R103" s="328">
        <f>Q102*EERR!D2</f>
        <v>29773281.315092433</v>
      </c>
      <c r="X103" s="162">
        <f t="shared" si="16"/>
        <v>0</v>
      </c>
      <c r="Y103" s="153"/>
      <c r="Z103" s="153"/>
      <c r="AA103" s="153"/>
      <c r="AB103" s="153"/>
    </row>
    <row r="104" spans="1:28" x14ac:dyDescent="0.3">
      <c r="I104" s="106">
        <f>I100/1.19</f>
        <v>0</v>
      </c>
      <c r="J104" s="35"/>
      <c r="W104" s="153">
        <f>36000*620</f>
        <v>22320000</v>
      </c>
      <c r="X104" s="162">
        <f t="shared" si="16"/>
        <v>0</v>
      </c>
      <c r="Y104" s="153"/>
      <c r="Z104" s="153"/>
      <c r="AA104" s="153"/>
      <c r="AB104" s="153"/>
    </row>
    <row r="105" spans="1:28" x14ac:dyDescent="0.3">
      <c r="E105" s="36" t="s">
        <v>232</v>
      </c>
      <c r="F105" s="36" t="s">
        <v>233</v>
      </c>
      <c r="G105" s="36" t="s">
        <v>6</v>
      </c>
      <c r="H105" s="36" t="s">
        <v>49</v>
      </c>
      <c r="I105" s="36" t="s">
        <v>50</v>
      </c>
      <c r="J105" s="35"/>
      <c r="Q105" s="39">
        <f>Q100*689</f>
        <v>27436069.569999997</v>
      </c>
      <c r="R105" s="39">
        <f>R100*0.19</f>
        <v>1141639.2689075631</v>
      </c>
      <c r="X105" s="162">
        <f t="shared" si="16"/>
        <v>0</v>
      </c>
    </row>
    <row r="106" spans="1:28" x14ac:dyDescent="0.3">
      <c r="C106" s="29" t="s">
        <v>47</v>
      </c>
      <c r="D106" s="29"/>
      <c r="E106" s="30">
        <f>'BCI '!H176</f>
        <v>-223613</v>
      </c>
      <c r="F106" s="250">
        <f>'BCI '!H177</f>
        <v>0</v>
      </c>
      <c r="G106" s="37"/>
      <c r="H106" s="30">
        <f>(I101+J101)*EERR!D2</f>
        <v>5446695.1999999993</v>
      </c>
      <c r="I106" s="41">
        <f>H106/EERR!$D$2</f>
        <v>9126.5</v>
      </c>
      <c r="J106" s="35"/>
      <c r="X106" s="162">
        <f t="shared" si="16"/>
        <v>0</v>
      </c>
    </row>
    <row r="107" spans="1:28" x14ac:dyDescent="0.3">
      <c r="C107" s="29" t="s">
        <v>46</v>
      </c>
      <c r="D107" s="29"/>
      <c r="E107" s="29"/>
      <c r="F107" s="30"/>
      <c r="G107" s="37"/>
      <c r="H107" s="30">
        <f>+M101*EERR!D2</f>
        <v>143613</v>
      </c>
      <c r="I107" s="41">
        <f>H107/EERR!$D$2</f>
        <v>240.6384048257373</v>
      </c>
      <c r="J107" s="35"/>
      <c r="X107" s="162">
        <f t="shared" si="16"/>
        <v>0</v>
      </c>
    </row>
    <row r="108" spans="1:28" x14ac:dyDescent="0.3">
      <c r="C108" s="29" t="s">
        <v>48</v>
      </c>
      <c r="D108" s="29"/>
      <c r="E108" s="29"/>
      <c r="F108" s="30"/>
      <c r="G108" s="37"/>
      <c r="H108" s="30"/>
      <c r="I108" s="41">
        <f>H108*EERR!$D$2</f>
        <v>0</v>
      </c>
      <c r="J108" s="35"/>
      <c r="X108" s="162">
        <f t="shared" si="16"/>
        <v>0</v>
      </c>
    </row>
    <row r="109" spans="1:28" x14ac:dyDescent="0.3">
      <c r="C109" s="77" t="s">
        <v>86</v>
      </c>
      <c r="D109" s="77"/>
      <c r="E109" s="77"/>
      <c r="F109" s="79"/>
      <c r="G109" s="79">
        <f>(G111+G112)*EERR!D2+G114+G115</f>
        <v>27444667.583999999</v>
      </c>
      <c r="H109" s="79">
        <f>(K101+L101)*EERR!D2</f>
        <v>17052805.583999999</v>
      </c>
      <c r="I109" s="80"/>
      <c r="J109" s="35"/>
      <c r="W109" s="153">
        <f>635/190</f>
        <v>3.3421052631578947</v>
      </c>
      <c r="X109" s="162">
        <f t="shared" si="16"/>
        <v>0</v>
      </c>
    </row>
    <row r="110" spans="1:28" x14ac:dyDescent="0.3">
      <c r="C110" s="77"/>
      <c r="D110" s="77"/>
      <c r="E110" s="77"/>
      <c r="F110" s="79"/>
      <c r="G110" s="79">
        <f>SUM(G106:G109)</f>
        <v>27444667.583999999</v>
      </c>
      <c r="H110" s="79">
        <f>SUM(H106:H109)</f>
        <v>22643113.783999998</v>
      </c>
      <c r="I110" s="79">
        <f>SUM(I106:I109)</f>
        <v>9367.1384048257369</v>
      </c>
      <c r="J110" s="35"/>
      <c r="X110" s="162">
        <f t="shared" si="16"/>
        <v>0</v>
      </c>
    </row>
    <row r="111" spans="1:28" x14ac:dyDescent="0.3">
      <c r="C111" s="34" t="s">
        <v>84</v>
      </c>
      <c r="D111" s="34"/>
      <c r="E111" s="34"/>
      <c r="F111" s="30"/>
      <c r="G111" s="37">
        <f>Transbank!J429</f>
        <v>31583.88</v>
      </c>
      <c r="H111" s="30"/>
      <c r="I111" s="41"/>
      <c r="J111" s="35"/>
      <c r="X111" s="162">
        <f t="shared" si="16"/>
        <v>0</v>
      </c>
    </row>
    <row r="112" spans="1:28" x14ac:dyDescent="0.3">
      <c r="C112" s="34" t="s">
        <v>87</v>
      </c>
      <c r="D112" s="34"/>
      <c r="E112" s="34"/>
      <c r="F112" s="42"/>
      <c r="G112" s="37">
        <f>[1]Transbank!J83</f>
        <v>0</v>
      </c>
      <c r="H112" s="34"/>
      <c r="I112" s="53"/>
      <c r="J112" s="33"/>
      <c r="T112" s="33">
        <f>SUMIF(Transbank!$A$2:$A$433,B78,Transbank!$L$2:$L$433)</f>
        <v>0</v>
      </c>
      <c r="X112" s="162">
        <f t="shared" si="16"/>
        <v>0</v>
      </c>
    </row>
    <row r="113" spans="3:24" x14ac:dyDescent="0.3">
      <c r="C113" s="77" t="s">
        <v>88</v>
      </c>
      <c r="D113" s="77"/>
      <c r="E113" s="77"/>
      <c r="F113" s="78"/>
      <c r="G113" s="78">
        <f>SUM(G111:G112)</f>
        <v>31583.88</v>
      </c>
      <c r="H113" s="78">
        <f>L100</f>
        <v>19373.88</v>
      </c>
      <c r="I113" s="78">
        <f t="shared" ref="I113" si="59">SUM(I111:I112)</f>
        <v>0</v>
      </c>
      <c r="J113" s="33"/>
      <c r="X113" s="162">
        <f t="shared" si="16"/>
        <v>0</v>
      </c>
    </row>
    <row r="114" spans="3:24" x14ac:dyDescent="0.3">
      <c r="C114" s="34" t="s">
        <v>85</v>
      </c>
      <c r="D114" s="87"/>
      <c r="E114" s="87"/>
      <c r="F114" s="81"/>
      <c r="G114" s="82">
        <f>Transbank!I429</f>
        <v>8595408</v>
      </c>
      <c r="H114" s="82"/>
      <c r="I114" s="83">
        <f>H109/EERR!$D$2</f>
        <v>28573.735898123326</v>
      </c>
      <c r="J114" s="33"/>
      <c r="X114" s="162">
        <f t="shared" si="16"/>
        <v>0</v>
      </c>
    </row>
    <row r="115" spans="3:24" x14ac:dyDescent="0.3">
      <c r="C115" s="34" t="s">
        <v>89</v>
      </c>
      <c r="D115" s="34"/>
      <c r="E115" s="34"/>
      <c r="F115" s="42"/>
      <c r="G115" s="37">
        <f>[1]Transbank!I83</f>
        <v>0</v>
      </c>
      <c r="H115" s="34"/>
      <c r="I115" s="53"/>
      <c r="J115" s="33"/>
      <c r="W115" s="39">
        <f>SUM(W80:W94)</f>
        <v>3877.5878016085794</v>
      </c>
      <c r="X115" s="162">
        <f t="shared" si="16"/>
        <v>0</v>
      </c>
    </row>
    <row r="116" spans="3:24" ht="15" thickBot="1" x14ac:dyDescent="0.35">
      <c r="C116" s="125" t="s">
        <v>90</v>
      </c>
      <c r="D116" s="125"/>
      <c r="E116" s="77"/>
      <c r="F116" s="78"/>
      <c r="G116" s="78">
        <f>SUM(G114:G115)</f>
        <v>8595408</v>
      </c>
      <c r="H116" s="78">
        <f>K100</f>
        <v>5490474</v>
      </c>
      <c r="I116" s="78">
        <f t="shared" ref="I116" si="60">SUM(I114:I115)</f>
        <v>28573.735898123326</v>
      </c>
      <c r="J116" s="33"/>
      <c r="W116" s="153">
        <f>+W115*0.15</f>
        <v>581.63817024128684</v>
      </c>
      <c r="X116" s="162">
        <f t="shared" si="16"/>
        <v>0</v>
      </c>
    </row>
    <row r="117" spans="3:24" ht="16.2" thickBot="1" x14ac:dyDescent="0.35">
      <c r="C117" s="126" t="s">
        <v>108</v>
      </c>
      <c r="D117" s="127">
        <f>(I100+K100)*0.19</f>
        <v>1043190.06</v>
      </c>
      <c r="H117" s="36"/>
      <c r="I117" s="39"/>
      <c r="J117" s="33"/>
      <c r="X117" s="162">
        <f t="shared" si="16"/>
        <v>0</v>
      </c>
    </row>
    <row r="118" spans="3:24" ht="13.8" x14ac:dyDescent="0.3">
      <c r="J118" s="33"/>
    </row>
    <row r="119" spans="3:24" ht="13.8" x14ac:dyDescent="0.3">
      <c r="J119" s="33"/>
    </row>
    <row r="120" spans="3:24" ht="13.8" x14ac:dyDescent="0.3">
      <c r="J120" s="33"/>
    </row>
    <row r="121" spans="3:24" ht="13.8" x14ac:dyDescent="0.3">
      <c r="J121" s="33"/>
    </row>
    <row r="122" spans="3:24" ht="13.8" x14ac:dyDescent="0.3">
      <c r="J122" s="33"/>
    </row>
    <row r="123" spans="3:24" ht="13.8" x14ac:dyDescent="0.3">
      <c r="J123" s="33"/>
    </row>
    <row r="124" spans="3:24" ht="13.8" x14ac:dyDescent="0.3">
      <c r="J124" s="33"/>
    </row>
    <row r="125" spans="3:24" ht="13.8" x14ac:dyDescent="0.3">
      <c r="J125" s="33"/>
    </row>
    <row r="126" spans="3:24" ht="13.8" x14ac:dyDescent="0.3">
      <c r="J126" s="33"/>
    </row>
    <row r="127" spans="3:24" ht="13.8" x14ac:dyDescent="0.3">
      <c r="J127" s="33"/>
    </row>
    <row r="128" spans="3:24" ht="13.8" x14ac:dyDescent="0.3">
      <c r="J128" s="33"/>
    </row>
    <row r="129" spans="10:10" ht="13.8" x14ac:dyDescent="0.3">
      <c r="J129" s="33"/>
    </row>
    <row r="130" spans="10:10" ht="13.8" x14ac:dyDescent="0.3">
      <c r="J130" s="33"/>
    </row>
    <row r="131" spans="10:10" ht="13.8" x14ac:dyDescent="0.3">
      <c r="J131" s="33"/>
    </row>
    <row r="132" spans="10:10" ht="13.8" x14ac:dyDescent="0.3">
      <c r="J132" s="33"/>
    </row>
    <row r="133" spans="10:10" ht="13.8" x14ac:dyDescent="0.3">
      <c r="J133" s="33"/>
    </row>
    <row r="134" spans="10:10" ht="13.8" x14ac:dyDescent="0.3">
      <c r="J134" s="33"/>
    </row>
    <row r="135" spans="10:10" ht="13.8" x14ac:dyDescent="0.3">
      <c r="J135" s="33"/>
    </row>
    <row r="136" spans="10:10" ht="13.8" x14ac:dyDescent="0.3">
      <c r="J136" s="33"/>
    </row>
    <row r="137" spans="10:10" ht="13.8" x14ac:dyDescent="0.3">
      <c r="J137" s="33"/>
    </row>
    <row r="138" spans="10:10" ht="13.8" x14ac:dyDescent="0.3">
      <c r="J138" s="33"/>
    </row>
    <row r="139" spans="10:10" ht="13.8" x14ac:dyDescent="0.3">
      <c r="J139" s="33"/>
    </row>
    <row r="140" spans="10:10" ht="13.8" x14ac:dyDescent="0.3">
      <c r="J140" s="33"/>
    </row>
    <row r="141" spans="10:10" ht="13.8" x14ac:dyDescent="0.3">
      <c r="J141" s="33"/>
    </row>
    <row r="142" spans="10:10" ht="13.8" x14ac:dyDescent="0.3">
      <c r="J142" s="33"/>
    </row>
    <row r="143" spans="10:10" ht="13.8" x14ac:dyDescent="0.3">
      <c r="J143" s="33"/>
    </row>
    <row r="144" spans="10:10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</sheetData>
  <autoFilter ref="A2:X96"/>
  <sortState ref="A3:P66">
    <sortCondition ref="F3:F66"/>
  </sortState>
  <mergeCells count="6">
    <mergeCell ref="Q102:R102"/>
    <mergeCell ref="Q103:R103"/>
    <mergeCell ref="I1:J1"/>
    <mergeCell ref="K1:L1"/>
    <mergeCell ref="M1:N1"/>
    <mergeCell ref="O1:P1"/>
  </mergeCells>
  <conditionalFormatting sqref="U97 U78:U95 U57:U65 U67:U76 U3:U51">
    <cfRule type="expression" dxfId="3" priority="8">
      <formula>IF(H3=U3,0,1)</formula>
    </cfRule>
  </conditionalFormatting>
  <conditionalFormatting sqref="U77">
    <cfRule type="expression" dxfId="2" priority="3">
      <formula>IF(H77=U77,0,1)</formula>
    </cfRule>
  </conditionalFormatting>
  <conditionalFormatting sqref="U52:U56">
    <cfRule type="expression" dxfId="1" priority="2">
      <formula>IF(H52=U52,0,1)</formula>
    </cfRule>
  </conditionalFormatting>
  <conditionalFormatting sqref="U66">
    <cfRule type="expression" dxfId="0" priority="1">
      <formula>IF(H66=U66,0,1)</formula>
    </cfRule>
  </conditionalFormatting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62" zoomScale="85" zoomScaleNormal="85" workbookViewId="0">
      <selection activeCell="K98" sqref="K98"/>
    </sheetView>
  </sheetViews>
  <sheetFormatPr baseColWidth="10" defaultColWidth="11.5546875" defaultRowHeight="14.4" x14ac:dyDescent="0.3"/>
  <cols>
    <col min="1" max="1" width="16.33203125" style="218" customWidth="1"/>
    <col min="2" max="2" width="13.6640625" style="218" customWidth="1"/>
    <col min="3" max="3" width="16.5546875" style="218" customWidth="1"/>
    <col min="4" max="4" width="19.109375" style="218" customWidth="1"/>
    <col min="5" max="5" width="4.6640625" style="218" customWidth="1"/>
    <col min="6" max="6" width="20.33203125" style="218" customWidth="1"/>
    <col min="7" max="7" width="10.109375" style="218" customWidth="1"/>
    <col min="8" max="8" width="11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359</v>
      </c>
      <c r="C4" s="6" t="s">
        <v>351</v>
      </c>
      <c r="D4" s="6" t="s">
        <v>352</v>
      </c>
      <c r="E4" s="6" t="s">
        <v>353</v>
      </c>
      <c r="F4" s="6" t="s">
        <v>354</v>
      </c>
      <c r="G4" s="6" t="s">
        <v>355</v>
      </c>
      <c r="H4" s="6" t="s">
        <v>356</v>
      </c>
      <c r="I4" s="6" t="s">
        <v>357</v>
      </c>
      <c r="J4" s="6" t="s">
        <v>358</v>
      </c>
    </row>
    <row r="5" spans="1:13" x14ac:dyDescent="0.3">
      <c r="A5" s="40">
        <v>1259642821</v>
      </c>
      <c r="B5" s="6" t="s">
        <v>360</v>
      </c>
      <c r="C5" s="288">
        <v>42978.579467592594</v>
      </c>
      <c r="D5" s="288">
        <v>42978.609224537038</v>
      </c>
      <c r="E5" s="287"/>
      <c r="F5" s="287" t="s">
        <v>467</v>
      </c>
      <c r="G5" s="288">
        <v>43132</v>
      </c>
      <c r="H5" s="288">
        <v>43138</v>
      </c>
      <c r="I5" s="6" t="s">
        <v>1003</v>
      </c>
      <c r="J5" s="6">
        <v>2</v>
      </c>
      <c r="K5" s="130">
        <f>H5-G5</f>
        <v>6</v>
      </c>
      <c r="L5" s="6">
        <f>SUMIF(Feb!$E$3:$E$98,A5,Feb!$H$3:$H$98)</f>
        <v>6</v>
      </c>
      <c r="M5" s="218">
        <f>+K5-L5</f>
        <v>0</v>
      </c>
    </row>
    <row r="6" spans="1:13" x14ac:dyDescent="0.3">
      <c r="A6" s="40">
        <v>1093255393</v>
      </c>
      <c r="B6" s="6" t="s">
        <v>360</v>
      </c>
      <c r="C6" s="288">
        <v>43066.542175925926</v>
      </c>
      <c r="D6" s="288"/>
      <c r="E6" s="6"/>
      <c r="F6" s="6" t="s">
        <v>467</v>
      </c>
      <c r="G6" s="288">
        <v>43132</v>
      </c>
      <c r="H6" s="288">
        <v>43137</v>
      </c>
      <c r="I6" s="6" t="s">
        <v>1024</v>
      </c>
      <c r="J6" s="6">
        <v>2</v>
      </c>
      <c r="K6" s="130">
        <f t="shared" ref="K6:K69" si="0">H6-G6</f>
        <v>5</v>
      </c>
      <c r="L6" s="6">
        <f>SUMIF(Feb!$E$3:$E$98,A6,Feb!$H$3:$H$98)</f>
        <v>5</v>
      </c>
      <c r="M6" s="312">
        <f t="shared" ref="M6:M69" si="1">+K6-L6</f>
        <v>0</v>
      </c>
    </row>
    <row r="7" spans="1:13" x14ac:dyDescent="0.3">
      <c r="A7" s="40">
        <v>1811064812</v>
      </c>
      <c r="B7" s="6" t="s">
        <v>360</v>
      </c>
      <c r="C7" s="288">
        <v>43122.481574074074</v>
      </c>
      <c r="D7" s="288"/>
      <c r="E7" s="6"/>
      <c r="F7" s="6" t="s">
        <v>468</v>
      </c>
      <c r="G7" s="288">
        <v>43132</v>
      </c>
      <c r="H7" s="288">
        <v>43133</v>
      </c>
      <c r="I7" s="6" t="s">
        <v>1049</v>
      </c>
      <c r="J7" s="6">
        <v>2</v>
      </c>
      <c r="K7" s="130">
        <f t="shared" si="0"/>
        <v>1</v>
      </c>
      <c r="L7" s="6">
        <f>SUMIF(Feb!$E$3:$E$98,A7,Feb!$H$3:$H$98)</f>
        <v>0</v>
      </c>
      <c r="M7" s="312">
        <f t="shared" si="1"/>
        <v>1</v>
      </c>
    </row>
    <row r="8" spans="1:13" x14ac:dyDescent="0.3">
      <c r="A8" s="40">
        <v>1402762007</v>
      </c>
      <c r="B8" s="6" t="s">
        <v>360</v>
      </c>
      <c r="C8" s="288">
        <v>43045.967592592591</v>
      </c>
      <c r="D8" s="288"/>
      <c r="E8" s="6"/>
      <c r="F8" s="6" t="s">
        <v>468</v>
      </c>
      <c r="G8" s="288">
        <v>43133</v>
      </c>
      <c r="H8" s="288">
        <v>43138</v>
      </c>
      <c r="I8" s="6" t="s">
        <v>1014</v>
      </c>
      <c r="J8" s="6">
        <v>2</v>
      </c>
      <c r="K8" s="130">
        <f t="shared" si="0"/>
        <v>5</v>
      </c>
      <c r="L8" s="6">
        <f>SUMIF(Feb!$E$3:$E$98,A8,Feb!$H$3:$H$98)</f>
        <v>10</v>
      </c>
      <c r="M8" s="312">
        <f t="shared" si="1"/>
        <v>-5</v>
      </c>
    </row>
    <row r="9" spans="1:13" x14ac:dyDescent="0.3">
      <c r="A9" s="40">
        <v>1402762007</v>
      </c>
      <c r="B9" s="6" t="s">
        <v>360</v>
      </c>
      <c r="C9" s="288">
        <v>43045.967592592591</v>
      </c>
      <c r="D9" s="288"/>
      <c r="E9" s="6"/>
      <c r="F9" s="6" t="s">
        <v>467</v>
      </c>
      <c r="G9" s="288">
        <v>43133</v>
      </c>
      <c r="H9" s="288">
        <v>43138</v>
      </c>
      <c r="I9" s="6" t="s">
        <v>1015</v>
      </c>
      <c r="J9" s="6">
        <v>2</v>
      </c>
      <c r="K9" s="130">
        <f t="shared" si="0"/>
        <v>5</v>
      </c>
      <c r="L9" s="6">
        <f>SUMIF(Feb!$E$3:$E$98,A9,Feb!$H$3:$H$98)</f>
        <v>10</v>
      </c>
      <c r="M9" s="312">
        <f t="shared" si="1"/>
        <v>-5</v>
      </c>
    </row>
    <row r="10" spans="1:13" x14ac:dyDescent="0.3">
      <c r="A10" s="40">
        <v>1952623184</v>
      </c>
      <c r="B10" s="6" t="s">
        <v>360</v>
      </c>
      <c r="C10" s="288">
        <v>43051.20989583333</v>
      </c>
      <c r="D10" s="288">
        <v>43110.928796296299</v>
      </c>
      <c r="E10" s="6"/>
      <c r="F10" s="6" t="s">
        <v>468</v>
      </c>
      <c r="G10" s="288">
        <v>43133</v>
      </c>
      <c r="H10" s="288">
        <v>43138</v>
      </c>
      <c r="I10" s="6" t="s">
        <v>1017</v>
      </c>
      <c r="J10" s="6">
        <v>2</v>
      </c>
      <c r="K10" s="130">
        <f t="shared" si="0"/>
        <v>5</v>
      </c>
      <c r="L10" s="6">
        <f>SUMIF(Feb!$E$3:$E$98,A10,Feb!$H$3:$H$98)</f>
        <v>5</v>
      </c>
      <c r="M10" s="312">
        <f t="shared" si="1"/>
        <v>0</v>
      </c>
    </row>
    <row r="11" spans="1:13" x14ac:dyDescent="0.3">
      <c r="A11" s="40">
        <v>1492876672</v>
      </c>
      <c r="B11" s="6" t="s">
        <v>360</v>
      </c>
      <c r="C11" s="288">
        <v>43110.367627314816</v>
      </c>
      <c r="D11" s="288"/>
      <c r="E11" s="6"/>
      <c r="F11" s="6" t="s">
        <v>467</v>
      </c>
      <c r="G11" s="288">
        <v>43133</v>
      </c>
      <c r="H11" s="288">
        <v>43134</v>
      </c>
      <c r="I11" s="6" t="s">
        <v>1039</v>
      </c>
      <c r="J11" s="6">
        <v>2</v>
      </c>
      <c r="K11" s="130">
        <f t="shared" si="0"/>
        <v>1</v>
      </c>
      <c r="L11" s="6">
        <f>SUMIF(Feb!$E$3:$E$98,A11,Feb!$H$3:$H$98)</f>
        <v>2</v>
      </c>
      <c r="M11" s="312">
        <f t="shared" si="1"/>
        <v>-1</v>
      </c>
    </row>
    <row r="12" spans="1:13" x14ac:dyDescent="0.3">
      <c r="A12" s="40">
        <v>1492876672</v>
      </c>
      <c r="B12" s="6" t="s">
        <v>360</v>
      </c>
      <c r="C12" s="288">
        <v>43110.367627314816</v>
      </c>
      <c r="D12" s="288"/>
      <c r="E12" s="6"/>
      <c r="F12" s="6" t="s">
        <v>467</v>
      </c>
      <c r="G12" s="288">
        <v>43133</v>
      </c>
      <c r="H12" s="288">
        <v>43134</v>
      </c>
      <c r="I12" s="6" t="s">
        <v>1040</v>
      </c>
      <c r="J12" s="6">
        <v>2</v>
      </c>
      <c r="K12" s="130">
        <f t="shared" si="0"/>
        <v>1</v>
      </c>
      <c r="L12" s="6">
        <f>SUMIF(Feb!$E$3:$E$98,A12,Feb!$H$3:$H$98)</f>
        <v>2</v>
      </c>
      <c r="M12" s="312">
        <f t="shared" si="1"/>
        <v>-1</v>
      </c>
    </row>
    <row r="13" spans="1:13" x14ac:dyDescent="0.3">
      <c r="A13" s="40">
        <v>1006998930</v>
      </c>
      <c r="B13" s="6" t="s">
        <v>360</v>
      </c>
      <c r="C13" s="288">
        <v>43033.727997685186</v>
      </c>
      <c r="D13" s="288"/>
      <c r="E13" s="6"/>
      <c r="F13" s="6" t="s">
        <v>467</v>
      </c>
      <c r="G13" s="288">
        <v>43134</v>
      </c>
      <c r="H13" s="288">
        <v>43137</v>
      </c>
      <c r="I13" s="6" t="s">
        <v>1012</v>
      </c>
      <c r="J13" s="6">
        <v>2</v>
      </c>
      <c r="K13" s="130">
        <f t="shared" si="0"/>
        <v>3</v>
      </c>
      <c r="L13" s="6">
        <f>SUMIF(Feb!$E$3:$E$98,A13,Feb!$H$3:$H$98)</f>
        <v>3</v>
      </c>
      <c r="M13" s="312">
        <f t="shared" si="1"/>
        <v>0</v>
      </c>
    </row>
    <row r="14" spans="1:13" x14ac:dyDescent="0.3">
      <c r="A14" s="40">
        <v>1081424205</v>
      </c>
      <c r="B14" s="6" t="s">
        <v>360</v>
      </c>
      <c r="C14" s="288">
        <v>43061.405706018515</v>
      </c>
      <c r="D14" s="288"/>
      <c r="E14" s="6"/>
      <c r="F14" s="6" t="s">
        <v>467</v>
      </c>
      <c r="G14" s="288">
        <v>43136</v>
      </c>
      <c r="H14" s="288">
        <v>43141</v>
      </c>
      <c r="I14" s="6" t="s">
        <v>1022</v>
      </c>
      <c r="J14" s="6">
        <v>2</v>
      </c>
      <c r="K14" s="130">
        <f t="shared" si="0"/>
        <v>5</v>
      </c>
      <c r="L14" s="6">
        <f>SUMIF(Feb!$E$3:$E$98,A14,Feb!$H$3:$H$98)</f>
        <v>5</v>
      </c>
      <c r="M14" s="312">
        <f t="shared" si="1"/>
        <v>0</v>
      </c>
    </row>
    <row r="15" spans="1:13" x14ac:dyDescent="0.3">
      <c r="A15" s="40">
        <v>1505430337</v>
      </c>
      <c r="B15" s="6" t="s">
        <v>360</v>
      </c>
      <c r="C15" s="288">
        <v>42925.262870370374</v>
      </c>
      <c r="D15" s="288"/>
      <c r="E15" s="287"/>
      <c r="F15" s="287" t="s">
        <v>468</v>
      </c>
      <c r="G15" s="288">
        <v>43137</v>
      </c>
      <c r="H15" s="288">
        <v>43142</v>
      </c>
      <c r="I15" s="6" t="s">
        <v>992</v>
      </c>
      <c r="J15" s="6">
        <v>2</v>
      </c>
      <c r="K15" s="130">
        <f t="shared" si="0"/>
        <v>5</v>
      </c>
      <c r="L15" s="6">
        <f>SUMIF(Feb!$E$3:$E$98,A15,Feb!$H$3:$H$98)</f>
        <v>5</v>
      </c>
      <c r="M15" s="312">
        <f t="shared" si="1"/>
        <v>0</v>
      </c>
    </row>
    <row r="16" spans="1:13" x14ac:dyDescent="0.3">
      <c r="A16" s="40">
        <v>1717177663</v>
      </c>
      <c r="B16" s="6" t="s">
        <v>360</v>
      </c>
      <c r="C16" s="288">
        <v>43068.141331018516</v>
      </c>
      <c r="D16" s="288"/>
      <c r="E16" s="6"/>
      <c r="F16" s="6" t="s">
        <v>467</v>
      </c>
      <c r="G16" s="288">
        <v>43137</v>
      </c>
      <c r="H16" s="288">
        <v>43139</v>
      </c>
      <c r="I16" s="6" t="s">
        <v>1026</v>
      </c>
      <c r="J16" s="6">
        <v>2</v>
      </c>
      <c r="K16" s="130">
        <f t="shared" si="0"/>
        <v>2</v>
      </c>
      <c r="L16" s="6">
        <f>SUMIF(Feb!$E$3:$E$98,A16,Feb!$H$3:$H$98)</f>
        <v>4</v>
      </c>
      <c r="M16" s="312">
        <f t="shared" si="1"/>
        <v>-2</v>
      </c>
    </row>
    <row r="17" spans="1:13" x14ac:dyDescent="0.3">
      <c r="A17" s="40">
        <v>1717177663</v>
      </c>
      <c r="B17" s="6" t="s">
        <v>360</v>
      </c>
      <c r="C17" s="288">
        <v>43068.141331018516</v>
      </c>
      <c r="D17" s="288"/>
      <c r="E17" s="6"/>
      <c r="F17" s="6" t="s">
        <v>467</v>
      </c>
      <c r="G17" s="288">
        <v>43137</v>
      </c>
      <c r="H17" s="288">
        <v>43139</v>
      </c>
      <c r="I17" s="6" t="s">
        <v>1027</v>
      </c>
      <c r="J17" s="6">
        <v>2</v>
      </c>
      <c r="K17" s="130">
        <f t="shared" si="0"/>
        <v>2</v>
      </c>
      <c r="L17" s="6">
        <f>SUMIF(Feb!$E$3:$E$98,A17,Feb!$H$3:$H$98)</f>
        <v>4</v>
      </c>
      <c r="M17" s="312">
        <f t="shared" si="1"/>
        <v>-2</v>
      </c>
    </row>
    <row r="18" spans="1:13" x14ac:dyDescent="0.3">
      <c r="A18" s="40">
        <v>1196827254</v>
      </c>
      <c r="B18" s="6" t="s">
        <v>360</v>
      </c>
      <c r="C18" s="288">
        <v>43037.049270833333</v>
      </c>
      <c r="D18" s="288"/>
      <c r="E18" s="6"/>
      <c r="F18" s="6" t="s">
        <v>470</v>
      </c>
      <c r="G18" s="288">
        <v>43138</v>
      </c>
      <c r="H18" s="288">
        <v>43145</v>
      </c>
      <c r="I18" s="6" t="s">
        <v>1013</v>
      </c>
      <c r="J18" s="6">
        <v>2</v>
      </c>
      <c r="K18" s="130">
        <f t="shared" si="0"/>
        <v>7</v>
      </c>
      <c r="L18" s="6">
        <f>SUMIF(Feb!$E$3:$E$98,A18,Feb!$H$3:$H$98)</f>
        <v>7</v>
      </c>
      <c r="M18" s="312">
        <f t="shared" si="1"/>
        <v>0</v>
      </c>
    </row>
    <row r="19" spans="1:13" x14ac:dyDescent="0.3">
      <c r="A19" s="40">
        <v>1478106894</v>
      </c>
      <c r="B19" s="6" t="s">
        <v>360</v>
      </c>
      <c r="C19" s="288">
        <v>43095.655439814815</v>
      </c>
      <c r="D19" s="288"/>
      <c r="E19" s="6"/>
      <c r="F19" s="6" t="s">
        <v>468</v>
      </c>
      <c r="G19" s="288">
        <v>43138</v>
      </c>
      <c r="H19" s="288">
        <v>43139</v>
      </c>
      <c r="I19" s="6" t="s">
        <v>1035</v>
      </c>
      <c r="J19" s="6">
        <v>2</v>
      </c>
      <c r="K19" s="130">
        <f t="shared" si="0"/>
        <v>1</v>
      </c>
      <c r="L19" s="6">
        <f>SUMIF(Feb!$E$3:$E$98,A19,Feb!$H$3:$H$98)</f>
        <v>1</v>
      </c>
      <c r="M19" s="312">
        <f t="shared" si="1"/>
        <v>0</v>
      </c>
    </row>
    <row r="20" spans="1:13" x14ac:dyDescent="0.3">
      <c r="A20" s="40">
        <v>1477692270</v>
      </c>
      <c r="B20" s="6" t="s">
        <v>360</v>
      </c>
      <c r="C20" s="288">
        <v>43115.576331018521</v>
      </c>
      <c r="D20" s="288"/>
      <c r="E20" s="6"/>
      <c r="F20" s="6" t="s">
        <v>467</v>
      </c>
      <c r="G20" s="288">
        <v>43138</v>
      </c>
      <c r="H20" s="288">
        <v>43141</v>
      </c>
      <c r="I20" s="6" t="s">
        <v>1045</v>
      </c>
      <c r="J20" s="6">
        <v>2</v>
      </c>
      <c r="K20" s="130">
        <f t="shared" si="0"/>
        <v>3</v>
      </c>
      <c r="L20" s="6">
        <f>SUMIF(Feb!$E$3:$E$98,A20,Feb!$H$3:$H$98)</f>
        <v>3</v>
      </c>
      <c r="M20" s="312">
        <f t="shared" si="1"/>
        <v>0</v>
      </c>
    </row>
    <row r="21" spans="1:13" x14ac:dyDescent="0.3">
      <c r="A21" s="40">
        <v>2050762130</v>
      </c>
      <c r="B21" s="6" t="s">
        <v>360</v>
      </c>
      <c r="C21" s="288">
        <v>42942.400671296295</v>
      </c>
      <c r="D21" s="288">
        <v>43115.431701388887</v>
      </c>
      <c r="E21" s="287"/>
      <c r="F21" s="287" t="s">
        <v>470</v>
      </c>
      <c r="G21" s="288">
        <v>43139</v>
      </c>
      <c r="H21" s="288">
        <v>43146</v>
      </c>
      <c r="I21" s="6" t="s">
        <v>998</v>
      </c>
      <c r="J21" s="6">
        <v>2</v>
      </c>
      <c r="K21" s="130">
        <f t="shared" si="0"/>
        <v>7</v>
      </c>
      <c r="L21" s="6">
        <f>SUMIF(Feb!$E$3:$E$98,A21,Feb!$H$3:$H$98)</f>
        <v>7</v>
      </c>
      <c r="M21" s="312">
        <f t="shared" si="1"/>
        <v>0</v>
      </c>
    </row>
    <row r="22" spans="1:13" x14ac:dyDescent="0.3">
      <c r="A22" s="40">
        <v>1923310301</v>
      </c>
      <c r="B22" s="6" t="s">
        <v>360</v>
      </c>
      <c r="C22" s="288">
        <v>42955.67863425926</v>
      </c>
      <c r="D22" s="288">
        <v>43140.580509259256</v>
      </c>
      <c r="E22" s="287"/>
      <c r="F22" s="287" t="s">
        <v>467</v>
      </c>
      <c r="G22" s="288">
        <v>43139</v>
      </c>
      <c r="H22" s="288">
        <v>43141</v>
      </c>
      <c r="I22" s="6" t="s">
        <v>999</v>
      </c>
      <c r="J22" s="6">
        <v>2</v>
      </c>
      <c r="K22" s="130">
        <f t="shared" si="0"/>
        <v>2</v>
      </c>
      <c r="L22" s="6">
        <f>SUMIF(Feb!$E$3:$E$98,A22,Feb!$H$3:$H$98)</f>
        <v>2</v>
      </c>
      <c r="M22" s="312">
        <f t="shared" si="1"/>
        <v>0</v>
      </c>
    </row>
    <row r="23" spans="1:13" x14ac:dyDescent="0.3">
      <c r="A23" s="40">
        <v>1749328611</v>
      </c>
      <c r="B23" s="6" t="s">
        <v>360</v>
      </c>
      <c r="C23" s="288">
        <v>43054.468298611115</v>
      </c>
      <c r="D23" s="288"/>
      <c r="E23" s="6"/>
      <c r="F23" s="6" t="s">
        <v>467</v>
      </c>
      <c r="G23" s="288">
        <v>43139</v>
      </c>
      <c r="H23" s="288">
        <v>43141</v>
      </c>
      <c r="I23" s="6" t="s">
        <v>1000</v>
      </c>
      <c r="J23" s="6">
        <v>2</v>
      </c>
      <c r="K23" s="130">
        <f t="shared" si="0"/>
        <v>2</v>
      </c>
      <c r="L23" s="6">
        <f>SUMIF(Feb!$E$3:$E$98,A23,Feb!$H$3:$H$98)</f>
        <v>2</v>
      </c>
      <c r="M23" s="312">
        <f t="shared" si="1"/>
        <v>0</v>
      </c>
    </row>
    <row r="24" spans="1:13" x14ac:dyDescent="0.3">
      <c r="A24" s="40">
        <v>1482436688</v>
      </c>
      <c r="B24" s="6" t="s">
        <v>360</v>
      </c>
      <c r="C24" s="288">
        <v>43069.937905092593</v>
      </c>
      <c r="D24" s="288"/>
      <c r="E24" s="6"/>
      <c r="F24" s="6" t="s">
        <v>467</v>
      </c>
      <c r="G24" s="288">
        <v>43139</v>
      </c>
      <c r="H24" s="288">
        <v>43142</v>
      </c>
      <c r="I24" s="6" t="s">
        <v>1029</v>
      </c>
      <c r="J24" s="6">
        <v>2</v>
      </c>
      <c r="K24" s="130">
        <f t="shared" si="0"/>
        <v>3</v>
      </c>
      <c r="L24" s="6">
        <f>SUMIF(Feb!$E$3:$E$98,A24,Feb!$H$3:$H$98)</f>
        <v>3</v>
      </c>
      <c r="M24" s="312">
        <f t="shared" si="1"/>
        <v>0</v>
      </c>
    </row>
    <row r="25" spans="1:13" x14ac:dyDescent="0.3">
      <c r="A25" s="40">
        <v>1327587176</v>
      </c>
      <c r="B25" s="6" t="s">
        <v>360</v>
      </c>
      <c r="C25" s="288">
        <v>42935.791863425926</v>
      </c>
      <c r="D25" s="288">
        <v>43113.491655092592</v>
      </c>
      <c r="E25" s="287"/>
      <c r="F25" s="287" t="s">
        <v>467</v>
      </c>
      <c r="G25" s="288">
        <v>43141</v>
      </c>
      <c r="H25" s="288">
        <v>43144</v>
      </c>
      <c r="I25" s="6" t="s">
        <v>996</v>
      </c>
      <c r="J25" s="6">
        <v>2</v>
      </c>
      <c r="K25" s="130">
        <f t="shared" si="0"/>
        <v>3</v>
      </c>
      <c r="L25" s="6">
        <f>SUMIF(Feb!$E$3:$E$98,A25,Feb!$H$3:$H$98)</f>
        <v>3</v>
      </c>
      <c r="M25" s="312">
        <f t="shared" si="1"/>
        <v>0</v>
      </c>
    </row>
    <row r="26" spans="1:13" x14ac:dyDescent="0.3">
      <c r="A26" s="40">
        <v>1914957706</v>
      </c>
      <c r="B26" s="6" t="s">
        <v>360</v>
      </c>
      <c r="C26" s="288">
        <v>42966.506041666667</v>
      </c>
      <c r="D26" s="288"/>
      <c r="E26" s="287"/>
      <c r="F26" s="287" t="s">
        <v>467</v>
      </c>
      <c r="G26" s="288">
        <v>43141</v>
      </c>
      <c r="H26" s="288">
        <v>43145</v>
      </c>
      <c r="I26" s="6" t="s">
        <v>1000</v>
      </c>
      <c r="J26" s="6">
        <v>2</v>
      </c>
      <c r="K26" s="130">
        <f t="shared" si="0"/>
        <v>4</v>
      </c>
      <c r="L26" s="6">
        <f>SUMIF(Feb!$E$3:$E$98,A26,Feb!$H$3:$H$98)</f>
        <v>8</v>
      </c>
      <c r="M26" s="312">
        <f t="shared" si="1"/>
        <v>-4</v>
      </c>
    </row>
    <row r="27" spans="1:13" x14ac:dyDescent="0.3">
      <c r="A27" s="40">
        <v>1914957706</v>
      </c>
      <c r="B27" s="6" t="s">
        <v>360</v>
      </c>
      <c r="C27" s="288">
        <v>42966.506041666667</v>
      </c>
      <c r="D27" s="288"/>
      <c r="E27" s="287"/>
      <c r="F27" s="287" t="s">
        <v>467</v>
      </c>
      <c r="G27" s="288">
        <v>43141</v>
      </c>
      <c r="H27" s="288">
        <v>43145</v>
      </c>
      <c r="I27" s="6" t="s">
        <v>1001</v>
      </c>
      <c r="J27" s="6">
        <v>2</v>
      </c>
      <c r="K27" s="130">
        <f t="shared" si="0"/>
        <v>4</v>
      </c>
      <c r="L27" s="6">
        <f>SUMIF(Feb!$E$3:$E$98,A27,Feb!$H$3:$H$98)</f>
        <v>8</v>
      </c>
      <c r="M27" s="312">
        <f t="shared" si="1"/>
        <v>-4</v>
      </c>
    </row>
    <row r="28" spans="1:13" x14ac:dyDescent="0.3">
      <c r="A28" s="40">
        <v>1323585064</v>
      </c>
      <c r="B28" s="6" t="s">
        <v>360</v>
      </c>
      <c r="C28" s="288">
        <v>42921.459421296298</v>
      </c>
      <c r="D28" s="288">
        <v>43044.67895833333</v>
      </c>
      <c r="E28" s="287"/>
      <c r="F28" s="287" t="s">
        <v>467</v>
      </c>
      <c r="G28" s="288">
        <v>43142</v>
      </c>
      <c r="H28" s="288">
        <v>43148</v>
      </c>
      <c r="I28" s="6" t="s">
        <v>991</v>
      </c>
      <c r="J28" s="6">
        <v>2</v>
      </c>
      <c r="K28" s="130">
        <f t="shared" si="0"/>
        <v>6</v>
      </c>
      <c r="L28" s="6">
        <f>SUMIF(Feb!$E$3:$E$98,A28,Feb!$H$3:$H$98)</f>
        <v>6</v>
      </c>
      <c r="M28" s="312">
        <f t="shared" si="1"/>
        <v>0</v>
      </c>
    </row>
    <row r="29" spans="1:13" x14ac:dyDescent="0.3">
      <c r="A29" s="40">
        <v>1956714012</v>
      </c>
      <c r="B29" s="6" t="s">
        <v>360</v>
      </c>
      <c r="C29" s="288">
        <v>42935.850636574076</v>
      </c>
      <c r="D29" s="288"/>
      <c r="E29" s="287"/>
      <c r="F29" s="287" t="s">
        <v>467</v>
      </c>
      <c r="G29" s="288">
        <v>43142</v>
      </c>
      <c r="H29" s="288">
        <v>43147</v>
      </c>
      <c r="I29" s="6" t="s">
        <v>997</v>
      </c>
      <c r="J29" s="6">
        <v>2</v>
      </c>
      <c r="K29" s="130">
        <f t="shared" si="0"/>
        <v>5</v>
      </c>
      <c r="L29" s="6">
        <f>SUMIF(Feb!$E$3:$E$98,A29,Feb!$H$3:$H$98)</f>
        <v>5</v>
      </c>
      <c r="M29" s="312">
        <f t="shared" si="1"/>
        <v>0</v>
      </c>
    </row>
    <row r="30" spans="1:13" x14ac:dyDescent="0.3">
      <c r="A30" s="40">
        <v>1389375454</v>
      </c>
      <c r="B30" s="6" t="s">
        <v>360</v>
      </c>
      <c r="C30" s="288">
        <v>43114.062060185184</v>
      </c>
      <c r="D30" s="288"/>
      <c r="E30" s="6"/>
      <c r="F30" s="6" t="s">
        <v>468</v>
      </c>
      <c r="G30" s="288">
        <v>43143</v>
      </c>
      <c r="H30" s="288">
        <v>43144</v>
      </c>
      <c r="I30" s="6" t="s">
        <v>1041</v>
      </c>
      <c r="J30" s="6">
        <v>2</v>
      </c>
      <c r="K30" s="130">
        <f t="shared" si="0"/>
        <v>1</v>
      </c>
      <c r="L30" s="6">
        <f>SUMIF(Feb!$E$3:$E$98,A30,Feb!$H$3:$H$98)</f>
        <v>1</v>
      </c>
      <c r="M30" s="312">
        <f t="shared" si="1"/>
        <v>0</v>
      </c>
    </row>
    <row r="31" spans="1:13" x14ac:dyDescent="0.3">
      <c r="A31" s="40">
        <v>1158841206</v>
      </c>
      <c r="B31" s="6" t="s">
        <v>360</v>
      </c>
      <c r="C31" s="288">
        <v>43015.39234953704</v>
      </c>
      <c r="D31" s="288"/>
      <c r="E31" s="6"/>
      <c r="F31" s="6" t="s">
        <v>467</v>
      </c>
      <c r="G31" s="288">
        <v>43145</v>
      </c>
      <c r="H31" s="288">
        <v>43148</v>
      </c>
      <c r="I31" s="6" t="s">
        <v>1008</v>
      </c>
      <c r="J31" s="6">
        <v>2</v>
      </c>
      <c r="K31" s="130">
        <f t="shared" si="0"/>
        <v>3</v>
      </c>
      <c r="L31" s="6">
        <f>SUMIF(Feb!$E$3:$E$98,A31,Feb!$H$3:$H$98)</f>
        <v>3</v>
      </c>
      <c r="M31" s="312">
        <f t="shared" si="1"/>
        <v>0</v>
      </c>
    </row>
    <row r="32" spans="1:13" x14ac:dyDescent="0.3">
      <c r="A32" s="40">
        <v>1533043630</v>
      </c>
      <c r="B32" s="6" t="s">
        <v>360</v>
      </c>
      <c r="C32" s="288">
        <v>43032.39943287037</v>
      </c>
      <c r="D32" s="288"/>
      <c r="E32" s="6"/>
      <c r="F32" s="6" t="s">
        <v>468</v>
      </c>
      <c r="G32" s="288">
        <v>43145</v>
      </c>
      <c r="H32" s="288">
        <v>43146</v>
      </c>
      <c r="I32" s="6" t="s">
        <v>1011</v>
      </c>
      <c r="J32" s="6">
        <v>2</v>
      </c>
      <c r="K32" s="130">
        <f t="shared" si="0"/>
        <v>1</v>
      </c>
      <c r="L32" s="6">
        <f>SUMIF(Feb!$E$3:$E$98,A32,Feb!$H$3:$H$98)</f>
        <v>1</v>
      </c>
      <c r="M32" s="312">
        <f t="shared" si="1"/>
        <v>0</v>
      </c>
    </row>
    <row r="33" spans="1:13" x14ac:dyDescent="0.3">
      <c r="A33" s="40">
        <v>1460806187</v>
      </c>
      <c r="B33" s="6" t="s">
        <v>360</v>
      </c>
      <c r="C33" s="288">
        <v>43066.557673611111</v>
      </c>
      <c r="D33" s="288"/>
      <c r="E33" s="6"/>
      <c r="F33" s="6" t="s">
        <v>467</v>
      </c>
      <c r="G33" s="288">
        <v>43145</v>
      </c>
      <c r="H33" s="288">
        <v>43150</v>
      </c>
      <c r="I33" s="6" t="s">
        <v>1025</v>
      </c>
      <c r="J33" s="6">
        <v>2</v>
      </c>
      <c r="K33" s="130">
        <f t="shared" si="0"/>
        <v>5</v>
      </c>
      <c r="L33" s="6">
        <f>SUMIF(Feb!$E$3:$E$98,A33,Feb!$H$3:$H$98)</f>
        <v>5</v>
      </c>
      <c r="M33" s="312">
        <f t="shared" si="1"/>
        <v>0</v>
      </c>
    </row>
    <row r="34" spans="1:13" x14ac:dyDescent="0.3">
      <c r="A34" s="40">
        <v>1817737019</v>
      </c>
      <c r="B34" s="6" t="s">
        <v>360</v>
      </c>
      <c r="C34" s="288">
        <v>43114.506712962961</v>
      </c>
      <c r="D34" s="288"/>
      <c r="E34" s="6"/>
      <c r="F34" s="6" t="s">
        <v>467</v>
      </c>
      <c r="G34" s="288">
        <v>43145</v>
      </c>
      <c r="H34" s="288">
        <v>43148</v>
      </c>
      <c r="I34" s="6" t="s">
        <v>1042</v>
      </c>
      <c r="J34" s="6">
        <v>2</v>
      </c>
      <c r="K34" s="130">
        <f t="shared" si="0"/>
        <v>3</v>
      </c>
      <c r="L34" s="6">
        <f>SUMIF(Feb!$E$3:$E$98,A34,Feb!$H$3:$H$98)</f>
        <v>3</v>
      </c>
      <c r="M34" s="312">
        <f t="shared" si="1"/>
        <v>0</v>
      </c>
    </row>
    <row r="35" spans="1:13" x14ac:dyDescent="0.3">
      <c r="A35" s="40">
        <v>1291808893</v>
      </c>
      <c r="B35" s="6" t="s">
        <v>360</v>
      </c>
      <c r="C35" s="288">
        <v>43131.819652777776</v>
      </c>
      <c r="D35" s="288"/>
      <c r="E35" s="6"/>
      <c r="F35" s="6" t="s">
        <v>467</v>
      </c>
      <c r="G35" s="288">
        <v>43145</v>
      </c>
      <c r="H35" s="288">
        <v>43146</v>
      </c>
      <c r="I35" s="6" t="s">
        <v>1051</v>
      </c>
      <c r="J35" s="6">
        <v>2</v>
      </c>
      <c r="K35" s="130">
        <f t="shared" si="0"/>
        <v>1</v>
      </c>
      <c r="L35" s="6">
        <f>SUMIF(Feb!$E$3:$E$98,A35,Feb!$H$3:$H$98)</f>
        <v>1</v>
      </c>
      <c r="M35" s="312">
        <f t="shared" si="1"/>
        <v>0</v>
      </c>
    </row>
    <row r="36" spans="1:13" x14ac:dyDescent="0.3">
      <c r="A36" s="40">
        <v>1515985900</v>
      </c>
      <c r="B36" s="6" t="s">
        <v>360</v>
      </c>
      <c r="C36" s="288">
        <v>42934.563217592593</v>
      </c>
      <c r="D36" s="288"/>
      <c r="E36" s="287"/>
      <c r="F36" s="287" t="s">
        <v>468</v>
      </c>
      <c r="G36" s="288">
        <v>43146</v>
      </c>
      <c r="H36" s="288">
        <v>43152</v>
      </c>
      <c r="I36" s="6" t="s">
        <v>994</v>
      </c>
      <c r="J36" s="6">
        <v>2</v>
      </c>
      <c r="K36" s="130">
        <f t="shared" si="0"/>
        <v>6</v>
      </c>
      <c r="L36" s="6">
        <f>SUMIF(Feb!$E$3:$E$98,A36,Feb!$H$3:$H$98)</f>
        <v>12</v>
      </c>
      <c r="M36" s="312">
        <f t="shared" si="1"/>
        <v>-6</v>
      </c>
    </row>
    <row r="37" spans="1:13" x14ac:dyDescent="0.3">
      <c r="A37" s="40">
        <v>1515985900</v>
      </c>
      <c r="B37" s="6" t="s">
        <v>360</v>
      </c>
      <c r="C37" s="288">
        <v>42934.563217592593</v>
      </c>
      <c r="D37" s="288"/>
      <c r="E37" s="287"/>
      <c r="F37" s="287" t="s">
        <v>468</v>
      </c>
      <c r="G37" s="288">
        <v>43146</v>
      </c>
      <c r="H37" s="288">
        <v>43152</v>
      </c>
      <c r="I37" s="6" t="s">
        <v>995</v>
      </c>
      <c r="J37" s="6">
        <v>2</v>
      </c>
      <c r="K37" s="130">
        <f t="shared" si="0"/>
        <v>6</v>
      </c>
      <c r="L37" s="6">
        <f>SUMIF(Feb!$E$3:$E$98,A37,Feb!$H$3:$H$98)</f>
        <v>12</v>
      </c>
      <c r="M37" s="312">
        <f t="shared" si="1"/>
        <v>-6</v>
      </c>
    </row>
    <row r="38" spans="1:13" x14ac:dyDescent="0.3">
      <c r="A38" s="40">
        <v>1980739246</v>
      </c>
      <c r="B38" s="6" t="s">
        <v>360</v>
      </c>
      <c r="C38" s="288">
        <v>42982.906990740739</v>
      </c>
      <c r="D38" s="288">
        <v>43117.443611111114</v>
      </c>
      <c r="E38" s="287"/>
      <c r="F38" s="287" t="s">
        <v>467</v>
      </c>
      <c r="G38" s="288">
        <v>43146</v>
      </c>
      <c r="H38" s="288">
        <v>43152</v>
      </c>
      <c r="I38" s="6" t="s">
        <v>1004</v>
      </c>
      <c r="J38" s="6">
        <v>2</v>
      </c>
      <c r="K38" s="130">
        <f t="shared" si="0"/>
        <v>6</v>
      </c>
      <c r="L38" s="6">
        <f>SUMIF(Feb!$E$3:$E$98,A38,Feb!$H$3:$H$98)</f>
        <v>6</v>
      </c>
      <c r="M38" s="312">
        <f t="shared" si="1"/>
        <v>0</v>
      </c>
    </row>
    <row r="39" spans="1:13" x14ac:dyDescent="0.3">
      <c r="A39" s="40">
        <v>1046614536</v>
      </c>
      <c r="B39" s="6" t="s">
        <v>360</v>
      </c>
      <c r="C39" s="288">
        <v>43122.920601851853</v>
      </c>
      <c r="D39" s="288"/>
      <c r="E39" s="6"/>
      <c r="F39" s="6" t="s">
        <v>468</v>
      </c>
      <c r="G39" s="288">
        <v>43146</v>
      </c>
      <c r="H39" s="288">
        <v>43147</v>
      </c>
      <c r="I39" s="6" t="s">
        <v>1050</v>
      </c>
      <c r="J39" s="6">
        <v>2</v>
      </c>
      <c r="K39" s="130">
        <f t="shared" si="0"/>
        <v>1</v>
      </c>
      <c r="L39" s="6">
        <f>SUMIF(Feb!$E$3:$E$98,A39,Feb!$H$3:$H$98)</f>
        <v>1</v>
      </c>
      <c r="M39" s="312">
        <f t="shared" si="1"/>
        <v>0</v>
      </c>
    </row>
    <row r="40" spans="1:13" x14ac:dyDescent="0.3">
      <c r="A40" s="40">
        <v>1274780746</v>
      </c>
      <c r="B40" s="6" t="s">
        <v>360</v>
      </c>
      <c r="C40" s="288">
        <v>43119.710856481484</v>
      </c>
      <c r="D40" s="288"/>
      <c r="E40" s="6"/>
      <c r="F40" s="6" t="s">
        <v>468</v>
      </c>
      <c r="G40" s="288">
        <v>43147</v>
      </c>
      <c r="H40" s="288">
        <v>43149</v>
      </c>
      <c r="I40" s="6" t="s">
        <v>1048</v>
      </c>
      <c r="J40" s="6">
        <v>1</v>
      </c>
      <c r="K40" s="130">
        <f t="shared" si="0"/>
        <v>2</v>
      </c>
      <c r="L40" s="6">
        <f>SUMIF(Feb!$E$3:$E$98,A40,Feb!$H$3:$H$98)</f>
        <v>2</v>
      </c>
      <c r="M40" s="312">
        <f t="shared" si="1"/>
        <v>0</v>
      </c>
    </row>
    <row r="41" spans="1:13" x14ac:dyDescent="0.3">
      <c r="A41" s="40">
        <v>1845629500</v>
      </c>
      <c r="B41" s="6" t="s">
        <v>360</v>
      </c>
      <c r="C41" s="288">
        <v>43137.40184027778</v>
      </c>
      <c r="D41" s="288"/>
      <c r="E41" s="6"/>
      <c r="F41" s="6" t="s">
        <v>467</v>
      </c>
      <c r="G41" s="288">
        <v>43148</v>
      </c>
      <c r="H41" s="288">
        <v>43150</v>
      </c>
      <c r="I41" s="6" t="s">
        <v>1054</v>
      </c>
      <c r="J41" s="6">
        <v>2</v>
      </c>
      <c r="K41" s="130">
        <f t="shared" si="0"/>
        <v>2</v>
      </c>
      <c r="L41" s="6">
        <f>SUMIF(Feb!$E$3:$E$98,A41,Feb!$H$3:$H$98)</f>
        <v>2</v>
      </c>
      <c r="M41" s="312">
        <f t="shared" si="1"/>
        <v>0</v>
      </c>
    </row>
    <row r="42" spans="1:13" x14ac:dyDescent="0.3">
      <c r="A42" s="40">
        <v>1262721327</v>
      </c>
      <c r="B42" s="6" t="s">
        <v>360</v>
      </c>
      <c r="C42" s="288">
        <v>43143.615787037037</v>
      </c>
      <c r="D42" s="288"/>
      <c r="E42" s="6"/>
      <c r="F42" s="6" t="s">
        <v>467</v>
      </c>
      <c r="G42" s="288">
        <v>43148</v>
      </c>
      <c r="H42" s="288">
        <v>43149</v>
      </c>
      <c r="I42" s="6" t="s">
        <v>1057</v>
      </c>
      <c r="J42" s="6">
        <v>2</v>
      </c>
      <c r="K42" s="130">
        <f t="shared" si="0"/>
        <v>1</v>
      </c>
      <c r="L42" s="6">
        <f>SUMIF(Feb!$E$3:$E$98,A42,Feb!$H$3:$H$98)</f>
        <v>1</v>
      </c>
      <c r="M42" s="312">
        <f t="shared" si="1"/>
        <v>0</v>
      </c>
    </row>
    <row r="43" spans="1:13" x14ac:dyDescent="0.3">
      <c r="A43" s="40">
        <v>1343377003</v>
      </c>
      <c r="B43" s="6" t="s">
        <v>360</v>
      </c>
      <c r="C43" s="288">
        <v>43028.879942129628</v>
      </c>
      <c r="D43" s="288"/>
      <c r="E43" s="6"/>
      <c r="F43" s="6" t="s">
        <v>467</v>
      </c>
      <c r="G43" s="288">
        <v>43149</v>
      </c>
      <c r="H43" s="288">
        <v>43156</v>
      </c>
      <c r="I43" s="6" t="s">
        <v>1009</v>
      </c>
      <c r="J43" s="6">
        <v>2</v>
      </c>
      <c r="K43" s="130">
        <f t="shared" si="0"/>
        <v>7</v>
      </c>
      <c r="L43" s="6">
        <f>SUMIF(Feb!$E$3:$E$98,A43,Feb!$H$3:$H$98)</f>
        <v>14</v>
      </c>
      <c r="M43" s="312">
        <f t="shared" si="1"/>
        <v>-7</v>
      </c>
    </row>
    <row r="44" spans="1:13" x14ac:dyDescent="0.3">
      <c r="A44" s="40">
        <v>1343377003</v>
      </c>
      <c r="B44" s="6" t="s">
        <v>360</v>
      </c>
      <c r="C44" s="288">
        <v>43028.879942129628</v>
      </c>
      <c r="D44" s="288"/>
      <c r="E44" s="6"/>
      <c r="F44" s="6" t="s">
        <v>467</v>
      </c>
      <c r="G44" s="288">
        <v>43149</v>
      </c>
      <c r="H44" s="288">
        <v>43156</v>
      </c>
      <c r="I44" s="6" t="s">
        <v>1010</v>
      </c>
      <c r="J44" s="6">
        <v>2</v>
      </c>
      <c r="K44" s="130">
        <f t="shared" si="0"/>
        <v>7</v>
      </c>
      <c r="L44" s="6">
        <f>SUMIF(Feb!$E$3:$E$98,A44,Feb!$H$3:$H$98)</f>
        <v>14</v>
      </c>
      <c r="M44" s="312">
        <f t="shared" si="1"/>
        <v>-7</v>
      </c>
    </row>
    <row r="45" spans="1:13" x14ac:dyDescent="0.3">
      <c r="A45" s="40">
        <v>1086678073</v>
      </c>
      <c r="B45" s="6" t="s">
        <v>360</v>
      </c>
      <c r="C45" s="288">
        <v>43060.829282407409</v>
      </c>
      <c r="D45" s="288"/>
      <c r="E45" s="6"/>
      <c r="F45" s="6" t="s">
        <v>468</v>
      </c>
      <c r="G45" s="288">
        <v>43149</v>
      </c>
      <c r="H45" s="288">
        <v>43150</v>
      </c>
      <c r="I45" s="6" t="s">
        <v>1020</v>
      </c>
      <c r="J45" s="6">
        <v>2</v>
      </c>
      <c r="K45" s="130">
        <f t="shared" si="0"/>
        <v>1</v>
      </c>
      <c r="L45" s="6">
        <f>SUMIF(Feb!$E$3:$E$98,A45,Feb!$H$3:$H$98)</f>
        <v>1</v>
      </c>
      <c r="M45" s="312">
        <f t="shared" si="1"/>
        <v>0</v>
      </c>
    </row>
    <row r="46" spans="1:13" x14ac:dyDescent="0.3">
      <c r="A46" s="40">
        <v>1717310520</v>
      </c>
      <c r="B46" s="6" t="s">
        <v>360</v>
      </c>
      <c r="C46" s="288">
        <v>43119.713182870371</v>
      </c>
      <c r="D46" s="288"/>
      <c r="E46" s="6"/>
      <c r="F46" s="6" t="s">
        <v>467</v>
      </c>
      <c r="G46" s="288">
        <v>43149</v>
      </c>
      <c r="H46" s="288">
        <v>43150</v>
      </c>
      <c r="I46" s="6" t="s">
        <v>1048</v>
      </c>
      <c r="J46" s="6">
        <v>1</v>
      </c>
      <c r="K46" s="130">
        <f t="shared" si="0"/>
        <v>1</v>
      </c>
      <c r="L46" s="6">
        <f>SUMIF(Feb!$E$3:$E$98,A46,Feb!$H$3:$H$98)</f>
        <v>1</v>
      </c>
      <c r="M46" s="312">
        <f t="shared" si="1"/>
        <v>0</v>
      </c>
    </row>
    <row r="47" spans="1:13" x14ac:dyDescent="0.3">
      <c r="A47" s="40">
        <v>1907687649</v>
      </c>
      <c r="B47" s="6" t="s">
        <v>360</v>
      </c>
      <c r="C47" s="288">
        <v>43077.42701388889</v>
      </c>
      <c r="D47" s="288">
        <v>43130.614629629628</v>
      </c>
      <c r="E47" s="6"/>
      <c r="F47" s="6" t="s">
        <v>468</v>
      </c>
      <c r="G47" s="288">
        <v>43150</v>
      </c>
      <c r="H47" s="288">
        <v>43152</v>
      </c>
      <c r="I47" s="6" t="s">
        <v>1030</v>
      </c>
      <c r="J47" s="6">
        <v>2</v>
      </c>
      <c r="K47" s="130">
        <f t="shared" si="0"/>
        <v>2</v>
      </c>
      <c r="L47" s="6">
        <f>SUMIF(Feb!$E$3:$E$98,A47,Feb!$H$3:$H$98)</f>
        <v>2</v>
      </c>
      <c r="M47" s="312">
        <f t="shared" si="1"/>
        <v>0</v>
      </c>
    </row>
    <row r="48" spans="1:13" x14ac:dyDescent="0.3">
      <c r="A48" s="40">
        <v>1580659576</v>
      </c>
      <c r="B48" s="6" t="s">
        <v>360</v>
      </c>
      <c r="C48" s="288">
        <v>43148.074328703704</v>
      </c>
      <c r="D48" s="288"/>
      <c r="E48" s="6"/>
      <c r="F48" s="6" t="s">
        <v>467</v>
      </c>
      <c r="G48" s="288">
        <v>43150</v>
      </c>
      <c r="H48" s="288">
        <v>43152</v>
      </c>
      <c r="I48" s="6" t="s">
        <v>1060</v>
      </c>
      <c r="J48" s="6">
        <v>2</v>
      </c>
      <c r="K48" s="130">
        <f t="shared" si="0"/>
        <v>2</v>
      </c>
      <c r="L48" s="6">
        <f>SUMIF(Feb!$E$3:$E$98,A48,Feb!$H$3:$H$98)</f>
        <v>2</v>
      </c>
      <c r="M48" s="312">
        <f t="shared" si="1"/>
        <v>0</v>
      </c>
    </row>
    <row r="49" spans="1:13" x14ac:dyDescent="0.3">
      <c r="A49" s="40">
        <v>1879467939</v>
      </c>
      <c r="B49" s="6" t="s">
        <v>360</v>
      </c>
      <c r="C49" s="288">
        <v>42932.94190972222</v>
      </c>
      <c r="D49" s="288"/>
      <c r="E49" s="287"/>
      <c r="F49" s="287" t="s">
        <v>467</v>
      </c>
      <c r="G49" s="288">
        <v>43151</v>
      </c>
      <c r="H49" s="288">
        <v>43159</v>
      </c>
      <c r="I49" s="6" t="s">
        <v>993</v>
      </c>
      <c r="J49" s="6">
        <v>2</v>
      </c>
      <c r="K49" s="130">
        <f t="shared" si="0"/>
        <v>8</v>
      </c>
      <c r="L49" s="6">
        <f>SUMIF(Feb!$E$3:$E$98,A49,Feb!$H$3:$H$98)</f>
        <v>8</v>
      </c>
      <c r="M49" s="312">
        <f t="shared" si="1"/>
        <v>0</v>
      </c>
    </row>
    <row r="50" spans="1:13" x14ac:dyDescent="0.3">
      <c r="A50" s="40">
        <v>1974321992</v>
      </c>
      <c r="B50" s="6" t="s">
        <v>360</v>
      </c>
      <c r="C50" s="288">
        <v>43057.724050925928</v>
      </c>
      <c r="D50" s="288"/>
      <c r="E50" s="6"/>
      <c r="F50" s="6" t="s">
        <v>467</v>
      </c>
      <c r="G50" s="288">
        <v>43151</v>
      </c>
      <c r="H50" s="288">
        <v>43155</v>
      </c>
      <c r="I50" s="6" t="s">
        <v>1019</v>
      </c>
      <c r="J50" s="6">
        <v>2</v>
      </c>
      <c r="K50" s="130">
        <f t="shared" si="0"/>
        <v>4</v>
      </c>
      <c r="L50" s="6">
        <f>SUMIF(Feb!$E$3:$E$98,A50,Feb!$H$3:$H$98)</f>
        <v>4</v>
      </c>
      <c r="M50" s="312">
        <f t="shared" si="1"/>
        <v>0</v>
      </c>
    </row>
    <row r="51" spans="1:13" x14ac:dyDescent="0.3">
      <c r="A51" s="40">
        <v>1938230483</v>
      </c>
      <c r="B51" s="6" t="s">
        <v>360</v>
      </c>
      <c r="C51" s="288">
        <v>43118.792627314811</v>
      </c>
      <c r="D51" s="288"/>
      <c r="E51" s="6"/>
      <c r="F51" s="6" t="s">
        <v>467</v>
      </c>
      <c r="G51" s="288">
        <v>43151</v>
      </c>
      <c r="H51" s="288">
        <v>43152</v>
      </c>
      <c r="I51" s="6" t="s">
        <v>1047</v>
      </c>
      <c r="J51" s="6">
        <v>2</v>
      </c>
      <c r="K51" s="130">
        <f t="shared" si="0"/>
        <v>1</v>
      </c>
      <c r="L51" s="6">
        <f>SUMIF(Feb!$E$3:$E$98,A51,Feb!$H$3:$H$98)</f>
        <v>1</v>
      </c>
      <c r="M51" s="312">
        <f t="shared" si="1"/>
        <v>0</v>
      </c>
    </row>
    <row r="52" spans="1:13" x14ac:dyDescent="0.3">
      <c r="A52" s="40">
        <v>1939760011</v>
      </c>
      <c r="B52" s="6" t="s">
        <v>360</v>
      </c>
      <c r="C52" s="288">
        <v>43151.446087962962</v>
      </c>
      <c r="D52" s="288"/>
      <c r="E52" s="6"/>
      <c r="F52" s="6" t="s">
        <v>468</v>
      </c>
      <c r="G52" s="288">
        <v>43152</v>
      </c>
      <c r="H52" s="288">
        <v>43153</v>
      </c>
      <c r="I52" s="6" t="s">
        <v>1060</v>
      </c>
      <c r="J52" s="6">
        <v>2</v>
      </c>
      <c r="K52" s="130">
        <f t="shared" si="0"/>
        <v>1</v>
      </c>
      <c r="L52" s="6">
        <f>SUMIF(Feb!$E$3:$E$98,A52,Feb!$H$3:$H$98)</f>
        <v>1</v>
      </c>
      <c r="M52" s="312">
        <f t="shared" si="1"/>
        <v>0</v>
      </c>
    </row>
    <row r="53" spans="1:13" x14ac:dyDescent="0.3">
      <c r="A53" s="40">
        <v>1137178811</v>
      </c>
      <c r="B53" s="6" t="s">
        <v>360</v>
      </c>
      <c r="C53" s="288">
        <v>42984.193391203706</v>
      </c>
      <c r="D53" s="288">
        <v>43053.337453703702</v>
      </c>
      <c r="E53" s="287"/>
      <c r="F53" s="287" t="s">
        <v>467</v>
      </c>
      <c r="G53" s="288">
        <v>43153</v>
      </c>
      <c r="H53" s="288">
        <v>43154</v>
      </c>
      <c r="I53" s="6" t="s">
        <v>1005</v>
      </c>
      <c r="J53" s="6">
        <v>2</v>
      </c>
      <c r="K53" s="130">
        <f t="shared" si="0"/>
        <v>1</v>
      </c>
      <c r="L53" s="6">
        <f>SUMIF(Feb!$E$3:$E$98,A53,Feb!$H$3:$H$98)</f>
        <v>1</v>
      </c>
      <c r="M53" s="312">
        <f t="shared" si="1"/>
        <v>0</v>
      </c>
    </row>
    <row r="54" spans="1:13" x14ac:dyDescent="0.3">
      <c r="A54" s="40">
        <v>1269764186</v>
      </c>
      <c r="B54" s="6" t="s">
        <v>360</v>
      </c>
      <c r="C54" s="288">
        <v>43010.526400462964</v>
      </c>
      <c r="D54" s="288"/>
      <c r="E54" s="287"/>
      <c r="F54" s="287" t="s">
        <v>468</v>
      </c>
      <c r="G54" s="288">
        <v>43153</v>
      </c>
      <c r="H54" s="288">
        <v>43157</v>
      </c>
      <c r="I54" s="6" t="s">
        <v>1006</v>
      </c>
      <c r="J54" s="6">
        <v>2</v>
      </c>
      <c r="K54" s="130">
        <f t="shared" si="0"/>
        <v>4</v>
      </c>
      <c r="L54" s="6">
        <f>SUMIF(Feb!$E$3:$E$98,A54,Feb!$H$3:$H$98)</f>
        <v>8</v>
      </c>
      <c r="M54" s="312">
        <f t="shared" si="1"/>
        <v>-4</v>
      </c>
    </row>
    <row r="55" spans="1:13" x14ac:dyDescent="0.3">
      <c r="A55" s="40">
        <v>1269764186</v>
      </c>
      <c r="B55" s="6" t="s">
        <v>360</v>
      </c>
      <c r="C55" s="288">
        <v>43010.526400462964</v>
      </c>
      <c r="D55" s="288"/>
      <c r="E55" s="287"/>
      <c r="F55" s="287" t="s">
        <v>468</v>
      </c>
      <c r="G55" s="288">
        <v>43153</v>
      </c>
      <c r="H55" s="288">
        <v>43157</v>
      </c>
      <c r="I55" s="6" t="s">
        <v>1007</v>
      </c>
      <c r="J55" s="6">
        <v>2</v>
      </c>
      <c r="K55" s="130">
        <f t="shared" si="0"/>
        <v>4</v>
      </c>
      <c r="L55" s="6">
        <f>SUMIF(Feb!$E$3:$E$98,A55,Feb!$H$3:$H$98)</f>
        <v>8</v>
      </c>
      <c r="M55" s="312">
        <f t="shared" si="1"/>
        <v>-4</v>
      </c>
    </row>
    <row r="56" spans="1:13" x14ac:dyDescent="0.3">
      <c r="A56" s="40">
        <v>1119997089</v>
      </c>
      <c r="B56" s="6" t="s">
        <v>360</v>
      </c>
      <c r="C56" s="288">
        <v>43153.622476851851</v>
      </c>
      <c r="D56" s="288"/>
      <c r="E56" s="6"/>
      <c r="F56" s="6" t="s">
        <v>470</v>
      </c>
      <c r="G56" s="288">
        <v>43153</v>
      </c>
      <c r="H56" s="288">
        <v>43154</v>
      </c>
      <c r="I56" s="6" t="s">
        <v>1063</v>
      </c>
      <c r="J56" s="6">
        <v>2</v>
      </c>
      <c r="K56" s="130">
        <f t="shared" si="0"/>
        <v>1</v>
      </c>
      <c r="L56" s="6">
        <f>SUMIF(Feb!$E$3:$E$98,A56,Feb!$H$3:$H$98)</f>
        <v>1</v>
      </c>
      <c r="M56" s="312">
        <f t="shared" si="1"/>
        <v>0</v>
      </c>
    </row>
    <row r="57" spans="1:13" x14ac:dyDescent="0.3">
      <c r="A57" s="40">
        <v>1085827019</v>
      </c>
      <c r="B57" s="6" t="s">
        <v>360</v>
      </c>
      <c r="C57" s="288">
        <v>43080.615324074075</v>
      </c>
      <c r="D57" s="288"/>
      <c r="E57" s="6"/>
      <c r="F57" s="6" t="s">
        <v>467</v>
      </c>
      <c r="G57" s="288">
        <v>43154</v>
      </c>
      <c r="H57" s="288">
        <v>43156</v>
      </c>
      <c r="I57" s="6" t="s">
        <v>1032</v>
      </c>
      <c r="J57" s="6">
        <v>2</v>
      </c>
      <c r="K57" s="130">
        <f t="shared" si="0"/>
        <v>2</v>
      </c>
      <c r="L57" s="6">
        <f>SUMIF(Feb!$E$3:$E$98,A57,Feb!$H$3:$H$98)</f>
        <v>2</v>
      </c>
      <c r="M57" s="312">
        <f t="shared" si="1"/>
        <v>0</v>
      </c>
    </row>
    <row r="58" spans="1:13" x14ac:dyDescent="0.3">
      <c r="A58" s="40">
        <v>2011354582</v>
      </c>
      <c r="B58" s="6" t="s">
        <v>360</v>
      </c>
      <c r="C58" s="288">
        <v>43104.905347222222</v>
      </c>
      <c r="D58" s="288"/>
      <c r="E58" s="6"/>
      <c r="F58" s="6" t="s">
        <v>467</v>
      </c>
      <c r="G58" s="288">
        <v>43154</v>
      </c>
      <c r="H58" s="288">
        <v>43159</v>
      </c>
      <c r="I58" s="6" t="s">
        <v>1036</v>
      </c>
      <c r="J58" s="6">
        <v>2</v>
      </c>
      <c r="K58" s="130">
        <f t="shared" si="0"/>
        <v>5</v>
      </c>
      <c r="L58" s="6">
        <f>SUMIF(Feb!$E$3:$E$98,A58,Feb!$H$3:$H$98)</f>
        <v>5</v>
      </c>
      <c r="M58" s="312">
        <f t="shared" si="1"/>
        <v>0</v>
      </c>
    </row>
    <row r="59" spans="1:13" x14ac:dyDescent="0.3">
      <c r="A59" s="40">
        <v>1437992651</v>
      </c>
      <c r="B59" s="6" t="s">
        <v>360</v>
      </c>
      <c r="C59" s="288">
        <v>43115.17392361111</v>
      </c>
      <c r="D59" s="288">
        <v>43122.78943287037</v>
      </c>
      <c r="E59" s="6"/>
      <c r="F59" s="6" t="s">
        <v>470</v>
      </c>
      <c r="G59" s="288">
        <v>43154</v>
      </c>
      <c r="H59" s="288">
        <v>43158</v>
      </c>
      <c r="I59" s="6" t="s">
        <v>1044</v>
      </c>
      <c r="J59" s="6">
        <v>2</v>
      </c>
      <c r="K59" s="130">
        <f t="shared" si="0"/>
        <v>4</v>
      </c>
      <c r="L59" s="6">
        <f>SUMIF(Feb!$E$3:$E$98,A59,Feb!$H$3:$H$98)</f>
        <v>4</v>
      </c>
      <c r="M59" s="312">
        <f t="shared" si="1"/>
        <v>0</v>
      </c>
    </row>
    <row r="60" spans="1:13" x14ac:dyDescent="0.3">
      <c r="A60" s="40">
        <v>2046447992</v>
      </c>
      <c r="B60" s="6" t="s">
        <v>360</v>
      </c>
      <c r="C60" s="288">
        <v>43118.799363425926</v>
      </c>
      <c r="D60" s="288"/>
      <c r="E60" s="6"/>
      <c r="F60" s="6" t="s">
        <v>467</v>
      </c>
      <c r="G60" s="288">
        <v>43155</v>
      </c>
      <c r="H60" s="288">
        <v>43156</v>
      </c>
      <c r="I60" s="6" t="s">
        <v>1047</v>
      </c>
      <c r="J60" s="6">
        <v>2</v>
      </c>
      <c r="K60" s="130">
        <f t="shared" si="0"/>
        <v>1</v>
      </c>
      <c r="L60" s="6">
        <f>SUMIF(Feb!$E$3:$E$98,A60,Feb!$H$3:$H$98)</f>
        <v>1</v>
      </c>
      <c r="M60" s="312">
        <f t="shared" si="1"/>
        <v>0</v>
      </c>
    </row>
    <row r="61" spans="1:13" x14ac:dyDescent="0.3">
      <c r="A61" s="40">
        <v>1107881794</v>
      </c>
      <c r="B61" s="6" t="s">
        <v>360</v>
      </c>
      <c r="C61" s="288">
        <v>43107.923993055556</v>
      </c>
      <c r="D61" s="288">
        <v>43130.677349537036</v>
      </c>
      <c r="E61" s="6"/>
      <c r="F61" s="6" t="s">
        <v>467</v>
      </c>
      <c r="G61" s="288">
        <v>43156</v>
      </c>
      <c r="H61" s="288">
        <v>43159</v>
      </c>
      <c r="I61" s="6" t="s">
        <v>1038</v>
      </c>
      <c r="J61" s="6">
        <v>2</v>
      </c>
      <c r="K61" s="130">
        <f t="shared" si="0"/>
        <v>3</v>
      </c>
      <c r="L61" s="6">
        <f>SUMIF(Feb!$E$3:$E$98,A61,Feb!$H$3:$H$98)</f>
        <v>3</v>
      </c>
      <c r="M61" s="312">
        <f t="shared" si="1"/>
        <v>0</v>
      </c>
    </row>
    <row r="62" spans="1:13" x14ac:dyDescent="0.3">
      <c r="A62" s="40">
        <v>1527660413</v>
      </c>
      <c r="B62" s="6" t="s">
        <v>360</v>
      </c>
      <c r="C62" s="288">
        <v>43155.546180555553</v>
      </c>
      <c r="D62" s="288"/>
      <c r="E62" s="6"/>
      <c r="F62" s="6" t="s">
        <v>467</v>
      </c>
      <c r="G62" s="288">
        <v>43156</v>
      </c>
      <c r="H62" s="288">
        <v>43159</v>
      </c>
      <c r="I62" s="6" t="s">
        <v>1064</v>
      </c>
      <c r="J62" s="6">
        <v>2</v>
      </c>
      <c r="K62" s="130">
        <f t="shared" si="0"/>
        <v>3</v>
      </c>
      <c r="L62" s="6">
        <f>SUMIF(Feb!$E$3:$E$98,A62,Feb!$H$3:$H$98)</f>
        <v>3</v>
      </c>
      <c r="M62" s="312">
        <f t="shared" si="1"/>
        <v>0</v>
      </c>
    </row>
    <row r="63" spans="1:13" x14ac:dyDescent="0.3">
      <c r="A63" s="40">
        <v>1580664740</v>
      </c>
      <c r="B63" s="6" t="s">
        <v>360</v>
      </c>
      <c r="C63" s="288">
        <v>43147.763541666667</v>
      </c>
      <c r="D63" s="288">
        <v>43155.4997337963</v>
      </c>
      <c r="E63" s="6"/>
      <c r="F63" s="6" t="s">
        <v>468</v>
      </c>
      <c r="G63" s="288">
        <v>43157</v>
      </c>
      <c r="H63" s="288">
        <v>43160</v>
      </c>
      <c r="I63" s="6" t="s">
        <v>1059</v>
      </c>
      <c r="J63" s="6">
        <v>2</v>
      </c>
      <c r="K63" s="130">
        <f t="shared" si="0"/>
        <v>3</v>
      </c>
      <c r="L63" s="6">
        <f>SUMIF(Feb!$E$3:$E$98,A63,Feb!$H$3:$H$98)</f>
        <v>3</v>
      </c>
      <c r="M63" s="312">
        <f t="shared" si="1"/>
        <v>0</v>
      </c>
    </row>
    <row r="64" spans="1:13" x14ac:dyDescent="0.3">
      <c r="A64" s="40">
        <v>1976910586</v>
      </c>
      <c r="B64" s="6" t="s">
        <v>360</v>
      </c>
      <c r="C64" s="288">
        <v>43077.638078703705</v>
      </c>
      <c r="D64" s="288"/>
      <c r="E64" s="6"/>
      <c r="F64" s="6" t="s">
        <v>468</v>
      </c>
      <c r="G64" s="288">
        <v>43158</v>
      </c>
      <c r="H64" s="288">
        <v>43163</v>
      </c>
      <c r="I64" s="6" t="s">
        <v>1031</v>
      </c>
      <c r="J64" s="6">
        <v>2</v>
      </c>
      <c r="K64" s="130">
        <f t="shared" si="0"/>
        <v>5</v>
      </c>
      <c r="L64" s="6">
        <f>SUMIF(Feb!$E$3:$E$98,A64,Feb!$H$3:$H$98)</f>
        <v>5</v>
      </c>
      <c r="M64" s="312">
        <f t="shared" si="1"/>
        <v>0</v>
      </c>
    </row>
    <row r="65" spans="1:13" x14ac:dyDescent="0.3">
      <c r="A65" s="40">
        <v>1655428838</v>
      </c>
      <c r="B65" s="6" t="s">
        <v>360</v>
      </c>
      <c r="C65" s="288">
        <v>43138.72960648148</v>
      </c>
      <c r="D65" s="288"/>
      <c r="E65" s="6"/>
      <c r="F65" s="6" t="s">
        <v>467</v>
      </c>
      <c r="G65" s="288">
        <v>43158</v>
      </c>
      <c r="H65" s="288">
        <v>43164</v>
      </c>
      <c r="I65" s="6" t="s">
        <v>1055</v>
      </c>
      <c r="J65" s="6">
        <v>2</v>
      </c>
      <c r="K65" s="130">
        <f t="shared" si="0"/>
        <v>6</v>
      </c>
      <c r="L65" s="6">
        <f>SUMIF(Feb!$E$3:$E$98,A65,Feb!$H$3:$H$98)</f>
        <v>6</v>
      </c>
      <c r="M65" s="312">
        <f t="shared" si="1"/>
        <v>0</v>
      </c>
    </row>
    <row r="66" spans="1:13" x14ac:dyDescent="0.3">
      <c r="A66" s="40">
        <v>2007186059</v>
      </c>
      <c r="B66" s="6" t="s">
        <v>360</v>
      </c>
      <c r="C66" s="288">
        <v>43066.437835648147</v>
      </c>
      <c r="D66" s="288">
        <v>43137.519884259258</v>
      </c>
      <c r="E66" s="6"/>
      <c r="F66" s="6" t="s">
        <v>468</v>
      </c>
      <c r="G66" s="288">
        <v>43159</v>
      </c>
      <c r="H66" s="288">
        <v>43163</v>
      </c>
      <c r="I66" s="6" t="s">
        <v>1023</v>
      </c>
      <c r="J66" s="6">
        <v>2</v>
      </c>
      <c r="K66" s="130">
        <f t="shared" si="0"/>
        <v>4</v>
      </c>
      <c r="L66" s="6">
        <f>SUMIF(Feb!$E$3:$E$98,A66,Feb!$H$3:$H$98)</f>
        <v>4</v>
      </c>
      <c r="M66" s="312">
        <f t="shared" si="1"/>
        <v>0</v>
      </c>
    </row>
    <row r="67" spans="1:13" x14ac:dyDescent="0.3">
      <c r="A67" s="40">
        <v>1547314184</v>
      </c>
      <c r="B67" s="6" t="s">
        <v>360</v>
      </c>
      <c r="C67" s="288">
        <v>43146.645856481482</v>
      </c>
      <c r="D67" s="288"/>
      <c r="E67" s="6"/>
      <c r="F67" s="6" t="s">
        <v>467</v>
      </c>
      <c r="G67" s="288">
        <v>43159</v>
      </c>
      <c r="H67" s="288">
        <v>43163</v>
      </c>
      <c r="I67" s="6" t="s">
        <v>1058</v>
      </c>
      <c r="J67" s="6">
        <v>2</v>
      </c>
      <c r="K67" s="130">
        <f t="shared" si="0"/>
        <v>4</v>
      </c>
      <c r="L67" s="6">
        <f>SUMIF(Feb!$E$3:$E$98,A67,Feb!$H$3:$H$98)</f>
        <v>4</v>
      </c>
      <c r="M67" s="312">
        <f t="shared" si="1"/>
        <v>0</v>
      </c>
    </row>
    <row r="68" spans="1:13" x14ac:dyDescent="0.3">
      <c r="A68" s="40">
        <v>2092084247</v>
      </c>
      <c r="B68" s="6" t="s">
        <v>360</v>
      </c>
      <c r="C68" s="288">
        <v>43151.511076388888</v>
      </c>
      <c r="D68" s="288"/>
      <c r="E68" s="6"/>
      <c r="F68" s="6" t="s">
        <v>467</v>
      </c>
      <c r="G68" s="288">
        <v>43159</v>
      </c>
      <c r="H68" s="288">
        <v>43161</v>
      </c>
      <c r="I68" s="6" t="s">
        <v>1061</v>
      </c>
      <c r="J68" s="6">
        <v>2</v>
      </c>
      <c r="K68" s="130">
        <f t="shared" si="0"/>
        <v>2</v>
      </c>
      <c r="L68" s="6">
        <f>SUMIF(Feb!$E$3:$E$98,A68,Feb!$H$3:$H$98)</f>
        <v>2</v>
      </c>
      <c r="M68" s="312">
        <f t="shared" si="1"/>
        <v>0</v>
      </c>
    </row>
    <row r="69" spans="1:13" x14ac:dyDescent="0.3">
      <c r="A69" s="40">
        <v>58997</v>
      </c>
      <c r="B69" s="6" t="s">
        <v>363</v>
      </c>
      <c r="C69" s="288">
        <v>43132.520937499998</v>
      </c>
      <c r="D69" s="288"/>
      <c r="E69" s="6"/>
      <c r="F69" s="6" t="s">
        <v>474</v>
      </c>
      <c r="G69" s="288">
        <v>43132</v>
      </c>
      <c r="H69" s="288">
        <v>43133</v>
      </c>
      <c r="I69" s="6" t="s">
        <v>1052</v>
      </c>
      <c r="J69" s="6">
        <v>2</v>
      </c>
      <c r="K69" s="130">
        <f t="shared" si="0"/>
        <v>1</v>
      </c>
      <c r="L69" s="6">
        <f>SUMIF(Feb!$E$3:$E$98,A69,Feb!$H$3:$H$98)</f>
        <v>1</v>
      </c>
      <c r="M69" s="312">
        <f t="shared" si="1"/>
        <v>0</v>
      </c>
    </row>
    <row r="70" spans="1:13" x14ac:dyDescent="0.3">
      <c r="A70" s="40">
        <v>59029</v>
      </c>
      <c r="B70" s="6" t="s">
        <v>363</v>
      </c>
      <c r="C70" s="288">
        <v>43132.53019675926</v>
      </c>
      <c r="D70" s="288"/>
      <c r="E70" s="6"/>
      <c r="F70" s="6" t="s">
        <v>474</v>
      </c>
      <c r="G70" s="288">
        <v>43132</v>
      </c>
      <c r="H70" s="288">
        <v>43133</v>
      </c>
      <c r="I70" s="6" t="s">
        <v>1053</v>
      </c>
      <c r="J70" s="6">
        <v>2</v>
      </c>
      <c r="K70" s="130">
        <f t="shared" ref="K70:K90" si="2">H70-G70</f>
        <v>1</v>
      </c>
      <c r="L70" s="6">
        <f>SUMIF(Feb!$E$3:$E$98,A70,Feb!$H$3:$H$98)</f>
        <v>1</v>
      </c>
      <c r="M70" s="312">
        <f t="shared" ref="M70:M90" si="3">+K70-L70</f>
        <v>0</v>
      </c>
    </row>
    <row r="71" spans="1:13" x14ac:dyDescent="0.3">
      <c r="A71" s="40">
        <v>4008</v>
      </c>
      <c r="B71" s="6" t="s">
        <v>363</v>
      </c>
      <c r="C71" s="288">
        <v>43105.885057870371</v>
      </c>
      <c r="D71" s="288"/>
      <c r="E71" s="6"/>
      <c r="F71" s="6" t="s">
        <v>474</v>
      </c>
      <c r="G71" s="288">
        <v>43133</v>
      </c>
      <c r="H71" s="288">
        <v>43138</v>
      </c>
      <c r="I71" s="6" t="s">
        <v>1037</v>
      </c>
      <c r="J71" s="6">
        <v>2</v>
      </c>
      <c r="K71" s="130">
        <f t="shared" si="2"/>
        <v>5</v>
      </c>
      <c r="L71" s="6">
        <f>SUMIF(Feb!$E$3:$E$98,A71,Feb!$H$3:$H$98)</f>
        <v>5</v>
      </c>
      <c r="M71" s="312">
        <f t="shared" si="3"/>
        <v>0</v>
      </c>
    </row>
    <row r="72" spans="1:13" x14ac:dyDescent="0.3">
      <c r="A72" s="40">
        <v>81870</v>
      </c>
      <c r="B72" s="6" t="s">
        <v>363</v>
      </c>
      <c r="C72" s="288">
        <v>43140.611550925925</v>
      </c>
      <c r="D72" s="288"/>
      <c r="E72" s="6"/>
      <c r="F72" s="6" t="s">
        <v>473</v>
      </c>
      <c r="G72" s="288">
        <v>43144</v>
      </c>
      <c r="H72" s="288">
        <v>43145</v>
      </c>
      <c r="I72" s="6" t="s">
        <v>1056</v>
      </c>
      <c r="J72" s="6">
        <v>2</v>
      </c>
      <c r="K72" s="130">
        <f t="shared" si="2"/>
        <v>1</v>
      </c>
      <c r="L72" s="6">
        <f>SUMIF(Feb!$E$3:$E$98,A72,Feb!$H$3:$H$98)</f>
        <v>1</v>
      </c>
      <c r="M72" s="312">
        <f t="shared" si="3"/>
        <v>0</v>
      </c>
    </row>
    <row r="73" spans="1:13" x14ac:dyDescent="0.3">
      <c r="A73" s="40">
        <v>14669</v>
      </c>
      <c r="B73" s="6" t="s">
        <v>363</v>
      </c>
      <c r="C73" s="288">
        <v>43152.69021990741</v>
      </c>
      <c r="D73" s="288"/>
      <c r="E73" s="6"/>
      <c r="F73" s="6" t="s">
        <v>474</v>
      </c>
      <c r="G73" s="288">
        <v>43153</v>
      </c>
      <c r="H73" s="288">
        <v>43154</v>
      </c>
      <c r="I73" s="6" t="s">
        <v>1062</v>
      </c>
      <c r="J73" s="6">
        <v>2</v>
      </c>
      <c r="K73" s="130">
        <f t="shared" si="2"/>
        <v>1</v>
      </c>
      <c r="L73" s="6">
        <f>SUMIF(Feb!$E$3:$E$98,A73,Feb!$H$3:$H$98)</f>
        <v>1</v>
      </c>
      <c r="M73" s="312">
        <f t="shared" si="3"/>
        <v>0</v>
      </c>
    </row>
    <row r="74" spans="1:13" x14ac:dyDescent="0.3">
      <c r="A74" s="40">
        <v>14841</v>
      </c>
      <c r="B74" s="6" t="s">
        <v>363</v>
      </c>
      <c r="C74" s="288">
        <v>43152.729201388887</v>
      </c>
      <c r="D74" s="288"/>
      <c r="E74" s="6"/>
      <c r="F74" s="6" t="s">
        <v>474</v>
      </c>
      <c r="G74" s="288">
        <v>43154</v>
      </c>
      <c r="H74" s="288">
        <v>43155</v>
      </c>
      <c r="I74" s="6" t="s">
        <v>1062</v>
      </c>
      <c r="J74" s="6">
        <v>2</v>
      </c>
      <c r="K74" s="130">
        <f t="shared" si="2"/>
        <v>1</v>
      </c>
      <c r="L74" s="6">
        <f>SUMIF(Feb!$E$3:$E$98,A74,Feb!$H$3:$H$98)</f>
        <v>1</v>
      </c>
      <c r="M74" s="312">
        <f t="shared" si="3"/>
        <v>0</v>
      </c>
    </row>
    <row r="75" spans="1:13" x14ac:dyDescent="0.3">
      <c r="A75" s="40">
        <v>14850</v>
      </c>
      <c r="B75" s="6" t="s">
        <v>363</v>
      </c>
      <c r="C75" s="288">
        <v>43152.731226851851</v>
      </c>
      <c r="D75" s="288"/>
      <c r="E75" s="6"/>
      <c r="F75" s="6" t="s">
        <v>474</v>
      </c>
      <c r="G75" s="288">
        <v>43156</v>
      </c>
      <c r="H75" s="288">
        <v>43157</v>
      </c>
      <c r="I75" s="6" t="s">
        <v>1062</v>
      </c>
      <c r="J75" s="6">
        <v>2</v>
      </c>
      <c r="K75" s="130">
        <f t="shared" si="2"/>
        <v>1</v>
      </c>
      <c r="L75" s="6">
        <f>SUMIF(Feb!$E$3:$E$98,A75,Feb!$H$3:$H$98)</f>
        <v>1</v>
      </c>
      <c r="M75" s="312">
        <f t="shared" si="3"/>
        <v>0</v>
      </c>
    </row>
    <row r="76" spans="1:13" x14ac:dyDescent="0.3">
      <c r="A76" s="40">
        <v>23670</v>
      </c>
      <c r="B76" s="6" t="s">
        <v>363</v>
      </c>
      <c r="C76" s="288">
        <v>43156.381655092591</v>
      </c>
      <c r="D76" s="288"/>
      <c r="E76" s="6"/>
      <c r="F76" s="6" t="s">
        <v>474</v>
      </c>
      <c r="G76" s="288">
        <v>43156</v>
      </c>
      <c r="H76" s="288">
        <v>43157</v>
      </c>
      <c r="I76" s="6" t="s">
        <v>1066</v>
      </c>
      <c r="J76" s="6">
        <v>2</v>
      </c>
      <c r="K76" s="130">
        <f t="shared" si="2"/>
        <v>1</v>
      </c>
      <c r="L76" s="6">
        <f>SUMIF(Feb!$E$3:$E$98,A76,Feb!$H$3:$H$98)</f>
        <v>1</v>
      </c>
      <c r="M76" s="312">
        <f t="shared" si="3"/>
        <v>0</v>
      </c>
    </row>
    <row r="77" spans="1:13" x14ac:dyDescent="0.3">
      <c r="A77" s="40">
        <v>27039</v>
      </c>
      <c r="B77" s="6" t="s">
        <v>363</v>
      </c>
      <c r="C77" s="288">
        <v>43157.500127314815</v>
      </c>
      <c r="D77" s="288"/>
      <c r="E77" s="6"/>
      <c r="F77" s="6" t="s">
        <v>474</v>
      </c>
      <c r="G77" s="288">
        <v>43157</v>
      </c>
      <c r="H77" s="288">
        <v>43159</v>
      </c>
      <c r="I77" s="6" t="s">
        <v>1067</v>
      </c>
      <c r="J77" s="6">
        <v>2</v>
      </c>
      <c r="K77" s="130">
        <f t="shared" si="2"/>
        <v>2</v>
      </c>
      <c r="L77" s="6">
        <f>SUMIF(Feb!$E$3:$E$98,A77,Feb!$H$3:$H$98)</f>
        <v>2</v>
      </c>
      <c r="M77" s="312">
        <f t="shared" si="3"/>
        <v>0</v>
      </c>
    </row>
    <row r="78" spans="1:13" x14ac:dyDescent="0.3">
      <c r="A78" s="40">
        <v>27051</v>
      </c>
      <c r="B78" s="6" t="s">
        <v>363</v>
      </c>
      <c r="C78" s="288">
        <v>43157.503460648149</v>
      </c>
      <c r="D78" s="288"/>
      <c r="E78" s="6"/>
      <c r="F78" s="6" t="s">
        <v>473</v>
      </c>
      <c r="G78" s="288">
        <v>43157</v>
      </c>
      <c r="H78" s="288">
        <v>43159</v>
      </c>
      <c r="I78" s="6" t="s">
        <v>1068</v>
      </c>
      <c r="J78" s="6">
        <v>2</v>
      </c>
      <c r="K78" s="130">
        <f t="shared" si="2"/>
        <v>2</v>
      </c>
      <c r="L78" s="6">
        <f>SUMIF(Feb!$E$3:$E$98,A78,Feb!$H$3:$H$98)</f>
        <v>2</v>
      </c>
      <c r="M78" s="312">
        <f t="shared" si="3"/>
        <v>0</v>
      </c>
    </row>
    <row r="79" spans="1:13" x14ac:dyDescent="0.3">
      <c r="A79" s="40">
        <v>22999</v>
      </c>
      <c r="B79" s="6" t="s">
        <v>363</v>
      </c>
      <c r="C79" s="288">
        <v>43155.888194444444</v>
      </c>
      <c r="D79" s="288"/>
      <c r="E79" s="6"/>
      <c r="F79" s="6" t="s">
        <v>474</v>
      </c>
      <c r="G79" s="288">
        <v>43158</v>
      </c>
      <c r="H79" s="288">
        <v>43162</v>
      </c>
      <c r="I79" s="6" t="s">
        <v>1065</v>
      </c>
      <c r="J79" s="6">
        <v>2</v>
      </c>
      <c r="K79" s="130">
        <f t="shared" si="2"/>
        <v>4</v>
      </c>
      <c r="L79" s="6">
        <f>SUMIF(Feb!$E$3:$E$98,A79,Feb!$H$3:$H$98)</f>
        <v>0</v>
      </c>
      <c r="M79" s="312">
        <f t="shared" si="3"/>
        <v>4</v>
      </c>
    </row>
    <row r="80" spans="1:13" x14ac:dyDescent="0.3">
      <c r="A80" s="40">
        <v>33828</v>
      </c>
      <c r="B80" s="6" t="s">
        <v>363</v>
      </c>
      <c r="C80" s="288">
        <v>43159.701539351852</v>
      </c>
      <c r="D80" s="288"/>
      <c r="E80" s="6"/>
      <c r="F80" s="6" t="s">
        <v>474</v>
      </c>
      <c r="G80" s="288">
        <v>43159</v>
      </c>
      <c r="H80" s="288">
        <v>43160</v>
      </c>
      <c r="I80" s="6" t="s">
        <v>1069</v>
      </c>
      <c r="J80" s="6">
        <v>2</v>
      </c>
      <c r="K80" s="130">
        <f t="shared" si="2"/>
        <v>1</v>
      </c>
      <c r="L80" s="6">
        <f>SUMIF(Feb!$E$3:$E$98,A80,Feb!$H$3:$H$98)</f>
        <v>1</v>
      </c>
      <c r="M80" s="312">
        <f t="shared" si="3"/>
        <v>0</v>
      </c>
    </row>
    <row r="81" spans="1:13" x14ac:dyDescent="0.3">
      <c r="A81" s="40">
        <v>72804</v>
      </c>
      <c r="B81" s="6" t="s">
        <v>362</v>
      </c>
      <c r="C81" s="288">
        <v>43052.991759259261</v>
      </c>
      <c r="D81" s="288"/>
      <c r="E81" s="6"/>
      <c r="F81" s="6" t="s">
        <v>469</v>
      </c>
      <c r="G81" s="288">
        <v>43134</v>
      </c>
      <c r="H81" s="288">
        <v>43138</v>
      </c>
      <c r="I81" s="6" t="s">
        <v>1018</v>
      </c>
      <c r="J81" s="6">
        <v>2</v>
      </c>
      <c r="K81" s="130">
        <f t="shared" si="2"/>
        <v>4</v>
      </c>
      <c r="L81" s="6">
        <f>SUMIF(Feb!$E$3:$E$98,A81,Feb!$H$3:$H$98)</f>
        <v>4</v>
      </c>
      <c r="M81" s="312">
        <f t="shared" si="3"/>
        <v>0</v>
      </c>
    </row>
    <row r="82" spans="1:13" x14ac:dyDescent="0.3">
      <c r="A82" s="40">
        <v>99358</v>
      </c>
      <c r="B82" s="6" t="s">
        <v>362</v>
      </c>
      <c r="C82" s="288">
        <v>43004.581967592596</v>
      </c>
      <c r="D82" s="288"/>
      <c r="E82" s="287"/>
      <c r="F82" s="287" t="s">
        <v>469</v>
      </c>
      <c r="G82" s="288">
        <v>43141</v>
      </c>
      <c r="H82" s="288">
        <v>43142</v>
      </c>
      <c r="I82" s="6" t="s">
        <v>991</v>
      </c>
      <c r="J82" s="6">
        <v>2</v>
      </c>
      <c r="K82" s="130">
        <f t="shared" si="2"/>
        <v>1</v>
      </c>
      <c r="L82" s="6">
        <f>SUMIF(Feb!$E$3:$E$98,A82,Feb!$H$3:$H$98)</f>
        <v>1</v>
      </c>
      <c r="M82" s="312">
        <f t="shared" si="3"/>
        <v>0</v>
      </c>
    </row>
    <row r="83" spans="1:13" x14ac:dyDescent="0.3">
      <c r="A83" s="40">
        <v>969676128</v>
      </c>
      <c r="B83" s="6" t="s">
        <v>361</v>
      </c>
      <c r="C83" s="288">
        <v>43116.895138888889</v>
      </c>
      <c r="D83" s="288"/>
      <c r="E83" s="6"/>
      <c r="F83" s="6" t="s">
        <v>471</v>
      </c>
      <c r="G83" s="288">
        <v>43139</v>
      </c>
      <c r="H83" s="288">
        <v>43140</v>
      </c>
      <c r="I83" s="6" t="s">
        <v>1046</v>
      </c>
      <c r="J83" s="6">
        <v>2</v>
      </c>
      <c r="K83" s="130">
        <f t="shared" si="2"/>
        <v>1</v>
      </c>
      <c r="L83" s="6">
        <f>SUMIF(Feb!$E$3:$E$98,A83,Feb!$H$3:$H$98)</f>
        <v>1</v>
      </c>
      <c r="M83" s="312">
        <f t="shared" si="3"/>
        <v>0</v>
      </c>
    </row>
    <row r="84" spans="1:13" x14ac:dyDescent="0.3">
      <c r="A84" s="40">
        <v>901629074</v>
      </c>
      <c r="B84" s="6" t="s">
        <v>361</v>
      </c>
      <c r="C84" s="288">
        <v>42977.840277777781</v>
      </c>
      <c r="D84" s="288"/>
      <c r="E84" s="287"/>
      <c r="F84" s="287" t="s">
        <v>471</v>
      </c>
      <c r="G84" s="288">
        <v>43141</v>
      </c>
      <c r="H84" s="288">
        <v>43142</v>
      </c>
      <c r="I84" s="6" t="s">
        <v>1002</v>
      </c>
      <c r="J84" s="6">
        <v>2</v>
      </c>
      <c r="K84" s="130">
        <f t="shared" si="2"/>
        <v>1</v>
      </c>
      <c r="L84" s="6">
        <f>SUMIF(Feb!$E$3:$E$98,A84,Feb!$H$3:$H$98)</f>
        <v>1</v>
      </c>
      <c r="M84" s="312">
        <f t="shared" si="3"/>
        <v>0</v>
      </c>
    </row>
    <row r="85" spans="1:13" x14ac:dyDescent="0.3">
      <c r="A85" s="40">
        <v>901042866</v>
      </c>
      <c r="B85" s="6" t="s">
        <v>361</v>
      </c>
      <c r="C85" s="288">
        <v>42976.82708333333</v>
      </c>
      <c r="D85" s="288"/>
      <c r="E85" s="287"/>
      <c r="F85" s="287" t="s">
        <v>472</v>
      </c>
      <c r="G85" s="288">
        <v>43142</v>
      </c>
      <c r="H85" s="288">
        <v>43145</v>
      </c>
      <c r="I85" s="6" t="s">
        <v>1002</v>
      </c>
      <c r="J85" s="6">
        <v>2</v>
      </c>
      <c r="K85" s="130">
        <f t="shared" si="2"/>
        <v>3</v>
      </c>
      <c r="L85" s="6">
        <f>SUMIF(Feb!$E$3:$E$98,A85,Feb!$H$3:$H$98)</f>
        <v>3</v>
      </c>
      <c r="M85" s="312">
        <f t="shared" si="3"/>
        <v>0</v>
      </c>
    </row>
    <row r="86" spans="1:13" x14ac:dyDescent="0.3">
      <c r="A86" s="40">
        <v>948142143</v>
      </c>
      <c r="B86" s="6" t="s">
        <v>361</v>
      </c>
      <c r="C86" s="288">
        <v>43069.695833333331</v>
      </c>
      <c r="D86" s="288"/>
      <c r="E86" s="6"/>
      <c r="F86" s="6" t="s">
        <v>471</v>
      </c>
      <c r="G86" s="288">
        <v>43142</v>
      </c>
      <c r="H86" s="288">
        <v>43143</v>
      </c>
      <c r="I86" s="6" t="s">
        <v>1028</v>
      </c>
      <c r="J86" s="6">
        <v>2</v>
      </c>
      <c r="K86" s="130">
        <f t="shared" si="2"/>
        <v>1</v>
      </c>
      <c r="L86" s="6">
        <f>SUMIF(Feb!$E$3:$E$98,A86,Feb!$H$3:$H$98)</f>
        <v>1</v>
      </c>
      <c r="M86" s="312">
        <f t="shared" si="3"/>
        <v>0</v>
      </c>
    </row>
    <row r="87" spans="1:13" x14ac:dyDescent="0.3">
      <c r="A87" s="40">
        <v>937036149</v>
      </c>
      <c r="B87" s="6" t="s">
        <v>361</v>
      </c>
      <c r="C87" s="288">
        <v>43046.988194444442</v>
      </c>
      <c r="D87" s="288"/>
      <c r="E87" s="6"/>
      <c r="F87" s="6" t="s">
        <v>471</v>
      </c>
      <c r="G87" s="288">
        <v>43143</v>
      </c>
      <c r="H87" s="288">
        <v>43147</v>
      </c>
      <c r="I87" s="6" t="s">
        <v>1016</v>
      </c>
      <c r="J87" s="6">
        <v>2</v>
      </c>
      <c r="K87" s="130">
        <f t="shared" si="2"/>
        <v>4</v>
      </c>
      <c r="L87" s="6">
        <f>SUMIF(Feb!$E$3:$E$98,A87,Feb!$H$3:$H$98)</f>
        <v>4</v>
      </c>
      <c r="M87" s="312">
        <f t="shared" si="3"/>
        <v>0</v>
      </c>
    </row>
    <row r="88" spans="1:13" x14ac:dyDescent="0.3">
      <c r="A88" s="40">
        <v>956395741</v>
      </c>
      <c r="B88" s="6" t="s">
        <v>361</v>
      </c>
      <c r="C88" s="288">
        <v>43088.775694444441</v>
      </c>
      <c r="D88" s="288"/>
      <c r="E88" s="6"/>
      <c r="F88" s="6" t="s">
        <v>471</v>
      </c>
      <c r="G88" s="288">
        <v>43147</v>
      </c>
      <c r="H88" s="288">
        <v>43148</v>
      </c>
      <c r="I88" s="6" t="s">
        <v>1033</v>
      </c>
      <c r="J88" s="6">
        <v>2</v>
      </c>
      <c r="K88" s="130">
        <f t="shared" si="2"/>
        <v>1</v>
      </c>
      <c r="L88" s="6">
        <f>SUMIF(Feb!$E$3:$E$98,A88,Feb!$H$3:$H$98)</f>
        <v>1</v>
      </c>
      <c r="M88" s="312">
        <f t="shared" si="3"/>
        <v>0</v>
      </c>
    </row>
    <row r="89" spans="1:13" x14ac:dyDescent="0.3">
      <c r="A89" s="40">
        <v>956395742</v>
      </c>
      <c r="B89" s="6" t="s">
        <v>361</v>
      </c>
      <c r="C89" s="288">
        <v>43088.775694444441</v>
      </c>
      <c r="D89" s="288"/>
      <c r="E89" s="6"/>
      <c r="F89" s="6" t="s">
        <v>471</v>
      </c>
      <c r="G89" s="288">
        <v>43147</v>
      </c>
      <c r="H89" s="288">
        <v>43148</v>
      </c>
      <c r="I89" s="6" t="s">
        <v>1034</v>
      </c>
      <c r="J89" s="6">
        <v>2</v>
      </c>
      <c r="K89" s="130">
        <f t="shared" si="2"/>
        <v>1</v>
      </c>
      <c r="L89" s="6">
        <f>SUMIF(Feb!$E$3:$E$98,A89,Feb!$H$3:$H$98)</f>
        <v>1</v>
      </c>
      <c r="M89" s="312">
        <f t="shared" si="3"/>
        <v>0</v>
      </c>
    </row>
    <row r="90" spans="1:13" x14ac:dyDescent="0.3">
      <c r="A90" s="314">
        <v>943936312</v>
      </c>
      <c r="B90" s="315" t="s">
        <v>361</v>
      </c>
      <c r="C90" s="316">
        <v>43060.979861111111</v>
      </c>
      <c r="D90" s="316"/>
      <c r="E90" s="315"/>
      <c r="F90" s="315" t="s">
        <v>471</v>
      </c>
      <c r="G90" s="316">
        <v>43148</v>
      </c>
      <c r="H90" s="316">
        <v>43151</v>
      </c>
      <c r="I90" s="315" t="s">
        <v>1021</v>
      </c>
      <c r="J90" s="6">
        <v>2</v>
      </c>
      <c r="K90" s="130">
        <f t="shared" si="2"/>
        <v>3</v>
      </c>
      <c r="L90" s="6">
        <f>SUMIF(Feb!$E$3:$E$98,A90,Feb!$H$3:$H$98)</f>
        <v>3</v>
      </c>
      <c r="M90" s="312">
        <f t="shared" si="3"/>
        <v>0</v>
      </c>
    </row>
    <row r="91" spans="1:13" x14ac:dyDescent="0.3">
      <c r="A91" s="40">
        <v>968502305</v>
      </c>
      <c r="B91" s="6" t="s">
        <v>361</v>
      </c>
      <c r="C91" s="288">
        <v>43114.923611111109</v>
      </c>
      <c r="D91" s="288"/>
      <c r="E91" s="6"/>
      <c r="F91" s="6" t="s">
        <v>471</v>
      </c>
      <c r="G91" s="288">
        <v>43155</v>
      </c>
      <c r="H91" s="288">
        <v>43158</v>
      </c>
      <c r="I91" s="6" t="s">
        <v>1043</v>
      </c>
      <c r="J91" s="6">
        <v>2</v>
      </c>
      <c r="K91" s="130">
        <f t="shared" ref="K91:K96" si="4">H91-G91</f>
        <v>3</v>
      </c>
      <c r="L91" s="6">
        <f>SUMIF(Feb!$E$3:$E$98,A91,Feb!$H$3:$H$98)</f>
        <v>3</v>
      </c>
      <c r="M91" s="312">
        <f t="shared" ref="M91:M96" si="5">+K91-L91</f>
        <v>0</v>
      </c>
    </row>
    <row r="92" spans="1:13" x14ac:dyDescent="0.3">
      <c r="A92" s="6"/>
      <c r="B92" s="6"/>
      <c r="C92" s="288"/>
      <c r="D92" s="288"/>
      <c r="E92" s="6"/>
      <c r="F92" s="6"/>
      <c r="G92" s="288"/>
      <c r="H92" s="288"/>
      <c r="I92" s="6"/>
      <c r="J92" s="6"/>
      <c r="K92" s="130">
        <f t="shared" si="4"/>
        <v>0</v>
      </c>
      <c r="L92" s="6">
        <f>SUMIF(Feb!$E$3:$E$98,A92,Feb!$H$3:$H$98)</f>
        <v>0</v>
      </c>
      <c r="M92" s="312">
        <f t="shared" si="5"/>
        <v>0</v>
      </c>
    </row>
    <row r="93" spans="1:13" x14ac:dyDescent="0.3">
      <c r="A93" s="6"/>
      <c r="B93" s="6"/>
      <c r="C93" s="288"/>
      <c r="D93" s="288"/>
      <c r="E93" s="6"/>
      <c r="F93" s="6"/>
      <c r="G93" s="288"/>
      <c r="H93" s="288"/>
      <c r="I93" s="6"/>
      <c r="J93" s="6"/>
      <c r="K93" s="130">
        <f t="shared" si="4"/>
        <v>0</v>
      </c>
      <c r="L93" s="6">
        <f>SUMIF(Feb!$E$3:$E$98,A93,Feb!$H$3:$H$98)</f>
        <v>0</v>
      </c>
      <c r="M93" s="312">
        <f t="shared" si="5"/>
        <v>0</v>
      </c>
    </row>
    <row r="94" spans="1:13" x14ac:dyDescent="0.3">
      <c r="A94" s="6"/>
      <c r="B94" s="6"/>
      <c r="C94" s="288"/>
      <c r="D94" s="288"/>
      <c r="E94" s="6"/>
      <c r="F94" s="6"/>
      <c r="G94" s="288"/>
      <c r="H94" s="288"/>
      <c r="I94" s="6"/>
      <c r="J94" s="6"/>
      <c r="K94" s="130">
        <f t="shared" si="4"/>
        <v>0</v>
      </c>
      <c r="L94" s="6">
        <f>SUMIF(Feb!$E$3:$E$98,A94,Feb!$H$3:$H$98)</f>
        <v>0</v>
      </c>
      <c r="M94" s="312">
        <f t="shared" si="5"/>
        <v>0</v>
      </c>
    </row>
    <row r="95" spans="1:13" x14ac:dyDescent="0.3">
      <c r="A95" s="6"/>
      <c r="B95" s="6"/>
      <c r="C95" s="288"/>
      <c r="D95" s="288"/>
      <c r="E95" s="6"/>
      <c r="F95" s="6"/>
      <c r="G95" s="288"/>
      <c r="H95" s="288"/>
      <c r="I95" s="6"/>
      <c r="J95" s="6"/>
      <c r="K95" s="130">
        <f t="shared" si="4"/>
        <v>0</v>
      </c>
      <c r="L95" s="6">
        <f>SUMIF(Feb!$E$3:$E$98,A95,Feb!$H$3:$H$98)</f>
        <v>0</v>
      </c>
      <c r="M95" s="312">
        <f t="shared" si="5"/>
        <v>0</v>
      </c>
    </row>
    <row r="96" spans="1:13" x14ac:dyDescent="0.3">
      <c r="A96" s="6"/>
      <c r="B96" s="6"/>
      <c r="C96" s="288"/>
      <c r="D96" s="288"/>
      <c r="E96" s="6"/>
      <c r="F96" s="6"/>
      <c r="G96" s="288"/>
      <c r="H96" s="288"/>
      <c r="I96" s="6"/>
      <c r="J96" s="6"/>
      <c r="K96" s="130">
        <f t="shared" si="4"/>
        <v>0</v>
      </c>
      <c r="L96" s="6">
        <f>SUMIF(Feb!$E$3:$E$98,A96,Feb!$H$3:$H$98)</f>
        <v>0</v>
      </c>
      <c r="M96" s="312">
        <f t="shared" si="5"/>
        <v>0</v>
      </c>
    </row>
    <row r="97" spans="11:11" ht="15" x14ac:dyDescent="0.25">
      <c r="K97" s="130">
        <f>SUM(K5:K96)</f>
        <v>261</v>
      </c>
    </row>
  </sheetData>
  <sortState ref="A5:J91">
    <sortCondition ref="B5:B91"/>
    <sortCondition ref="G5:G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8"/>
  <sheetViews>
    <sheetView workbookViewId="0">
      <selection activeCell="B27" sqref="B27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58997</v>
      </c>
      <c r="B2" s="235" t="s">
        <v>619</v>
      </c>
      <c r="C2" s="236" t="s">
        <v>330</v>
      </c>
      <c r="D2" s="236" t="s">
        <v>139</v>
      </c>
      <c r="E2" s="236" t="s">
        <v>140</v>
      </c>
      <c r="F2" s="236" t="s">
        <v>144</v>
      </c>
      <c r="G2" s="236" t="s">
        <v>524</v>
      </c>
      <c r="H2" s="236" t="s">
        <v>142</v>
      </c>
      <c r="I2" s="237"/>
      <c r="J2" s="237">
        <v>44.75</v>
      </c>
      <c r="K2" s="236" t="s">
        <v>620</v>
      </c>
      <c r="L2" s="176">
        <f>I2+J2*EERR!$D$2</f>
        <v>26706.799999999999</v>
      </c>
      <c r="M2" s="112">
        <f>L2/EERR!$D$2</f>
        <v>44.75</v>
      </c>
      <c r="N2" s="112">
        <f>SUMIF(Feb!$B$3:$B$101,A2,Feb!$T$3:$T$101)</f>
        <v>116226.79999999999</v>
      </c>
    </row>
    <row r="3" spans="1:16" x14ac:dyDescent="0.3">
      <c r="A3" s="234">
        <v>62007</v>
      </c>
      <c r="B3" s="235" t="s">
        <v>621</v>
      </c>
      <c r="C3" s="236" t="s">
        <v>329</v>
      </c>
      <c r="D3" s="236" t="s">
        <v>139</v>
      </c>
      <c r="E3" s="236" t="s">
        <v>143</v>
      </c>
      <c r="F3" s="236" t="s">
        <v>145</v>
      </c>
      <c r="G3" s="236" t="s">
        <v>504</v>
      </c>
      <c r="H3" s="236" t="s">
        <v>143</v>
      </c>
      <c r="I3" s="237">
        <v>1063438</v>
      </c>
      <c r="J3" s="237"/>
      <c r="K3" s="236" t="s">
        <v>622</v>
      </c>
      <c r="L3" s="176">
        <f>I3+J3*EERR!$D$2</f>
        <v>1063438</v>
      </c>
      <c r="M3" s="112">
        <f>L3/EERR!$D$2</f>
        <v>1781.9001340482575</v>
      </c>
      <c r="N3" s="112">
        <f>SUMIF(Feb!$B$3:$B$101,A3,Feb!$T$3:$T$101)</f>
        <v>1330620</v>
      </c>
    </row>
    <row r="4" spans="1:16" x14ac:dyDescent="0.3">
      <c r="A4" s="234">
        <v>98930</v>
      </c>
      <c r="B4" s="235" t="s">
        <v>623</v>
      </c>
      <c r="C4" s="236" t="s">
        <v>330</v>
      </c>
      <c r="D4" s="236" t="s">
        <v>139</v>
      </c>
      <c r="E4" s="236" t="s">
        <v>140</v>
      </c>
      <c r="F4" s="236" t="s">
        <v>145</v>
      </c>
      <c r="G4" s="236" t="s">
        <v>514</v>
      </c>
      <c r="H4" s="236" t="s">
        <v>142</v>
      </c>
      <c r="I4" s="237"/>
      <c r="J4" s="237">
        <v>390</v>
      </c>
      <c r="K4" s="236" t="s">
        <v>624</v>
      </c>
      <c r="L4" s="176">
        <f>I4+J4*EERR!$D$2</f>
        <v>232751.99999999997</v>
      </c>
      <c r="M4" s="112">
        <f>L4/EERR!$D$2</f>
        <v>390</v>
      </c>
      <c r="N4" s="112">
        <f>SUMIF(Feb!$B$3:$B$101,A4,Feb!$T$3:$T$101)</f>
        <v>349128</v>
      </c>
    </row>
    <row r="5" spans="1:16" x14ac:dyDescent="0.3">
      <c r="A5" s="234">
        <v>72804</v>
      </c>
      <c r="B5" s="235" t="s">
        <v>625</v>
      </c>
      <c r="C5" s="236" t="s">
        <v>329</v>
      </c>
      <c r="D5" s="236" t="s">
        <v>139</v>
      </c>
      <c r="E5" s="236" t="s">
        <v>143</v>
      </c>
      <c r="F5" s="236" t="s">
        <v>145</v>
      </c>
      <c r="G5" s="236" t="s">
        <v>626</v>
      </c>
      <c r="H5" s="236" t="s">
        <v>143</v>
      </c>
      <c r="I5" s="237">
        <v>360570</v>
      </c>
      <c r="J5" s="237"/>
      <c r="K5" s="236" t="s">
        <v>627</v>
      </c>
      <c r="L5" s="176">
        <f>I5+J5*EERR!$D$2</f>
        <v>360570</v>
      </c>
      <c r="M5" s="112">
        <f>L5/EERR!$D$2</f>
        <v>604.17225201072392</v>
      </c>
      <c r="N5" s="112">
        <f>SUMIF(Feb!$B$3:$B$101,A5,Feb!$T$3:$T$101)</f>
        <v>502995</v>
      </c>
    </row>
    <row r="6" spans="1:16" x14ac:dyDescent="0.3">
      <c r="A6" s="234">
        <v>90718</v>
      </c>
      <c r="B6" s="235" t="s">
        <v>628</v>
      </c>
      <c r="C6" s="236" t="s">
        <v>329</v>
      </c>
      <c r="D6" s="236" t="s">
        <v>139</v>
      </c>
      <c r="E6" s="236" t="s">
        <v>143</v>
      </c>
      <c r="F6" s="236" t="s">
        <v>145</v>
      </c>
      <c r="G6" s="236" t="s">
        <v>629</v>
      </c>
      <c r="H6" s="236" t="s">
        <v>143</v>
      </c>
      <c r="I6" s="237">
        <v>139926</v>
      </c>
      <c r="J6" s="237"/>
      <c r="K6" s="236" t="s">
        <v>630</v>
      </c>
      <c r="L6" s="176">
        <f>I6+J6*EERR!$D$2</f>
        <v>139926</v>
      </c>
      <c r="M6" s="112">
        <f>L6/EERR!$D$2</f>
        <v>234.46045576407508</v>
      </c>
      <c r="N6" s="112">
        <f>SUMIF(Feb!$B$3:$B$101,A6,Feb!$T$3:$T$101)</f>
        <v>0</v>
      </c>
    </row>
    <row r="7" spans="1:16" x14ac:dyDescent="0.3">
      <c r="A7" s="234">
        <v>10926</v>
      </c>
      <c r="B7" s="235" t="s">
        <v>631</v>
      </c>
      <c r="C7" s="236" t="s">
        <v>330</v>
      </c>
      <c r="D7" s="236" t="s">
        <v>139</v>
      </c>
      <c r="E7" s="236" t="s">
        <v>140</v>
      </c>
      <c r="F7" s="236" t="s">
        <v>145</v>
      </c>
      <c r="G7" s="236" t="s">
        <v>632</v>
      </c>
      <c r="H7" s="236" t="s">
        <v>142</v>
      </c>
      <c r="I7" s="237"/>
      <c r="J7" s="237">
        <v>195</v>
      </c>
      <c r="K7" s="236" t="s">
        <v>633</v>
      </c>
      <c r="L7" s="176">
        <f>I7+J7*EERR!$D$2</f>
        <v>116375.99999999999</v>
      </c>
      <c r="M7" s="112">
        <v>-185.25</v>
      </c>
      <c r="N7" s="112">
        <v>104621435.0226</v>
      </c>
    </row>
    <row r="8" spans="1:16" x14ac:dyDescent="0.3">
      <c r="A8" s="234">
        <v>51595</v>
      </c>
      <c r="B8" s="235" t="s">
        <v>634</v>
      </c>
      <c r="C8" s="236" t="s">
        <v>330</v>
      </c>
      <c r="D8" s="236" t="s">
        <v>139</v>
      </c>
      <c r="E8" s="236" t="s">
        <v>140</v>
      </c>
      <c r="F8" s="236" t="s">
        <v>144</v>
      </c>
      <c r="G8" s="236" t="s">
        <v>635</v>
      </c>
      <c r="H8" s="236" t="s">
        <v>142</v>
      </c>
      <c r="I8" s="237"/>
      <c r="J8" s="237">
        <v>185.25</v>
      </c>
      <c r="K8" s="236" t="s">
        <v>636</v>
      </c>
      <c r="L8" s="176">
        <f>I8+J8*EERR!$D$2</f>
        <v>110557.2</v>
      </c>
      <c r="M8" s="112">
        <f>L8/EERR!$D$2</f>
        <v>185.25</v>
      </c>
      <c r="N8" s="112">
        <f>SUMIF(Feb!$B$3:$B$101,A8,Feb!$T$3:$T$101)</f>
        <v>0</v>
      </c>
    </row>
    <row r="9" spans="1:16" x14ac:dyDescent="0.3">
      <c r="A9" s="234">
        <v>21190</v>
      </c>
      <c r="B9" s="235" t="s">
        <v>637</v>
      </c>
      <c r="C9" s="236" t="s">
        <v>330</v>
      </c>
      <c r="D9" s="236" t="s">
        <v>139</v>
      </c>
      <c r="E9" s="236" t="s">
        <v>140</v>
      </c>
      <c r="F9" s="236" t="s">
        <v>145</v>
      </c>
      <c r="G9" s="236" t="s">
        <v>638</v>
      </c>
      <c r="H9" s="236" t="s">
        <v>142</v>
      </c>
      <c r="I9" s="237"/>
      <c r="J9" s="237">
        <v>195</v>
      </c>
      <c r="K9" s="236" t="s">
        <v>639</v>
      </c>
      <c r="L9" s="176">
        <f>I9+J9*EERR!$D$2</f>
        <v>116375.99999999999</v>
      </c>
      <c r="M9" s="112">
        <f>L9/EERR!$D$2</f>
        <v>195</v>
      </c>
      <c r="N9" s="112">
        <f>SUMIF(Feb!$B$3:$B$101,A9,Feb!$T$3:$T$101)</f>
        <v>0</v>
      </c>
    </row>
    <row r="10" spans="1:16" x14ac:dyDescent="0.3">
      <c r="A10" s="234">
        <v>92052</v>
      </c>
      <c r="B10" s="235" t="s">
        <v>640</v>
      </c>
      <c r="C10" s="236" t="s">
        <v>330</v>
      </c>
      <c r="D10" s="236" t="s">
        <v>139</v>
      </c>
      <c r="E10" s="236" t="s">
        <v>140</v>
      </c>
      <c r="F10" s="236" t="s">
        <v>145</v>
      </c>
      <c r="G10" s="236" t="s">
        <v>641</v>
      </c>
      <c r="H10" s="236" t="s">
        <v>142</v>
      </c>
      <c r="I10" s="237"/>
      <c r="J10" s="237">
        <v>195</v>
      </c>
      <c r="K10" s="236" t="s">
        <v>642</v>
      </c>
      <c r="L10" s="176">
        <f>I10+J10*EERR!$D$2</f>
        <v>116375.99999999999</v>
      </c>
      <c r="M10" s="112">
        <f>L10/EERR!$D$2</f>
        <v>195</v>
      </c>
      <c r="N10" s="112">
        <f>SUMIF(Feb!$B$3:$B$101,A10,Feb!$T$3:$T$101)</f>
        <v>0</v>
      </c>
    </row>
    <row r="11" spans="1:16" x14ac:dyDescent="0.3">
      <c r="A11" s="234">
        <v>68157</v>
      </c>
      <c r="B11" s="235" t="s">
        <v>643</v>
      </c>
      <c r="C11" s="236" t="s">
        <v>330</v>
      </c>
      <c r="D11" s="236" t="s">
        <v>139</v>
      </c>
      <c r="E11" s="236" t="s">
        <v>140</v>
      </c>
      <c r="F11" s="236" t="s">
        <v>141</v>
      </c>
      <c r="G11" s="236" t="s">
        <v>644</v>
      </c>
      <c r="H11" s="236" t="s">
        <v>142</v>
      </c>
      <c r="I11" s="237"/>
      <c r="J11" s="237">
        <v>205</v>
      </c>
      <c r="K11" s="236" t="s">
        <v>645</v>
      </c>
      <c r="L11" s="176">
        <f>I11+J11*EERR!$D$2</f>
        <v>122343.99999999999</v>
      </c>
      <c r="M11" s="112">
        <f>L11/EERR!$D$2</f>
        <v>205</v>
      </c>
      <c r="N11" s="112">
        <f>SUMIF(Feb!$B$3:$B$101,A11,Feb!$T$3:$T$101)</f>
        <v>0</v>
      </c>
    </row>
    <row r="12" spans="1:16" x14ac:dyDescent="0.3">
      <c r="A12" s="234">
        <v>38405</v>
      </c>
      <c r="B12" s="235" t="s">
        <v>646</v>
      </c>
      <c r="C12" s="236" t="s">
        <v>330</v>
      </c>
      <c r="D12" s="236" t="s">
        <v>139</v>
      </c>
      <c r="E12" s="236" t="s">
        <v>140</v>
      </c>
      <c r="F12" s="236" t="s">
        <v>141</v>
      </c>
      <c r="G12" s="236" t="s">
        <v>647</v>
      </c>
      <c r="H12" s="236" t="s">
        <v>142</v>
      </c>
      <c r="I12" s="237"/>
      <c r="J12" s="237">
        <v>194.75</v>
      </c>
      <c r="K12" s="236" t="s">
        <v>648</v>
      </c>
      <c r="L12" s="176">
        <f>I12+J12*EERR!$D$2</f>
        <v>116226.79999999999</v>
      </c>
      <c r="M12" s="112">
        <f>L12/EERR!$D$2</f>
        <v>194.75</v>
      </c>
      <c r="N12" s="112">
        <f>SUMIF(Feb!$B$3:$B$101,A12,Feb!$T$3:$T$101)</f>
        <v>0</v>
      </c>
    </row>
    <row r="13" spans="1:16" x14ac:dyDescent="0.3">
      <c r="A13" s="234">
        <v>73642</v>
      </c>
      <c r="B13" s="235" t="s">
        <v>649</v>
      </c>
      <c r="C13" s="236" t="s">
        <v>330</v>
      </c>
      <c r="D13" s="236" t="s">
        <v>139</v>
      </c>
      <c r="E13" s="236" t="s">
        <v>140</v>
      </c>
      <c r="F13" s="236" t="s">
        <v>145</v>
      </c>
      <c r="G13" s="236" t="s">
        <v>650</v>
      </c>
      <c r="H13" s="236" t="s">
        <v>142</v>
      </c>
      <c r="I13" s="237"/>
      <c r="J13" s="237">
        <v>175.5</v>
      </c>
      <c r="K13" s="236" t="s">
        <v>651</v>
      </c>
      <c r="L13" s="176">
        <f>I13+J13*EERR!$D$2</f>
        <v>104738.4</v>
      </c>
      <c r="M13" s="112">
        <f>L13/EERR!$D$2</f>
        <v>175.5</v>
      </c>
      <c r="N13" s="112">
        <f>SUMIF(Feb!$B$3:$B$101,A13,Feb!$T$3:$T$101)</f>
        <v>0</v>
      </c>
    </row>
    <row r="14" spans="1:16" x14ac:dyDescent="0.3">
      <c r="A14" s="234">
        <v>10586</v>
      </c>
      <c r="B14" s="235" t="s">
        <v>652</v>
      </c>
      <c r="C14" s="236" t="s">
        <v>330</v>
      </c>
      <c r="D14" s="236" t="s">
        <v>139</v>
      </c>
      <c r="E14" s="236" t="s">
        <v>140</v>
      </c>
      <c r="F14" s="236" t="s">
        <v>144</v>
      </c>
      <c r="G14" s="236" t="s">
        <v>653</v>
      </c>
      <c r="H14" s="236" t="s">
        <v>142</v>
      </c>
      <c r="I14" s="237"/>
      <c r="J14" s="237">
        <v>175.5</v>
      </c>
      <c r="K14" s="236" t="s">
        <v>654</v>
      </c>
      <c r="L14" s="176">
        <f>I14+J14*EERR!$D$2</f>
        <v>104738.4</v>
      </c>
      <c r="M14" s="112">
        <f>L14/EERR!$D$2</f>
        <v>175.5</v>
      </c>
      <c r="N14" s="112">
        <f>SUMIF(Feb!$B$3:$B$101,A14,Feb!$T$3:$T$101)</f>
        <v>523691.99999999994</v>
      </c>
    </row>
    <row r="15" spans="1:16" x14ac:dyDescent="0.3">
      <c r="A15" s="234">
        <v>10189</v>
      </c>
      <c r="B15" s="235" t="s">
        <v>655</v>
      </c>
      <c r="C15" s="236" t="s">
        <v>330</v>
      </c>
      <c r="D15" s="236" t="s">
        <v>139</v>
      </c>
      <c r="E15" s="236" t="s">
        <v>140</v>
      </c>
      <c r="F15" s="236" t="s">
        <v>144</v>
      </c>
      <c r="G15" s="236" t="s">
        <v>656</v>
      </c>
      <c r="H15" s="236" t="s">
        <v>142</v>
      </c>
      <c r="I15" s="237"/>
      <c r="J15" s="237">
        <v>184.5</v>
      </c>
      <c r="K15" s="236" t="s">
        <v>657</v>
      </c>
      <c r="L15" s="176">
        <f>I15+J15*EERR!$D$2</f>
        <v>110109.59999999999</v>
      </c>
      <c r="M15" s="112">
        <f>L15/EERR!$D$2</f>
        <v>184.5</v>
      </c>
      <c r="N15" s="112">
        <f>SUMIF(Feb!$B$3:$B$101,A15,Feb!$T$3:$T$101)</f>
        <v>0</v>
      </c>
    </row>
    <row r="16" spans="1:16" x14ac:dyDescent="0.3">
      <c r="A16" s="234">
        <v>29500</v>
      </c>
      <c r="B16" s="235" t="s">
        <v>658</v>
      </c>
      <c r="C16" s="236" t="s">
        <v>330</v>
      </c>
      <c r="D16" s="236" t="s">
        <v>139</v>
      </c>
      <c r="E16" s="236" t="s">
        <v>140</v>
      </c>
      <c r="F16" s="236" t="s">
        <v>144</v>
      </c>
      <c r="G16" s="236" t="s">
        <v>659</v>
      </c>
      <c r="H16" s="236" t="s">
        <v>142</v>
      </c>
      <c r="I16" s="237"/>
      <c r="J16" s="237">
        <v>205</v>
      </c>
      <c r="K16" s="236" t="s">
        <v>660</v>
      </c>
      <c r="L16" s="176">
        <f>I16+J16*EERR!$D$2</f>
        <v>122343.99999999999</v>
      </c>
      <c r="M16" s="112">
        <f>L16/EERR!$D$2</f>
        <v>205</v>
      </c>
      <c r="N16" s="112">
        <f>SUMIF(Feb!$B$3:$B$101,A16,Feb!$T$3:$T$101)</f>
        <v>244687.99999999997</v>
      </c>
    </row>
    <row r="17" spans="1:14" x14ac:dyDescent="0.3">
      <c r="A17" s="234">
        <v>13313</v>
      </c>
      <c r="B17" s="235" t="s">
        <v>661</v>
      </c>
      <c r="C17" s="236" t="s">
        <v>330</v>
      </c>
      <c r="D17" s="236" t="s">
        <v>139</v>
      </c>
      <c r="E17" s="236" t="s">
        <v>140</v>
      </c>
      <c r="F17" s="236" t="s">
        <v>145</v>
      </c>
      <c r="G17" s="236" t="s">
        <v>662</v>
      </c>
      <c r="H17" s="236" t="s">
        <v>142</v>
      </c>
      <c r="I17" s="237"/>
      <c r="J17" s="237">
        <v>175.5</v>
      </c>
      <c r="K17" s="236" t="s">
        <v>663</v>
      </c>
      <c r="L17" s="176">
        <f>I17+J17*EERR!$D$2</f>
        <v>104738.4</v>
      </c>
      <c r="M17" s="112">
        <f>L17/EERR!$D$2</f>
        <v>175.5</v>
      </c>
      <c r="N17" s="112">
        <f>SUMIF(Feb!$B$3:$B$101,A17,Feb!$T$3:$T$101)</f>
        <v>0</v>
      </c>
    </row>
    <row r="18" spans="1:14" x14ac:dyDescent="0.3">
      <c r="A18" s="234">
        <v>30337</v>
      </c>
      <c r="B18" s="235" t="s">
        <v>664</v>
      </c>
      <c r="C18" s="236" t="s">
        <v>330</v>
      </c>
      <c r="D18" s="236" t="s">
        <v>139</v>
      </c>
      <c r="E18" s="236" t="s">
        <v>140</v>
      </c>
      <c r="F18" s="236" t="s">
        <v>144</v>
      </c>
      <c r="G18" s="236" t="s">
        <v>510</v>
      </c>
      <c r="H18" s="236" t="s">
        <v>142</v>
      </c>
      <c r="I18" s="237"/>
      <c r="J18" s="237">
        <v>702</v>
      </c>
      <c r="K18" s="236" t="s">
        <v>665</v>
      </c>
      <c r="L18" s="176">
        <f>I18+J18*EERR!$D$2</f>
        <v>418953.6</v>
      </c>
      <c r="M18" s="112">
        <f>L18/EERR!$D$2</f>
        <v>702</v>
      </c>
      <c r="N18" s="112">
        <f>SUMIF(Feb!$B$3:$B$101,A18,Feb!$T$3:$T$101)</f>
        <v>523691.99999999994</v>
      </c>
    </row>
    <row r="19" spans="1:14" x14ac:dyDescent="0.3">
      <c r="A19" s="234">
        <v>72804</v>
      </c>
      <c r="B19" s="235" t="s">
        <v>666</v>
      </c>
      <c r="C19" s="236" t="s">
        <v>329</v>
      </c>
      <c r="D19" s="236" t="s">
        <v>139</v>
      </c>
      <c r="E19" s="236" t="s">
        <v>143</v>
      </c>
      <c r="F19" s="236" t="s">
        <v>145</v>
      </c>
      <c r="G19" s="236" t="s">
        <v>626</v>
      </c>
      <c r="H19" s="236" t="s">
        <v>143</v>
      </c>
      <c r="I19" s="237">
        <v>6000</v>
      </c>
      <c r="J19" s="237"/>
      <c r="K19" s="236" t="s">
        <v>667</v>
      </c>
      <c r="L19" s="176">
        <f>I19+J19*EERR!$D$2</f>
        <v>6000</v>
      </c>
      <c r="M19" s="112">
        <f>L19/EERR!$D$2</f>
        <v>10.053619302949063</v>
      </c>
      <c r="N19" s="112">
        <f>SUMIF(Feb!$B$3:$B$101,A19,Feb!$T$3:$T$101)</f>
        <v>502995</v>
      </c>
    </row>
    <row r="20" spans="1:14" x14ac:dyDescent="0.3">
      <c r="A20" s="234">
        <v>23184</v>
      </c>
      <c r="B20" s="235" t="s">
        <v>668</v>
      </c>
      <c r="C20" s="236" t="s">
        <v>329</v>
      </c>
      <c r="D20" s="236" t="s">
        <v>139</v>
      </c>
      <c r="E20" s="236" t="s">
        <v>143</v>
      </c>
      <c r="F20" s="236" t="s">
        <v>144</v>
      </c>
      <c r="G20" s="236" t="s">
        <v>669</v>
      </c>
      <c r="H20" s="236" t="s">
        <v>143</v>
      </c>
      <c r="I20" s="237">
        <v>529566</v>
      </c>
      <c r="J20" s="237"/>
      <c r="K20" s="236" t="s">
        <v>670</v>
      </c>
      <c r="L20" s="176">
        <f>I20+J20*EERR!$D$2</f>
        <v>529566</v>
      </c>
      <c r="M20" s="112">
        <f>L20/EERR!$D$2</f>
        <v>887.34249329758723</v>
      </c>
      <c r="N20" s="112">
        <f>SUMIF(Feb!$B$3:$B$101,A20,Feb!$T$3:$T$101)</f>
        <v>662616</v>
      </c>
    </row>
    <row r="21" spans="1:14" x14ac:dyDescent="0.3">
      <c r="A21" s="234">
        <v>92270</v>
      </c>
      <c r="B21" s="235" t="s">
        <v>671</v>
      </c>
      <c r="C21" s="236" t="s">
        <v>329</v>
      </c>
      <c r="D21" s="236" t="s">
        <v>139</v>
      </c>
      <c r="E21" s="236" t="s">
        <v>143</v>
      </c>
      <c r="F21" s="236" t="s">
        <v>364</v>
      </c>
      <c r="G21" s="236" t="s">
        <v>672</v>
      </c>
      <c r="H21" s="236" t="s">
        <v>365</v>
      </c>
      <c r="I21" s="237">
        <v>100000</v>
      </c>
      <c r="J21" s="237"/>
      <c r="K21" s="236" t="s">
        <v>673</v>
      </c>
      <c r="L21" s="176">
        <f>I21+J21*EERR!$D$2</f>
        <v>100000</v>
      </c>
      <c r="M21" s="112">
        <f>L21/EERR!$D$2</f>
        <v>167.56032171581771</v>
      </c>
      <c r="N21" s="112">
        <f>SUMIF(Feb!$B$3:$B$101,A21,Feb!$T$3:$T$101)</f>
        <v>442037</v>
      </c>
    </row>
    <row r="22" spans="1:14" x14ac:dyDescent="0.3">
      <c r="A22" s="234">
        <v>92270</v>
      </c>
      <c r="B22" s="235" t="s">
        <v>674</v>
      </c>
      <c r="C22" s="236" t="s">
        <v>329</v>
      </c>
      <c r="D22" s="236" t="s">
        <v>139</v>
      </c>
      <c r="E22" s="236" t="s">
        <v>143</v>
      </c>
      <c r="F22" s="236" t="s">
        <v>364</v>
      </c>
      <c r="G22" s="236" t="s">
        <v>675</v>
      </c>
      <c r="H22" s="236" t="s">
        <v>365</v>
      </c>
      <c r="I22" s="237">
        <v>194204</v>
      </c>
      <c r="J22" s="237"/>
      <c r="K22" s="236" t="s">
        <v>676</v>
      </c>
      <c r="L22" s="176">
        <f>I22+J22*EERR!$D$2</f>
        <v>194204</v>
      </c>
      <c r="M22" s="112">
        <f>L22/EERR!$D$2</f>
        <v>325.4088471849866</v>
      </c>
      <c r="N22" s="112">
        <f>SUMIF(Feb!$B$3:$B$101,A22,Feb!$T$3:$T$101)</f>
        <v>442037</v>
      </c>
    </row>
    <row r="23" spans="1:14" x14ac:dyDescent="0.3">
      <c r="A23" s="234">
        <v>27254</v>
      </c>
      <c r="B23" s="235" t="s">
        <v>677</v>
      </c>
      <c r="C23" s="236" t="s">
        <v>330</v>
      </c>
      <c r="D23" s="236" t="s">
        <v>139</v>
      </c>
      <c r="E23" s="236" t="s">
        <v>140</v>
      </c>
      <c r="F23" s="236" t="s">
        <v>144</v>
      </c>
      <c r="G23" s="236" t="s">
        <v>678</v>
      </c>
      <c r="H23" s="236" t="s">
        <v>142</v>
      </c>
      <c r="I23" s="237"/>
      <c r="J23" s="237">
        <v>1170</v>
      </c>
      <c r="K23" s="236" t="s">
        <v>679</v>
      </c>
      <c r="L23" s="176">
        <f>I23+J23*EERR!$D$2</f>
        <v>698256</v>
      </c>
      <c r="M23" s="112">
        <f>L23/EERR!$D$2</f>
        <v>1170</v>
      </c>
      <c r="N23" s="112">
        <f>SUMIF(Feb!$B$3:$B$101,A23,Feb!$T$3:$T$101)</f>
        <v>814631.99999999988</v>
      </c>
    </row>
    <row r="24" spans="1:14" x14ac:dyDescent="0.3">
      <c r="A24" s="234">
        <v>36688</v>
      </c>
      <c r="B24" s="235" t="s">
        <v>680</v>
      </c>
      <c r="C24" s="236" t="s">
        <v>330</v>
      </c>
      <c r="D24" s="236" t="s">
        <v>139</v>
      </c>
      <c r="E24" s="236" t="s">
        <v>140</v>
      </c>
      <c r="F24" s="236" t="s">
        <v>145</v>
      </c>
      <c r="G24" s="236" t="s">
        <v>521</v>
      </c>
      <c r="H24" s="236" t="s">
        <v>142</v>
      </c>
      <c r="I24" s="237"/>
      <c r="J24" s="237">
        <v>410</v>
      </c>
      <c r="K24" s="236" t="s">
        <v>681</v>
      </c>
      <c r="L24" s="176">
        <f>I24+J24*EERR!$D$2</f>
        <v>244687.99999999997</v>
      </c>
      <c r="M24" s="112">
        <f>L24/EERR!$D$2</f>
        <v>410</v>
      </c>
      <c r="N24" s="112">
        <f>SUMIF(Feb!$B$3:$B$101,A24,Feb!$T$3:$T$101)</f>
        <v>367032</v>
      </c>
    </row>
    <row r="25" spans="1:14" x14ac:dyDescent="0.3">
      <c r="A25" s="234">
        <v>24205</v>
      </c>
      <c r="B25" s="235" t="s">
        <v>682</v>
      </c>
      <c r="C25" s="236" t="s">
        <v>329</v>
      </c>
      <c r="D25" s="236" t="s">
        <v>139</v>
      </c>
      <c r="E25" s="236" t="s">
        <v>143</v>
      </c>
      <c r="F25" s="236" t="s">
        <v>144</v>
      </c>
      <c r="G25" s="236" t="s">
        <v>508</v>
      </c>
      <c r="H25" s="236" t="s">
        <v>143</v>
      </c>
      <c r="I25" s="237">
        <v>586455</v>
      </c>
      <c r="J25" s="237"/>
      <c r="K25" s="236" t="s">
        <v>683</v>
      </c>
      <c r="L25" s="176">
        <f>I25+J25*EERR!$D$2</f>
        <v>586455</v>
      </c>
      <c r="M25" s="112">
        <f>L25/EERR!$D$2</f>
        <v>982.66588471849877</v>
      </c>
      <c r="N25" s="112">
        <f>SUMIF(Feb!$B$3:$B$101,A25,Feb!$T$3:$T$101)</f>
        <v>734288</v>
      </c>
    </row>
    <row r="26" spans="1:14" x14ac:dyDescent="0.3">
      <c r="A26" s="234">
        <v>28611</v>
      </c>
      <c r="B26" s="235" t="s">
        <v>684</v>
      </c>
      <c r="C26" s="236" t="s">
        <v>330</v>
      </c>
      <c r="D26" s="236" t="s">
        <v>139</v>
      </c>
      <c r="E26" s="236" t="s">
        <v>140</v>
      </c>
      <c r="F26" s="236" t="s">
        <v>144</v>
      </c>
      <c r="G26" s="236" t="s">
        <v>526</v>
      </c>
      <c r="H26" s="236" t="s">
        <v>142</v>
      </c>
      <c r="I26" s="237"/>
      <c r="J26" s="237">
        <v>205</v>
      </c>
      <c r="K26" s="236" t="s">
        <v>685</v>
      </c>
      <c r="L26" s="176">
        <f>I26+J26*EERR!$D$2</f>
        <v>122343.99999999999</v>
      </c>
      <c r="M26" s="112">
        <f>L26/EERR!$D$2</f>
        <v>205</v>
      </c>
      <c r="N26" s="112">
        <f>SUMIF(Feb!$B$3:$B$101,A26,Feb!$T$3:$T$101)</f>
        <v>244687.99999999997</v>
      </c>
    </row>
    <row r="27" spans="1:14" x14ac:dyDescent="0.3">
      <c r="A27" s="234">
        <v>14012</v>
      </c>
      <c r="B27" s="235" t="s">
        <v>686</v>
      </c>
      <c r="C27" s="236" t="s">
        <v>330</v>
      </c>
      <c r="D27" s="236" t="s">
        <v>139</v>
      </c>
      <c r="E27" s="236" t="s">
        <v>140</v>
      </c>
      <c r="F27" s="236" t="s">
        <v>141</v>
      </c>
      <c r="G27" s="236" t="s">
        <v>558</v>
      </c>
      <c r="H27" s="236" t="s">
        <v>142</v>
      </c>
      <c r="I27" s="237"/>
      <c r="J27" s="237">
        <v>780</v>
      </c>
      <c r="K27" s="236" t="s">
        <v>687</v>
      </c>
      <c r="L27" s="176">
        <f>I27+J27*EERR!$D$2</f>
        <v>465503.99999999994</v>
      </c>
      <c r="M27" s="112">
        <f>L27/EERR!$D$2</f>
        <v>780</v>
      </c>
      <c r="N27" s="112">
        <f>SUMIF(Feb!$B$3:$B$101,A27,Feb!$T$3:$T$101)</f>
        <v>581880</v>
      </c>
    </row>
    <row r="28" spans="1:14" x14ac:dyDescent="0.3">
      <c r="A28" s="234">
        <v>85064</v>
      </c>
      <c r="B28" s="235" t="s">
        <v>688</v>
      </c>
      <c r="C28" s="236" t="s">
        <v>330</v>
      </c>
      <c r="D28" s="236" t="s">
        <v>139</v>
      </c>
      <c r="E28" s="236" t="s">
        <v>140</v>
      </c>
      <c r="F28" s="236" t="s">
        <v>144</v>
      </c>
      <c r="G28" s="236" t="s">
        <v>689</v>
      </c>
      <c r="H28" s="236" t="s">
        <v>142</v>
      </c>
      <c r="I28" s="237"/>
      <c r="J28" s="237">
        <v>975</v>
      </c>
      <c r="K28" s="236" t="s">
        <v>690</v>
      </c>
      <c r="L28" s="176">
        <f>I28+J28*EERR!$D$2</f>
        <v>581880</v>
      </c>
      <c r="M28" s="112">
        <f>L28/EERR!$D$2</f>
        <v>975.00000000000011</v>
      </c>
      <c r="N28" s="112">
        <f>SUMIF(Feb!$B$3:$B$101,A28,Feb!$T$3:$T$101)</f>
        <v>698256</v>
      </c>
    </row>
    <row r="29" spans="1:14" x14ac:dyDescent="0.3">
      <c r="A29" s="234">
        <v>36149</v>
      </c>
      <c r="B29" s="235" t="s">
        <v>691</v>
      </c>
      <c r="C29" s="236" t="s">
        <v>329</v>
      </c>
      <c r="D29" s="236" t="s">
        <v>139</v>
      </c>
      <c r="E29" s="236" t="s">
        <v>143</v>
      </c>
      <c r="F29" s="236" t="s">
        <v>144</v>
      </c>
      <c r="G29" s="236" t="s">
        <v>692</v>
      </c>
      <c r="H29" s="236" t="s">
        <v>143</v>
      </c>
      <c r="I29" s="237">
        <v>140158</v>
      </c>
      <c r="J29" s="237"/>
      <c r="K29" s="236" t="s">
        <v>693</v>
      </c>
      <c r="L29" s="176">
        <f>I29+J29*EERR!$D$2</f>
        <v>140158</v>
      </c>
      <c r="M29" s="112">
        <f>L29/EERR!$D$2</f>
        <v>234.84919571045577</v>
      </c>
      <c r="N29" s="112">
        <f>SUMIF(Feb!$B$3:$B$101,A29,Feb!$T$3:$T$101)</f>
        <v>560633</v>
      </c>
    </row>
    <row r="30" spans="1:14" x14ac:dyDescent="0.3">
      <c r="A30" s="234">
        <v>36149</v>
      </c>
      <c r="B30" s="235" t="s">
        <v>694</v>
      </c>
      <c r="C30" s="236" t="s">
        <v>329</v>
      </c>
      <c r="D30" s="236" t="s">
        <v>139</v>
      </c>
      <c r="E30" s="236" t="s">
        <v>143</v>
      </c>
      <c r="F30" s="236" t="s">
        <v>144</v>
      </c>
      <c r="G30" s="236" t="s">
        <v>692</v>
      </c>
      <c r="H30" s="236" t="s">
        <v>143</v>
      </c>
      <c r="I30" s="237">
        <v>420475</v>
      </c>
      <c r="J30" s="237"/>
      <c r="K30" s="236" t="s">
        <v>695</v>
      </c>
      <c r="L30" s="176">
        <f>I30+J30*EERR!$D$2</f>
        <v>420475</v>
      </c>
      <c r="M30" s="112">
        <f>L30/EERR!$D$2</f>
        <v>704.54926273458454</v>
      </c>
      <c r="N30" s="112">
        <f>SUMIF(Feb!$B$3:$B$101,A30,Feb!$T$3:$T$101)</f>
        <v>560633</v>
      </c>
    </row>
    <row r="31" spans="1:14" x14ac:dyDescent="0.3">
      <c r="A31" s="234">
        <v>21327</v>
      </c>
      <c r="B31" s="235" t="s">
        <v>696</v>
      </c>
      <c r="C31" s="236" t="s">
        <v>330</v>
      </c>
      <c r="D31" s="236" t="s">
        <v>139</v>
      </c>
      <c r="E31" s="236" t="s">
        <v>140</v>
      </c>
      <c r="F31" s="236" t="s">
        <v>145</v>
      </c>
      <c r="G31" s="236" t="s">
        <v>697</v>
      </c>
      <c r="H31" s="236" t="s">
        <v>142</v>
      </c>
      <c r="I31" s="237"/>
      <c r="J31" s="237">
        <v>205</v>
      </c>
      <c r="K31" s="236" t="s">
        <v>698</v>
      </c>
      <c r="L31" s="176">
        <f>I31+J31*EERR!$D$2</f>
        <v>122343.99999999999</v>
      </c>
      <c r="M31" s="112">
        <f>L31/EERR!$D$2</f>
        <v>205</v>
      </c>
      <c r="N31" s="112">
        <f>SUMIF(Feb!$B$3:$B$101,A31,Feb!$T$3:$T$101)</f>
        <v>122343.99999999999</v>
      </c>
    </row>
    <row r="32" spans="1:14" x14ac:dyDescent="0.3">
      <c r="A32" s="234">
        <v>28838</v>
      </c>
      <c r="B32" s="235" t="s">
        <v>699</v>
      </c>
      <c r="C32" s="236" t="s">
        <v>330</v>
      </c>
      <c r="D32" s="236" t="s">
        <v>139</v>
      </c>
      <c r="E32" s="236" t="s">
        <v>140</v>
      </c>
      <c r="F32" s="236" t="s">
        <v>145</v>
      </c>
      <c r="G32" s="236" t="s">
        <v>700</v>
      </c>
      <c r="H32" s="236" t="s">
        <v>142</v>
      </c>
      <c r="I32" s="237"/>
      <c r="J32" s="237">
        <v>195</v>
      </c>
      <c r="K32" s="236" t="s">
        <v>701</v>
      </c>
      <c r="L32" s="176">
        <f>I32+J32*EERR!$D$2</f>
        <v>116375.99999999999</v>
      </c>
      <c r="M32" s="112">
        <f>L32/EERR!$D$2</f>
        <v>195</v>
      </c>
      <c r="N32" s="112">
        <f>SUMIF(Feb!$B$3:$B$101,A32,Feb!$T$3:$T$101)</f>
        <v>716160</v>
      </c>
    </row>
    <row r="33" spans="1:14" x14ac:dyDescent="0.3">
      <c r="A33" s="234">
        <v>38822</v>
      </c>
      <c r="B33" s="235" t="s">
        <v>702</v>
      </c>
      <c r="C33" s="236" t="s">
        <v>330</v>
      </c>
      <c r="D33" s="236" t="s">
        <v>139</v>
      </c>
      <c r="E33" s="236" t="s">
        <v>140</v>
      </c>
      <c r="F33" s="236" t="s">
        <v>145</v>
      </c>
      <c r="G33" s="236" t="s">
        <v>703</v>
      </c>
      <c r="H33" s="236" t="s">
        <v>142</v>
      </c>
      <c r="I33" s="237"/>
      <c r="J33" s="237">
        <v>205</v>
      </c>
      <c r="K33" s="236" t="s">
        <v>704</v>
      </c>
      <c r="L33" s="176">
        <f>I33+J33*EERR!$D$2</f>
        <v>122343.99999999999</v>
      </c>
      <c r="M33" s="112">
        <f>L33/EERR!$D$2</f>
        <v>205</v>
      </c>
      <c r="N33" s="112">
        <f>SUMIF(Feb!$B$3:$B$101,A33,Feb!$T$3:$T$101)</f>
        <v>0</v>
      </c>
    </row>
    <row r="34" spans="1:14" x14ac:dyDescent="0.3">
      <c r="A34" s="234">
        <v>34426</v>
      </c>
      <c r="B34" s="235" t="s">
        <v>705</v>
      </c>
      <c r="C34" s="236" t="s">
        <v>330</v>
      </c>
      <c r="D34" s="236" t="s">
        <v>139</v>
      </c>
      <c r="E34" s="236" t="s">
        <v>140</v>
      </c>
      <c r="F34" s="236" t="s">
        <v>145</v>
      </c>
      <c r="G34" s="236" t="s">
        <v>706</v>
      </c>
      <c r="H34" s="236" t="s">
        <v>142</v>
      </c>
      <c r="I34" s="237"/>
      <c r="J34" s="237">
        <v>205</v>
      </c>
      <c r="K34" s="236" t="s">
        <v>707</v>
      </c>
      <c r="L34" s="176">
        <f>I34+J34*EERR!$D$2</f>
        <v>122343.99999999999</v>
      </c>
      <c r="M34" s="112">
        <f>L34/EERR!$D$2</f>
        <v>205</v>
      </c>
      <c r="N34" s="112">
        <f>SUMIF(Feb!$B$3:$B$101,A34,Feb!$T$3:$T$101)</f>
        <v>0</v>
      </c>
    </row>
    <row r="35" spans="1:14" x14ac:dyDescent="0.3">
      <c r="A35" s="234">
        <v>63988</v>
      </c>
      <c r="B35" s="235" t="s">
        <v>708</v>
      </c>
      <c r="C35" s="236" t="s">
        <v>329</v>
      </c>
      <c r="D35" s="236" t="s">
        <v>139</v>
      </c>
      <c r="E35" s="236" t="s">
        <v>143</v>
      </c>
      <c r="F35" s="236" t="s">
        <v>144</v>
      </c>
      <c r="G35" s="236" t="s">
        <v>709</v>
      </c>
      <c r="H35" s="236" t="s">
        <v>143</v>
      </c>
      <c r="I35" s="237">
        <v>139230</v>
      </c>
      <c r="J35" s="237"/>
      <c r="K35" s="236" t="s">
        <v>710</v>
      </c>
      <c r="L35" s="176">
        <f>I35+J35*EERR!$D$2</f>
        <v>139230</v>
      </c>
      <c r="M35" s="112">
        <f>L35/EERR!$D$2</f>
        <v>233.29423592493299</v>
      </c>
      <c r="N35" s="112">
        <f>SUMIF(Feb!$B$3:$B$101,A35,Feb!$T$3:$T$101)</f>
        <v>0</v>
      </c>
    </row>
    <row r="36" spans="1:14" x14ac:dyDescent="0.3">
      <c r="A36" s="234">
        <v>49628</v>
      </c>
      <c r="B36" s="235" t="s">
        <v>711</v>
      </c>
      <c r="C36" s="236" t="s">
        <v>330</v>
      </c>
      <c r="D36" s="236" t="s">
        <v>139</v>
      </c>
      <c r="E36" s="236" t="s">
        <v>140</v>
      </c>
      <c r="F36" s="236" t="s">
        <v>144</v>
      </c>
      <c r="G36" s="236" t="s">
        <v>712</v>
      </c>
      <c r="H36" s="236" t="s">
        <v>142</v>
      </c>
      <c r="I36" s="237"/>
      <c r="J36" s="237">
        <v>195</v>
      </c>
      <c r="K36" s="236" t="s">
        <v>713</v>
      </c>
      <c r="L36" s="176">
        <f>I36+J36*EERR!$D$2</f>
        <v>116375.99999999999</v>
      </c>
      <c r="M36" s="112">
        <f>L36/EERR!$D$2</f>
        <v>195</v>
      </c>
      <c r="N36" s="112">
        <f>SUMIF(Feb!$B$3:$B$101,A36,Feb!$T$3:$T$101)</f>
        <v>0</v>
      </c>
    </row>
    <row r="37" spans="1:14" x14ac:dyDescent="0.3">
      <c r="A37" s="234">
        <v>78876</v>
      </c>
      <c r="B37" s="235" t="s">
        <v>714</v>
      </c>
      <c r="C37" s="236" t="s">
        <v>329</v>
      </c>
      <c r="D37" s="236" t="s">
        <v>139</v>
      </c>
      <c r="E37" s="236" t="s">
        <v>143</v>
      </c>
      <c r="F37" s="236" t="s">
        <v>144</v>
      </c>
      <c r="G37" s="236" t="s">
        <v>715</v>
      </c>
      <c r="H37" s="236" t="s">
        <v>143</v>
      </c>
      <c r="I37" s="237">
        <v>292740</v>
      </c>
      <c r="J37" s="237"/>
      <c r="K37" s="236" t="s">
        <v>716</v>
      </c>
      <c r="L37" s="176">
        <f>I37+J37*EERR!$D$2</f>
        <v>292740</v>
      </c>
      <c r="M37" s="112">
        <f>L37/EERR!$D$2</f>
        <v>490.51608579088474</v>
      </c>
      <c r="N37" s="112">
        <f>SUMIF(Feb!$B$3:$B$101,A37,Feb!$T$3:$T$101)</f>
        <v>0</v>
      </c>
    </row>
    <row r="38" spans="1:14" x14ac:dyDescent="0.3">
      <c r="A38" s="234">
        <v>37868</v>
      </c>
      <c r="B38" s="235" t="s">
        <v>717</v>
      </c>
      <c r="C38" s="236" t="s">
        <v>329</v>
      </c>
      <c r="D38" s="236" t="s">
        <v>139</v>
      </c>
      <c r="E38" s="236" t="s">
        <v>143</v>
      </c>
      <c r="F38" s="236" t="s">
        <v>145</v>
      </c>
      <c r="G38" s="236" t="s">
        <v>718</v>
      </c>
      <c r="H38" s="236" t="s">
        <v>143</v>
      </c>
      <c r="I38" s="237">
        <v>146370</v>
      </c>
      <c r="J38" s="237"/>
      <c r="K38" s="236" t="s">
        <v>719</v>
      </c>
      <c r="L38" s="176">
        <f>I38+J38*EERR!$D$2</f>
        <v>146370</v>
      </c>
      <c r="M38" s="112">
        <f>L38/EERR!$D$2</f>
        <v>245.25804289544237</v>
      </c>
      <c r="N38" s="112">
        <f>SUMIF(Feb!$B$3:$B$101,A38,Feb!$T$3:$T$101)</f>
        <v>0</v>
      </c>
    </row>
    <row r="39" spans="1:14" x14ac:dyDescent="0.3">
      <c r="A39" s="234">
        <v>99638</v>
      </c>
      <c r="B39" s="235" t="s">
        <v>720</v>
      </c>
      <c r="C39" s="236" t="s">
        <v>330</v>
      </c>
      <c r="D39" s="236" t="s">
        <v>139</v>
      </c>
      <c r="E39" s="236" t="s">
        <v>140</v>
      </c>
      <c r="F39" s="236" t="s">
        <v>145</v>
      </c>
      <c r="G39" s="236" t="s">
        <v>706</v>
      </c>
      <c r="H39" s="236" t="s">
        <v>142</v>
      </c>
      <c r="I39" s="237"/>
      <c r="J39" s="237">
        <v>205</v>
      </c>
      <c r="K39" s="236" t="s">
        <v>721</v>
      </c>
      <c r="L39" s="176">
        <f>I39+J39*EERR!$D$2</f>
        <v>122343.99999999999</v>
      </c>
      <c r="M39" s="112">
        <f>L39/EERR!$D$2</f>
        <v>205</v>
      </c>
      <c r="N39" s="112">
        <f>SUMIF(Feb!$B$3:$B$101,A39,Feb!$T$3:$T$101)</f>
        <v>0</v>
      </c>
    </row>
    <row r="40" spans="1:14" x14ac:dyDescent="0.3">
      <c r="A40" s="234">
        <v>79621</v>
      </c>
      <c r="B40" s="235" t="s">
        <v>722</v>
      </c>
      <c r="C40" s="236" t="s">
        <v>329</v>
      </c>
      <c r="D40" s="236" t="s">
        <v>139</v>
      </c>
      <c r="E40" s="236" t="s">
        <v>143</v>
      </c>
      <c r="F40" s="236" t="s">
        <v>145</v>
      </c>
      <c r="G40" s="236" t="s">
        <v>723</v>
      </c>
      <c r="H40" s="236" t="s">
        <v>143</v>
      </c>
      <c r="I40" s="237">
        <v>146370</v>
      </c>
      <c r="J40" s="237"/>
      <c r="K40" s="236" t="s">
        <v>724</v>
      </c>
      <c r="L40" s="176">
        <f>I40+J40*EERR!$D$2</f>
        <v>146370</v>
      </c>
      <c r="M40" s="112">
        <f>L40/EERR!$D$2</f>
        <v>245.25804289544237</v>
      </c>
      <c r="N40" s="112">
        <f>SUMIF(Feb!$B$3:$B$101,A40,Feb!$T$3:$T$101)</f>
        <v>0</v>
      </c>
    </row>
    <row r="41" spans="1:14" x14ac:dyDescent="0.3">
      <c r="A41" s="234">
        <v>86059</v>
      </c>
      <c r="B41" s="235" t="s">
        <v>725</v>
      </c>
      <c r="C41" s="236" t="s">
        <v>330</v>
      </c>
      <c r="D41" s="236" t="s">
        <v>139</v>
      </c>
      <c r="E41" s="236" t="s">
        <v>140</v>
      </c>
      <c r="F41" s="236" t="s">
        <v>145</v>
      </c>
      <c r="G41" s="236" t="s">
        <v>726</v>
      </c>
      <c r="H41" s="236" t="s">
        <v>142</v>
      </c>
      <c r="I41" s="237"/>
      <c r="J41" s="237">
        <v>175.5</v>
      </c>
      <c r="K41" s="236" t="s">
        <v>727</v>
      </c>
      <c r="L41" s="176">
        <f>I41+J41*EERR!$D$2</f>
        <v>104738.4</v>
      </c>
      <c r="M41" s="112">
        <f>L41/EERR!$D$2</f>
        <v>175.5</v>
      </c>
      <c r="N41" s="112">
        <f>SUMIF(Feb!$B$3:$B$101,A41,Feb!$T$3:$T$101)</f>
        <v>418953.6</v>
      </c>
    </row>
    <row r="42" spans="1:14" x14ac:dyDescent="0.3">
      <c r="A42" s="234">
        <v>37987</v>
      </c>
      <c r="B42" s="235" t="s">
        <v>728</v>
      </c>
      <c r="C42" s="236" t="s">
        <v>330</v>
      </c>
      <c r="D42" s="236" t="s">
        <v>139</v>
      </c>
      <c r="E42" s="236" t="s">
        <v>140</v>
      </c>
      <c r="F42" s="236" t="s">
        <v>145</v>
      </c>
      <c r="G42" s="236" t="s">
        <v>729</v>
      </c>
      <c r="H42" s="236" t="s">
        <v>142</v>
      </c>
      <c r="I42" s="237"/>
      <c r="J42" s="237">
        <v>195</v>
      </c>
      <c r="K42" s="236" t="s">
        <v>730</v>
      </c>
      <c r="L42" s="176">
        <f>I42+J42*EERR!$D$2</f>
        <v>116375.99999999999</v>
      </c>
      <c r="M42" s="112">
        <f>L42/EERR!$D$2</f>
        <v>195</v>
      </c>
      <c r="N42" s="112">
        <f>SUMIF(Feb!$B$3:$B$101,A42,Feb!$T$3:$T$101)</f>
        <v>0</v>
      </c>
    </row>
    <row r="43" spans="1:14" x14ac:dyDescent="0.3">
      <c r="A43" s="234">
        <v>73489</v>
      </c>
      <c r="B43" s="235" t="s">
        <v>731</v>
      </c>
      <c r="C43" s="236" t="s">
        <v>330</v>
      </c>
      <c r="D43" s="236" t="s">
        <v>139</v>
      </c>
      <c r="E43" s="236" t="s">
        <v>140</v>
      </c>
      <c r="F43" s="236" t="s">
        <v>141</v>
      </c>
      <c r="G43" s="236" t="s">
        <v>732</v>
      </c>
      <c r="H43" s="236" t="s">
        <v>142</v>
      </c>
      <c r="I43" s="237"/>
      <c r="J43" s="237">
        <v>175.5</v>
      </c>
      <c r="K43" s="236" t="s">
        <v>733</v>
      </c>
      <c r="L43" s="176">
        <f>I43+J43*EERR!$D$2</f>
        <v>104738.4</v>
      </c>
      <c r="M43" s="112">
        <f>L43/EERR!$D$2</f>
        <v>175.5</v>
      </c>
      <c r="N43" s="112">
        <f>SUMIF(Feb!$B$3:$B$101,A43,Feb!$T$3:$T$101)</f>
        <v>0</v>
      </c>
    </row>
    <row r="44" spans="1:14" x14ac:dyDescent="0.3">
      <c r="A44" s="234">
        <v>12137</v>
      </c>
      <c r="B44" s="235" t="s">
        <v>734</v>
      </c>
      <c r="C44" s="236" t="s">
        <v>330</v>
      </c>
      <c r="D44" s="236" t="s">
        <v>139</v>
      </c>
      <c r="E44" s="236" t="s">
        <v>140</v>
      </c>
      <c r="F44" s="236" t="s">
        <v>145</v>
      </c>
      <c r="G44" s="236" t="s">
        <v>735</v>
      </c>
      <c r="H44" s="236" t="s">
        <v>142</v>
      </c>
      <c r="I44" s="237"/>
      <c r="J44" s="237">
        <v>184.5</v>
      </c>
      <c r="K44" s="236" t="s">
        <v>736</v>
      </c>
      <c r="L44" s="176">
        <f>I44+J44*EERR!$D$2</f>
        <v>110109.59999999999</v>
      </c>
      <c r="M44" s="112">
        <f>L44/EERR!$D$2</f>
        <v>184.5</v>
      </c>
      <c r="N44" s="112">
        <f>SUMIF(Feb!$B$3:$B$101,A44,Feb!$T$3:$T$101)</f>
        <v>0</v>
      </c>
    </row>
    <row r="45" spans="1:14" x14ac:dyDescent="0.3">
      <c r="A45" s="234">
        <v>48784</v>
      </c>
      <c r="B45" s="235" t="s">
        <v>737</v>
      </c>
      <c r="C45" s="236" t="s">
        <v>329</v>
      </c>
      <c r="D45" s="236" t="s">
        <v>139</v>
      </c>
      <c r="E45" s="236" t="s">
        <v>143</v>
      </c>
      <c r="F45" s="236" t="s">
        <v>144</v>
      </c>
      <c r="G45" s="236" t="s">
        <v>738</v>
      </c>
      <c r="H45" s="236" t="s">
        <v>143</v>
      </c>
      <c r="I45" s="237">
        <v>146370</v>
      </c>
      <c r="J45" s="237"/>
      <c r="K45" s="236" t="s">
        <v>739</v>
      </c>
      <c r="L45" s="176">
        <f>I45+J45*EERR!$D$2</f>
        <v>146370</v>
      </c>
      <c r="M45" s="112">
        <f>L45/EERR!$D$2</f>
        <v>245.25804289544237</v>
      </c>
      <c r="N45" s="112">
        <f>SUMIF(Feb!$B$3:$B$101,A45,Feb!$T$3:$T$101)</f>
        <v>0</v>
      </c>
    </row>
    <row r="46" spans="1:14" x14ac:dyDescent="0.3">
      <c r="A46" s="234">
        <v>40568</v>
      </c>
      <c r="B46" s="235" t="s">
        <v>740</v>
      </c>
      <c r="C46" s="236" t="s">
        <v>330</v>
      </c>
      <c r="D46" s="236" t="s">
        <v>139</v>
      </c>
      <c r="E46" s="236" t="s">
        <v>140</v>
      </c>
      <c r="F46" s="236" t="s">
        <v>144</v>
      </c>
      <c r="G46" s="236" t="s">
        <v>741</v>
      </c>
      <c r="H46" s="236" t="s">
        <v>142</v>
      </c>
      <c r="I46" s="237"/>
      <c r="J46" s="237">
        <v>205</v>
      </c>
      <c r="K46" s="236" t="s">
        <v>742</v>
      </c>
      <c r="L46" s="176">
        <f>I46+J46*EERR!$D$2</f>
        <v>122343.99999999999</v>
      </c>
      <c r="M46" s="112">
        <f>L46/EERR!$D$2</f>
        <v>205</v>
      </c>
      <c r="N46" s="112">
        <f>SUMIF(Feb!$B$3:$B$101,A46,Feb!$T$3:$T$101)</f>
        <v>0</v>
      </c>
    </row>
    <row r="47" spans="1:14" x14ac:dyDescent="0.3">
      <c r="A47" s="234">
        <v>42866</v>
      </c>
      <c r="B47" s="235" t="s">
        <v>743</v>
      </c>
      <c r="C47" s="236" t="s">
        <v>330</v>
      </c>
      <c r="D47" s="236" t="s">
        <v>139</v>
      </c>
      <c r="E47" s="236" t="s">
        <v>140</v>
      </c>
      <c r="F47" s="236" t="s">
        <v>145</v>
      </c>
      <c r="G47" s="236" t="s">
        <v>744</v>
      </c>
      <c r="H47" s="236" t="s">
        <v>142</v>
      </c>
      <c r="I47" s="237"/>
      <c r="J47" s="237">
        <v>396</v>
      </c>
      <c r="K47" s="236" t="s">
        <v>745</v>
      </c>
      <c r="L47" s="176">
        <f>I47+J47*EERR!$D$2</f>
        <v>236332.79999999999</v>
      </c>
      <c r="M47" s="112">
        <f>L47/EERR!$D$2</f>
        <v>396</v>
      </c>
      <c r="N47" s="112">
        <f>SUMIF(Feb!$B$3:$B$101,A47,Feb!$T$3:$T$101)</f>
        <v>349128</v>
      </c>
    </row>
    <row r="48" spans="1:14" x14ac:dyDescent="0.3">
      <c r="A48" s="234">
        <v>62130</v>
      </c>
      <c r="B48" s="235" t="s">
        <v>746</v>
      </c>
      <c r="C48" s="236" t="s">
        <v>330</v>
      </c>
      <c r="D48" s="236" t="s">
        <v>139</v>
      </c>
      <c r="E48" s="236" t="s">
        <v>140</v>
      </c>
      <c r="F48" s="236" t="s">
        <v>145</v>
      </c>
      <c r="G48" s="236" t="s">
        <v>520</v>
      </c>
      <c r="H48" s="236" t="s">
        <v>142</v>
      </c>
      <c r="I48" s="237"/>
      <c r="J48" s="237">
        <v>1170</v>
      </c>
      <c r="K48" s="236" t="s">
        <v>747</v>
      </c>
      <c r="L48" s="176">
        <f>I48+J48*EERR!$D$2</f>
        <v>698256</v>
      </c>
      <c r="M48" s="112">
        <f>L48/EERR!$D$2</f>
        <v>1170</v>
      </c>
      <c r="N48" s="112">
        <f>SUMIF(Feb!$B$3:$B$101,A48,Feb!$T$3:$T$101)</f>
        <v>814631.99999999988</v>
      </c>
    </row>
    <row r="49" spans="1:14" x14ac:dyDescent="0.3">
      <c r="A49" s="234">
        <v>27254</v>
      </c>
      <c r="B49" s="235" t="s">
        <v>748</v>
      </c>
      <c r="C49" s="236" t="s">
        <v>330</v>
      </c>
      <c r="D49" s="236" t="s">
        <v>139</v>
      </c>
      <c r="E49" s="236" t="s">
        <v>140</v>
      </c>
      <c r="F49" s="236" t="s">
        <v>144</v>
      </c>
      <c r="G49" s="236" t="s">
        <v>678</v>
      </c>
      <c r="H49" s="236" t="s">
        <v>142</v>
      </c>
      <c r="I49" s="237"/>
      <c r="J49" s="237">
        <v>34</v>
      </c>
      <c r="K49" s="236" t="s">
        <v>749</v>
      </c>
      <c r="L49" s="176">
        <f>I49+J49*EERR!$D$2</f>
        <v>20291.199999999997</v>
      </c>
      <c r="M49" s="112">
        <f>L49/EERR!$D$2</f>
        <v>34</v>
      </c>
      <c r="N49" s="112">
        <f>SUMIF(Feb!$B$3:$B$101,A49,Feb!$T$3:$T$101)</f>
        <v>814631.99999999988</v>
      </c>
    </row>
    <row r="50" spans="1:14" x14ac:dyDescent="0.3">
      <c r="A50" s="234">
        <v>74671</v>
      </c>
      <c r="B50" s="235" t="s">
        <v>750</v>
      </c>
      <c r="C50" s="236" t="s">
        <v>330</v>
      </c>
      <c r="D50" s="236" t="s">
        <v>139</v>
      </c>
      <c r="E50" s="236" t="s">
        <v>140</v>
      </c>
      <c r="F50" s="236" t="s">
        <v>144</v>
      </c>
      <c r="G50" s="236" t="s">
        <v>751</v>
      </c>
      <c r="H50" s="236" t="s">
        <v>142</v>
      </c>
      <c r="I50" s="237"/>
      <c r="J50" s="237">
        <v>195</v>
      </c>
      <c r="K50" s="236" t="s">
        <v>752</v>
      </c>
      <c r="L50" s="176">
        <f>I50+J50*EERR!$D$2</f>
        <v>116375.99999999999</v>
      </c>
      <c r="M50" s="112">
        <f>L50/EERR!$D$2</f>
        <v>195</v>
      </c>
      <c r="N50" s="112">
        <f>SUMIF(Feb!$B$3:$B$101,A50,Feb!$T$3:$T$101)</f>
        <v>0</v>
      </c>
    </row>
    <row r="51" spans="1:14" x14ac:dyDescent="0.3">
      <c r="A51" s="234">
        <v>6187</v>
      </c>
      <c r="B51" s="235" t="s">
        <v>753</v>
      </c>
      <c r="C51" s="236" t="s">
        <v>330</v>
      </c>
      <c r="D51" s="236" t="s">
        <v>139</v>
      </c>
      <c r="E51" s="236" t="s">
        <v>140</v>
      </c>
      <c r="F51" s="236" t="s">
        <v>145</v>
      </c>
      <c r="G51" s="236" t="s">
        <v>754</v>
      </c>
      <c r="H51" s="236" t="s">
        <v>142</v>
      </c>
      <c r="I51" s="237"/>
      <c r="J51" s="237">
        <v>820</v>
      </c>
      <c r="K51" s="236" t="s">
        <v>755</v>
      </c>
      <c r="L51" s="176">
        <f>I51+J51*EERR!$D$2</f>
        <v>489375.99999999994</v>
      </c>
      <c r="M51" s="112">
        <f>L51/EERR!$D$2</f>
        <v>820</v>
      </c>
      <c r="N51" s="112">
        <f>SUMIF(Feb!$B$3:$B$101,A51,Feb!$T$3:$T$101)</f>
        <v>611720</v>
      </c>
    </row>
    <row r="52" spans="1:14" x14ac:dyDescent="0.3">
      <c r="A52" s="234">
        <v>41206</v>
      </c>
      <c r="B52" s="235" t="s">
        <v>756</v>
      </c>
      <c r="C52" s="236" t="s">
        <v>330</v>
      </c>
      <c r="D52" s="236" t="s">
        <v>139</v>
      </c>
      <c r="E52" s="236" t="s">
        <v>140</v>
      </c>
      <c r="F52" s="236" t="s">
        <v>145</v>
      </c>
      <c r="G52" s="236" t="s">
        <v>757</v>
      </c>
      <c r="H52" s="236" t="s">
        <v>142</v>
      </c>
      <c r="I52" s="237"/>
      <c r="J52" s="237">
        <v>390</v>
      </c>
      <c r="K52" s="236" t="s">
        <v>758</v>
      </c>
      <c r="L52" s="176">
        <f>I52+J52*EERR!$D$2</f>
        <v>232751.99999999997</v>
      </c>
      <c r="M52" s="112">
        <f>L52/EERR!$D$2</f>
        <v>390</v>
      </c>
      <c r="N52" s="112">
        <f>SUMIF(Feb!$B$3:$B$101,A52,Feb!$T$3:$T$101)</f>
        <v>349128</v>
      </c>
    </row>
    <row r="53" spans="1:14" x14ac:dyDescent="0.3">
      <c r="A53" s="234">
        <v>85900</v>
      </c>
      <c r="B53" s="235" t="s">
        <v>759</v>
      </c>
      <c r="C53" s="236" t="s">
        <v>329</v>
      </c>
      <c r="D53" s="236" t="s">
        <v>139</v>
      </c>
      <c r="E53" s="236" t="s">
        <v>143</v>
      </c>
      <c r="F53" s="236" t="s">
        <v>145</v>
      </c>
      <c r="G53" s="236" t="s">
        <v>760</v>
      </c>
      <c r="H53" s="236" t="s">
        <v>143</v>
      </c>
      <c r="I53" s="237">
        <v>1246805</v>
      </c>
      <c r="J53" s="237"/>
      <c r="K53" s="236" t="s">
        <v>761</v>
      </c>
      <c r="L53" s="176">
        <f>I53+J53*EERR!$D$2</f>
        <v>1246805</v>
      </c>
      <c r="M53" s="112">
        <f>L53/EERR!$D$2</f>
        <v>2089.1504691689011</v>
      </c>
      <c r="N53" s="112">
        <f>SUMIF(Feb!$B$3:$B$101,A53,Feb!$T$3:$T$101)</f>
        <v>1499089</v>
      </c>
    </row>
    <row r="54" spans="1:14" x14ac:dyDescent="0.3">
      <c r="A54" s="234">
        <v>39246</v>
      </c>
      <c r="B54" s="235" t="s">
        <v>762</v>
      </c>
      <c r="C54" s="236" t="s">
        <v>330</v>
      </c>
      <c r="D54" s="236" t="s">
        <v>139</v>
      </c>
      <c r="E54" s="236" t="s">
        <v>140</v>
      </c>
      <c r="F54" s="236" t="s">
        <v>144</v>
      </c>
      <c r="G54" s="236" t="s">
        <v>763</v>
      </c>
      <c r="H54" s="236" t="s">
        <v>142</v>
      </c>
      <c r="I54" s="237"/>
      <c r="J54" s="237">
        <v>975</v>
      </c>
      <c r="K54" s="236" t="s">
        <v>764</v>
      </c>
      <c r="L54" s="176">
        <f>I54+J54*EERR!$D$2</f>
        <v>581880</v>
      </c>
      <c r="M54" s="112">
        <f>L54/EERR!$D$2</f>
        <v>975.00000000000011</v>
      </c>
      <c r="N54" s="112">
        <f>SUMIF(Feb!$B$3:$B$101,A54,Feb!$T$3:$T$101)</f>
        <v>698256</v>
      </c>
    </row>
    <row r="55" spans="1:14" x14ac:dyDescent="0.3">
      <c r="A55" s="234">
        <v>37019</v>
      </c>
      <c r="B55" s="235" t="s">
        <v>765</v>
      </c>
      <c r="C55" s="236" t="s">
        <v>329</v>
      </c>
      <c r="D55" s="236" t="s">
        <v>139</v>
      </c>
      <c r="E55" s="236" t="s">
        <v>143</v>
      </c>
      <c r="F55" s="236" t="s">
        <v>141</v>
      </c>
      <c r="G55" s="236" t="s">
        <v>541</v>
      </c>
      <c r="H55" s="236" t="s">
        <v>143</v>
      </c>
      <c r="I55" s="237">
        <v>292740</v>
      </c>
      <c r="J55" s="237"/>
      <c r="K55" s="236" t="s">
        <v>766</v>
      </c>
      <c r="L55" s="176">
        <f>I55+J55*EERR!$D$2</f>
        <v>292740</v>
      </c>
      <c r="M55" s="112">
        <f>L55/EERR!$D$2</f>
        <v>490.51608579088474</v>
      </c>
      <c r="N55" s="112">
        <f>SUMIF(Feb!$B$3:$B$101,A55,Feb!$T$3:$T$101)</f>
        <v>440085</v>
      </c>
    </row>
    <row r="56" spans="1:14" x14ac:dyDescent="0.3">
      <c r="A56" s="234">
        <v>29500</v>
      </c>
      <c r="B56" s="235" t="s">
        <v>767</v>
      </c>
      <c r="C56" s="236" t="s">
        <v>330</v>
      </c>
      <c r="D56" s="236" t="s">
        <v>139</v>
      </c>
      <c r="E56" s="236" t="s">
        <v>140</v>
      </c>
      <c r="F56" s="236" t="s">
        <v>144</v>
      </c>
      <c r="G56" s="236" t="s">
        <v>659</v>
      </c>
      <c r="H56" s="236" t="s">
        <v>142</v>
      </c>
      <c r="I56" s="237"/>
      <c r="J56" s="237">
        <v>205</v>
      </c>
      <c r="K56" s="236" t="s">
        <v>768</v>
      </c>
      <c r="L56" s="176">
        <f>I56+J56*EERR!$D$2</f>
        <v>122343.99999999999</v>
      </c>
      <c r="M56" s="112">
        <f>L56/EERR!$D$2</f>
        <v>205</v>
      </c>
      <c r="N56" s="112">
        <f>SUMIF(Feb!$B$3:$B$101,A56,Feb!$T$3:$T$101)</f>
        <v>244687.99999999997</v>
      </c>
    </row>
    <row r="57" spans="1:14" x14ac:dyDescent="0.3">
      <c r="A57" s="234">
        <v>77003</v>
      </c>
      <c r="B57" s="235" t="s">
        <v>769</v>
      </c>
      <c r="C57" s="236" t="s">
        <v>330</v>
      </c>
      <c r="D57" s="236" t="s">
        <v>139</v>
      </c>
      <c r="E57" s="236" t="s">
        <v>140</v>
      </c>
      <c r="F57" s="236" t="s">
        <v>145</v>
      </c>
      <c r="G57" s="236" t="s">
        <v>770</v>
      </c>
      <c r="H57" s="236" t="s">
        <v>142</v>
      </c>
      <c r="I57" s="237"/>
      <c r="J57" s="237">
        <v>1365</v>
      </c>
      <c r="K57" s="236" t="s">
        <v>771</v>
      </c>
      <c r="L57" s="176">
        <f>I57+J57*EERR!$D$2</f>
        <v>814631.99999999988</v>
      </c>
      <c r="M57" s="112">
        <f>L57/EERR!$D$2</f>
        <v>1365</v>
      </c>
      <c r="N57" s="112">
        <f>SUMIF(Feb!$B$3:$B$101,A57,Feb!$T$3:$T$101)</f>
        <v>1629263.9999999998</v>
      </c>
    </row>
    <row r="58" spans="1:14" x14ac:dyDescent="0.3">
      <c r="A58" s="234">
        <v>77003</v>
      </c>
      <c r="B58" s="235" t="s">
        <v>772</v>
      </c>
      <c r="C58" s="236" t="s">
        <v>330</v>
      </c>
      <c r="D58" s="236" t="s">
        <v>139</v>
      </c>
      <c r="E58" s="236" t="s">
        <v>140</v>
      </c>
      <c r="F58" s="236" t="s">
        <v>145</v>
      </c>
      <c r="G58" s="236" t="s">
        <v>773</v>
      </c>
      <c r="H58" s="236" t="s">
        <v>142</v>
      </c>
      <c r="I58" s="237"/>
      <c r="J58" s="237">
        <v>975</v>
      </c>
      <c r="K58" s="236" t="s">
        <v>774</v>
      </c>
      <c r="L58" s="176">
        <f>I58+J58*EERR!$D$2</f>
        <v>581880</v>
      </c>
      <c r="M58" s="112">
        <f>L58/EERR!$D$2</f>
        <v>975.00000000000011</v>
      </c>
      <c r="N58" s="112">
        <f>SUMIF(Feb!$B$3:$B$101,A58,Feb!$T$3:$T$101)</f>
        <v>1629263.9999999998</v>
      </c>
    </row>
    <row r="59" spans="1:14" x14ac:dyDescent="0.3">
      <c r="A59" s="234">
        <v>6187</v>
      </c>
      <c r="B59" s="235" t="s">
        <v>775</v>
      </c>
      <c r="C59" s="236" t="s">
        <v>329</v>
      </c>
      <c r="D59" s="236" t="s">
        <v>139</v>
      </c>
      <c r="E59" s="236" t="s">
        <v>143</v>
      </c>
      <c r="F59" s="236" t="s">
        <v>145</v>
      </c>
      <c r="G59" s="236" t="s">
        <v>776</v>
      </c>
      <c r="H59" s="236" t="s">
        <v>143</v>
      </c>
      <c r="I59" s="237">
        <v>12000</v>
      </c>
      <c r="J59" s="237"/>
      <c r="K59" s="236" t="s">
        <v>777</v>
      </c>
      <c r="L59" s="176">
        <f>I59+J59*EERR!$D$2</f>
        <v>12000</v>
      </c>
      <c r="M59" s="112">
        <f>L59/EERR!$D$2</f>
        <v>20.107238605898125</v>
      </c>
      <c r="N59" s="112">
        <f>SUMIF(Feb!$B$3:$B$101,A59,Feb!$T$3:$T$101)</f>
        <v>611720</v>
      </c>
    </row>
    <row r="60" spans="1:14" x14ac:dyDescent="0.3">
      <c r="A60" s="234">
        <v>59576</v>
      </c>
      <c r="B60" s="235" t="s">
        <v>778</v>
      </c>
      <c r="C60" s="236" t="s">
        <v>330</v>
      </c>
      <c r="D60" s="236" t="s">
        <v>139</v>
      </c>
      <c r="E60" s="236" t="s">
        <v>140</v>
      </c>
      <c r="F60" s="236" t="s">
        <v>144</v>
      </c>
      <c r="G60" s="236" t="s">
        <v>779</v>
      </c>
      <c r="H60" s="236" t="s">
        <v>142</v>
      </c>
      <c r="I60" s="237"/>
      <c r="J60" s="237">
        <v>410</v>
      </c>
      <c r="K60" s="236" t="s">
        <v>780</v>
      </c>
      <c r="L60" s="176">
        <f>I60+J60*EERR!$D$2</f>
        <v>244687.99999999997</v>
      </c>
      <c r="M60" s="112">
        <f>L60/EERR!$D$2</f>
        <v>410</v>
      </c>
      <c r="N60" s="112">
        <f>SUMIF(Feb!$B$3:$B$101,A60,Feb!$T$3:$T$101)</f>
        <v>244687.99999999997</v>
      </c>
    </row>
    <row r="61" spans="1:14" x14ac:dyDescent="0.3">
      <c r="A61" s="234">
        <v>86794</v>
      </c>
      <c r="B61" s="235" t="s">
        <v>781</v>
      </c>
      <c r="C61" s="236" t="s">
        <v>330</v>
      </c>
      <c r="D61" s="236" t="s">
        <v>139</v>
      </c>
      <c r="E61" s="236" t="s">
        <v>140</v>
      </c>
      <c r="F61" s="236" t="s">
        <v>145</v>
      </c>
      <c r="G61" s="236" t="s">
        <v>782</v>
      </c>
      <c r="H61" s="236" t="s">
        <v>142</v>
      </c>
      <c r="I61" s="237"/>
      <c r="J61" s="237">
        <v>205</v>
      </c>
      <c r="K61" s="236" t="s">
        <v>783</v>
      </c>
      <c r="L61" s="176">
        <f>I61+J61*EERR!$D$2</f>
        <v>122343.99999999999</v>
      </c>
      <c r="M61" s="112">
        <f>L61/EERR!$D$2</f>
        <v>205</v>
      </c>
      <c r="N61" s="112">
        <f>SUMIF(Feb!$B$3:$B$101,A61,Feb!$T$3:$T$101)</f>
        <v>0</v>
      </c>
    </row>
    <row r="62" spans="1:14" x14ac:dyDescent="0.3">
      <c r="A62" s="234">
        <v>72959</v>
      </c>
      <c r="B62" s="235" t="s">
        <v>784</v>
      </c>
      <c r="C62" s="236" t="s">
        <v>330</v>
      </c>
      <c r="D62" s="236" t="s">
        <v>139</v>
      </c>
      <c r="E62" s="236" t="s">
        <v>140</v>
      </c>
      <c r="F62" s="236" t="s">
        <v>145</v>
      </c>
      <c r="G62" s="236" t="s">
        <v>785</v>
      </c>
      <c r="H62" s="236" t="s">
        <v>142</v>
      </c>
      <c r="I62" s="237"/>
      <c r="J62" s="237">
        <v>370.5</v>
      </c>
      <c r="K62" s="236" t="s">
        <v>786</v>
      </c>
      <c r="L62" s="176">
        <f>I62+J62*EERR!$D$2</f>
        <v>221114.4</v>
      </c>
      <c r="M62" s="112">
        <f>L62/EERR!$D$2</f>
        <v>370.5</v>
      </c>
      <c r="N62" s="112">
        <f>SUMIF(Feb!$B$3:$B$101,A62,Feb!$T$3:$T$101)</f>
        <v>0</v>
      </c>
    </row>
    <row r="63" spans="1:14" x14ac:dyDescent="0.3">
      <c r="A63" s="234">
        <v>84231</v>
      </c>
      <c r="B63" s="235" t="s">
        <v>787</v>
      </c>
      <c r="C63" s="236" t="s">
        <v>330</v>
      </c>
      <c r="D63" s="236" t="s">
        <v>139</v>
      </c>
      <c r="E63" s="236" t="s">
        <v>140</v>
      </c>
      <c r="F63" s="236" t="s">
        <v>145</v>
      </c>
      <c r="G63" s="236" t="s">
        <v>788</v>
      </c>
      <c r="H63" s="236" t="s">
        <v>142</v>
      </c>
      <c r="I63" s="237"/>
      <c r="J63" s="237">
        <v>205</v>
      </c>
      <c r="K63" s="236" t="s">
        <v>789</v>
      </c>
      <c r="L63" s="176">
        <f>I63+J63*EERR!$D$2</f>
        <v>122343.99999999999</v>
      </c>
      <c r="M63" s="112">
        <f>L63/EERR!$D$2</f>
        <v>205</v>
      </c>
      <c r="N63" s="112">
        <f>SUMIF(Feb!$B$3:$B$101,A63,Feb!$T$3:$T$101)</f>
        <v>0</v>
      </c>
    </row>
    <row r="64" spans="1:14" x14ac:dyDescent="0.3">
      <c r="A64" s="234">
        <v>53187</v>
      </c>
      <c r="B64" s="235" t="s">
        <v>790</v>
      </c>
      <c r="C64" s="236" t="s">
        <v>330</v>
      </c>
      <c r="D64" s="236" t="s">
        <v>139</v>
      </c>
      <c r="E64" s="236" t="s">
        <v>140</v>
      </c>
      <c r="F64" s="236" t="s">
        <v>145</v>
      </c>
      <c r="G64" s="236" t="s">
        <v>791</v>
      </c>
      <c r="H64" s="236" t="s">
        <v>142</v>
      </c>
      <c r="I64" s="237"/>
      <c r="J64" s="237">
        <v>184.5</v>
      </c>
      <c r="K64" s="236" t="s">
        <v>792</v>
      </c>
      <c r="L64" s="176">
        <f>I64+J64*EERR!$D$2</f>
        <v>110109.59999999999</v>
      </c>
      <c r="M64" s="112">
        <f>L64/EERR!$D$2</f>
        <v>184.5</v>
      </c>
      <c r="N64" s="112">
        <f>SUMIF(Feb!$B$3:$B$101,A64,Feb!$T$3:$T$101)</f>
        <v>0</v>
      </c>
    </row>
    <row r="65" spans="1:14" x14ac:dyDescent="0.3">
      <c r="A65" s="234">
        <v>22895</v>
      </c>
      <c r="B65" s="235" t="s">
        <v>793</v>
      </c>
      <c r="C65" s="236" t="s">
        <v>330</v>
      </c>
      <c r="D65" s="236" t="s">
        <v>139</v>
      </c>
      <c r="E65" s="236" t="s">
        <v>140</v>
      </c>
      <c r="F65" s="236" t="s">
        <v>145</v>
      </c>
      <c r="G65" s="236" t="s">
        <v>794</v>
      </c>
      <c r="H65" s="236" t="s">
        <v>142</v>
      </c>
      <c r="I65" s="237"/>
      <c r="J65" s="237">
        <v>205</v>
      </c>
      <c r="K65" s="236" t="s">
        <v>795</v>
      </c>
      <c r="L65" s="176">
        <f>I65+J65*EERR!$D$2</f>
        <v>122343.99999999999</v>
      </c>
      <c r="M65" s="112">
        <f>L65/EERR!$D$2</f>
        <v>205</v>
      </c>
      <c r="N65" s="112">
        <f>SUMIF(Feb!$B$3:$B$101,A65,Feb!$T$3:$T$101)</f>
        <v>0</v>
      </c>
    </row>
    <row r="66" spans="1:14" x14ac:dyDescent="0.3">
      <c r="A66" s="234">
        <v>64878</v>
      </c>
      <c r="B66" s="235" t="s">
        <v>796</v>
      </c>
      <c r="C66" s="236" t="s">
        <v>330</v>
      </c>
      <c r="D66" s="236" t="s">
        <v>139</v>
      </c>
      <c r="E66" s="236" t="s">
        <v>140</v>
      </c>
      <c r="F66" s="236" t="s">
        <v>144</v>
      </c>
      <c r="G66" s="236" t="s">
        <v>797</v>
      </c>
      <c r="H66" s="236" t="s">
        <v>142</v>
      </c>
      <c r="I66" s="237"/>
      <c r="J66" s="237">
        <v>195</v>
      </c>
      <c r="K66" s="236" t="s">
        <v>798</v>
      </c>
      <c r="L66" s="176">
        <f>I66+J66*EERR!$D$2</f>
        <v>116375.99999999999</v>
      </c>
      <c r="M66" s="112">
        <f>L66/EERR!$D$2</f>
        <v>195</v>
      </c>
      <c r="N66" s="112">
        <f>SUMIF(Feb!$B$3:$B$101,A66,Feb!$T$3:$T$101)</f>
        <v>0</v>
      </c>
    </row>
    <row r="67" spans="1:14" x14ac:dyDescent="0.3">
      <c r="A67" s="234">
        <v>19107</v>
      </c>
      <c r="B67" s="235" t="s">
        <v>799</v>
      </c>
      <c r="C67" s="236" t="s">
        <v>329</v>
      </c>
      <c r="D67" s="236" t="s">
        <v>139</v>
      </c>
      <c r="E67" s="236" t="s">
        <v>143</v>
      </c>
      <c r="F67" s="236" t="s">
        <v>144</v>
      </c>
      <c r="G67" s="236" t="s">
        <v>800</v>
      </c>
      <c r="H67" s="236" t="s">
        <v>143</v>
      </c>
      <c r="I67" s="237">
        <v>580601</v>
      </c>
      <c r="J67" s="237"/>
      <c r="K67" s="236" t="s">
        <v>801</v>
      </c>
      <c r="L67" s="176">
        <f>I67+J67*EERR!$D$2</f>
        <v>580601</v>
      </c>
      <c r="M67" s="112">
        <f>L67/EERR!$D$2</f>
        <v>972.85690348525475</v>
      </c>
      <c r="N67" s="112">
        <f>SUMIF(Feb!$B$3:$B$101,A67,Feb!$T$3:$T$101)</f>
        <v>0</v>
      </c>
    </row>
    <row r="68" spans="1:14" x14ac:dyDescent="0.3">
      <c r="A68" s="234">
        <v>48987</v>
      </c>
      <c r="B68" s="235" t="s">
        <v>802</v>
      </c>
      <c r="C68" s="236" t="s">
        <v>330</v>
      </c>
      <c r="D68" s="236" t="s">
        <v>139</v>
      </c>
      <c r="E68" s="236" t="s">
        <v>140</v>
      </c>
      <c r="F68" s="236" t="s">
        <v>144</v>
      </c>
      <c r="G68" s="236" t="s">
        <v>803</v>
      </c>
      <c r="H68" s="236" t="s">
        <v>142</v>
      </c>
      <c r="I68" s="237"/>
      <c r="J68" s="237">
        <v>205</v>
      </c>
      <c r="K68" s="236" t="s">
        <v>804</v>
      </c>
      <c r="L68" s="176">
        <f>I68+J68*EERR!$D$2</f>
        <v>122343.99999999999</v>
      </c>
      <c r="M68" s="112">
        <f>L68/EERR!$D$2</f>
        <v>205</v>
      </c>
      <c r="N68" s="112">
        <f>SUMIF(Feb!$B$3:$B$101,A68,Feb!$T$3:$T$101)</f>
        <v>0</v>
      </c>
    </row>
    <row r="69" spans="1:14" x14ac:dyDescent="0.3">
      <c r="A69" s="234">
        <v>358</v>
      </c>
      <c r="B69" s="235" t="s">
        <v>805</v>
      </c>
      <c r="C69" s="236" t="s">
        <v>330</v>
      </c>
      <c r="D69" s="236" t="s">
        <v>139</v>
      </c>
      <c r="E69" s="236" t="s">
        <v>140</v>
      </c>
      <c r="F69" s="236" t="s">
        <v>145</v>
      </c>
      <c r="G69" s="236" t="s">
        <v>806</v>
      </c>
      <c r="H69" s="236" t="s">
        <v>142</v>
      </c>
      <c r="I69" s="237"/>
      <c r="J69" s="237">
        <v>184.5</v>
      </c>
      <c r="K69" s="236" t="s">
        <v>807</v>
      </c>
      <c r="L69" s="176">
        <f>I69+J69*EERR!$D$2</f>
        <v>110109.59999999999</v>
      </c>
      <c r="M69" s="112">
        <f>L69/EERR!$D$2</f>
        <v>184.5</v>
      </c>
      <c r="N69" s="112">
        <f>SUMIF(Feb!$B$3:$B$101,A69,Feb!$T$3:$T$101)</f>
        <v>0</v>
      </c>
    </row>
    <row r="70" spans="1:14" x14ac:dyDescent="0.3">
      <c r="A70" s="234">
        <v>37732</v>
      </c>
      <c r="B70" s="235" t="s">
        <v>808</v>
      </c>
      <c r="C70" s="236" t="s">
        <v>329</v>
      </c>
      <c r="D70" s="236" t="s">
        <v>139</v>
      </c>
      <c r="E70" s="236" t="s">
        <v>143</v>
      </c>
      <c r="F70" s="236" t="s">
        <v>145</v>
      </c>
      <c r="G70" s="236" t="s">
        <v>809</v>
      </c>
      <c r="H70" s="236" t="s">
        <v>143</v>
      </c>
      <c r="I70" s="237">
        <v>145150</v>
      </c>
      <c r="J70" s="237"/>
      <c r="K70" s="236" t="s">
        <v>810</v>
      </c>
      <c r="L70" s="176">
        <f>I70+J70*EERR!$D$2</f>
        <v>145150</v>
      </c>
      <c r="M70" s="112">
        <f>L70/EERR!$D$2</f>
        <v>243.21380697050941</v>
      </c>
      <c r="N70" s="112">
        <f>SUMIF(Feb!$B$3:$B$101,A70,Feb!$T$3:$T$101)</f>
        <v>0</v>
      </c>
    </row>
    <row r="71" spans="1:14" x14ac:dyDescent="0.3">
      <c r="A71" s="234">
        <v>67939</v>
      </c>
      <c r="B71" s="235" t="s">
        <v>811</v>
      </c>
      <c r="C71" s="236" t="s">
        <v>330</v>
      </c>
      <c r="D71" s="236" t="s">
        <v>139</v>
      </c>
      <c r="E71" s="236" t="s">
        <v>140</v>
      </c>
      <c r="F71" s="236" t="s">
        <v>145</v>
      </c>
      <c r="G71" s="236" t="s">
        <v>574</v>
      </c>
      <c r="H71" s="236" t="s">
        <v>142</v>
      </c>
      <c r="I71" s="237"/>
      <c r="J71" s="237">
        <v>1365</v>
      </c>
      <c r="K71" s="236" t="s">
        <v>812</v>
      </c>
      <c r="L71" s="176">
        <f>I71+J71*EERR!$D$2</f>
        <v>814631.99999999988</v>
      </c>
      <c r="M71" s="112">
        <f>L71/EERR!$D$2</f>
        <v>1365</v>
      </c>
      <c r="N71" s="112">
        <f>SUMIF(Feb!$B$3:$B$101,A71,Feb!$T$3:$T$101)</f>
        <v>931007.99999999988</v>
      </c>
    </row>
    <row r="72" spans="1:14" x14ac:dyDescent="0.3">
      <c r="A72" s="234">
        <v>30483</v>
      </c>
      <c r="B72" s="235" t="s">
        <v>813</v>
      </c>
      <c r="C72" s="236" t="s">
        <v>330</v>
      </c>
      <c r="D72" s="236" t="s">
        <v>139</v>
      </c>
      <c r="E72" s="236" t="s">
        <v>140</v>
      </c>
      <c r="F72" s="236" t="s">
        <v>144</v>
      </c>
      <c r="G72" s="236" t="s">
        <v>566</v>
      </c>
      <c r="H72" s="236" t="s">
        <v>142</v>
      </c>
      <c r="I72" s="237"/>
      <c r="J72" s="237">
        <v>205</v>
      </c>
      <c r="K72" s="236" t="s">
        <v>814</v>
      </c>
      <c r="L72" s="176">
        <f>I72+J72*EERR!$D$2</f>
        <v>122343.99999999999</v>
      </c>
      <c r="M72" s="112">
        <f>L72/EERR!$D$2</f>
        <v>205</v>
      </c>
      <c r="N72" s="112">
        <f>SUMIF(Feb!$B$3:$B$101,A72,Feb!$T$3:$T$101)</f>
        <v>122343.99999999999</v>
      </c>
    </row>
    <row r="73" spans="1:14" x14ac:dyDescent="0.3">
      <c r="A73" s="234">
        <v>59576</v>
      </c>
      <c r="B73" s="235" t="s">
        <v>815</v>
      </c>
      <c r="C73" s="236" t="s">
        <v>330</v>
      </c>
      <c r="D73" s="236" t="s">
        <v>139</v>
      </c>
      <c r="E73" s="236" t="s">
        <v>140</v>
      </c>
      <c r="F73" s="236" t="s">
        <v>144</v>
      </c>
      <c r="G73" s="236" t="s">
        <v>779</v>
      </c>
      <c r="H73" s="236" t="s">
        <v>142</v>
      </c>
      <c r="I73" s="237"/>
      <c r="J73" s="237">
        <v>184.5</v>
      </c>
      <c r="K73" s="236" t="s">
        <v>816</v>
      </c>
      <c r="L73" s="176">
        <f>I73+J73*EERR!$D$2</f>
        <v>110109.59999999999</v>
      </c>
      <c r="M73" s="112">
        <f>L73/EERR!$D$2</f>
        <v>184.5</v>
      </c>
      <c r="N73" s="112">
        <f>SUMIF(Feb!$B$3:$B$101,A73,Feb!$T$3:$T$101)</f>
        <v>244687.99999999997</v>
      </c>
    </row>
    <row r="74" spans="1:14" x14ac:dyDescent="0.3">
      <c r="A74" s="234">
        <v>59576</v>
      </c>
      <c r="B74" s="235" t="s">
        <v>815</v>
      </c>
      <c r="C74" s="236" t="s">
        <v>330</v>
      </c>
      <c r="D74" s="236" t="s">
        <v>139</v>
      </c>
      <c r="E74" s="236" t="s">
        <v>331</v>
      </c>
      <c r="F74" s="236" t="s">
        <v>144</v>
      </c>
      <c r="G74" s="236" t="s">
        <v>779</v>
      </c>
      <c r="H74" s="236" t="s">
        <v>142</v>
      </c>
      <c r="I74" s="237"/>
      <c r="J74" s="237">
        <v>-184.5</v>
      </c>
      <c r="K74" s="236" t="s">
        <v>816</v>
      </c>
      <c r="L74" s="176">
        <f>I74+J74*EERR!$D$2</f>
        <v>-110109.59999999999</v>
      </c>
      <c r="M74" s="112">
        <f>L74/EERR!$D$2</f>
        <v>-184.5</v>
      </c>
      <c r="N74" s="112">
        <f>SUMIF(Feb!$B$3:$B$101,A74,Feb!$T$3:$T$101)</f>
        <v>244687.99999999997</v>
      </c>
    </row>
    <row r="75" spans="1:14" x14ac:dyDescent="0.3">
      <c r="A75" s="234">
        <v>14669</v>
      </c>
      <c r="B75" s="235" t="s">
        <v>817</v>
      </c>
      <c r="C75" s="236" t="s">
        <v>330</v>
      </c>
      <c r="D75" s="236" t="s">
        <v>139</v>
      </c>
      <c r="E75" s="236" t="s">
        <v>140</v>
      </c>
      <c r="F75" s="236" t="s">
        <v>141</v>
      </c>
      <c r="G75" s="236" t="s">
        <v>818</v>
      </c>
      <c r="H75" s="236" t="s">
        <v>142</v>
      </c>
      <c r="I75" s="237"/>
      <c r="J75" s="237">
        <v>195.75</v>
      </c>
      <c r="K75" s="236" t="s">
        <v>819</v>
      </c>
      <c r="L75" s="176">
        <f>I75+J75*EERR!$D$2</f>
        <v>116823.59999999999</v>
      </c>
      <c r="M75" s="112">
        <f>L75/EERR!$D$2</f>
        <v>195.75</v>
      </c>
      <c r="N75" s="112">
        <f>SUMIF(Feb!$B$3:$B$101,A75,Feb!$T$3:$T$101)</f>
        <v>116226.79999999999</v>
      </c>
    </row>
    <row r="76" spans="1:14" x14ac:dyDescent="0.3">
      <c r="A76" s="234">
        <v>14669</v>
      </c>
      <c r="B76" s="235" t="s">
        <v>817</v>
      </c>
      <c r="C76" s="236" t="s">
        <v>330</v>
      </c>
      <c r="D76" s="236" t="s">
        <v>139</v>
      </c>
      <c r="E76" s="236" t="s">
        <v>331</v>
      </c>
      <c r="F76" s="236" t="s">
        <v>141</v>
      </c>
      <c r="G76" s="236" t="s">
        <v>818</v>
      </c>
      <c r="H76" s="236" t="s">
        <v>142</v>
      </c>
      <c r="I76" s="237"/>
      <c r="J76" s="237">
        <v>-195.75</v>
      </c>
      <c r="K76" s="236" t="s">
        <v>819</v>
      </c>
      <c r="L76" s="176">
        <f>I76+J76*EERR!$D$2</f>
        <v>-116823.59999999999</v>
      </c>
      <c r="M76" s="112">
        <f>L76/EERR!$D$2</f>
        <v>-195.75</v>
      </c>
      <c r="N76" s="112">
        <f>SUMIF(Feb!$B$3:$B$101,A76,Feb!$T$3:$T$101)</f>
        <v>116226.79999999999</v>
      </c>
    </row>
    <row r="77" spans="1:14" x14ac:dyDescent="0.3">
      <c r="A77" s="234">
        <v>14669</v>
      </c>
      <c r="B77" s="235" t="s">
        <v>820</v>
      </c>
      <c r="C77" s="236" t="s">
        <v>330</v>
      </c>
      <c r="D77" s="236" t="s">
        <v>139</v>
      </c>
      <c r="E77" s="236" t="s">
        <v>140</v>
      </c>
      <c r="F77" s="236" t="s">
        <v>141</v>
      </c>
      <c r="G77" s="236" t="s">
        <v>818</v>
      </c>
      <c r="H77" s="236" t="s">
        <v>142</v>
      </c>
      <c r="I77" s="237"/>
      <c r="J77" s="237">
        <v>194.75</v>
      </c>
      <c r="K77" s="236" t="s">
        <v>371</v>
      </c>
      <c r="L77" s="176">
        <f>I77+J77*EERR!$D$2</f>
        <v>116226.79999999999</v>
      </c>
      <c r="M77" s="112">
        <f>L77/EERR!$D$2</f>
        <v>194.75</v>
      </c>
      <c r="N77" s="112">
        <f>SUMIF(Feb!$B$3:$B$101,A77,Feb!$T$3:$T$101)</f>
        <v>116226.79999999999</v>
      </c>
    </row>
    <row r="78" spans="1:14" x14ac:dyDescent="0.3">
      <c r="A78" s="234">
        <v>87649</v>
      </c>
      <c r="B78" s="235" t="s">
        <v>821</v>
      </c>
      <c r="C78" s="236" t="s">
        <v>330</v>
      </c>
      <c r="D78" s="236" t="s">
        <v>139</v>
      </c>
      <c r="E78" s="236" t="s">
        <v>140</v>
      </c>
      <c r="F78" s="236" t="s">
        <v>144</v>
      </c>
      <c r="G78" s="236" t="s">
        <v>822</v>
      </c>
      <c r="H78" s="236" t="s">
        <v>142</v>
      </c>
      <c r="I78" s="237"/>
      <c r="J78" s="237">
        <v>369</v>
      </c>
      <c r="K78" s="236" t="s">
        <v>823</v>
      </c>
      <c r="L78" s="176">
        <f>I78+J78*EERR!$D$2</f>
        <v>220219.19999999998</v>
      </c>
      <c r="M78" s="112">
        <f>L78/EERR!$D$2</f>
        <v>369</v>
      </c>
      <c r="N78" s="112">
        <f>SUMIF(Feb!$B$3:$B$101,A78,Feb!$T$3:$T$101)</f>
        <v>220219.19999999998</v>
      </c>
    </row>
    <row r="79" spans="1:14" x14ac:dyDescent="0.3">
      <c r="A79" s="234">
        <v>59576</v>
      </c>
      <c r="B79" s="235" t="s">
        <v>824</v>
      </c>
      <c r="C79" s="236" t="s">
        <v>330</v>
      </c>
      <c r="D79" s="236" t="s">
        <v>139</v>
      </c>
      <c r="E79" s="236" t="s">
        <v>140</v>
      </c>
      <c r="F79" s="236" t="s">
        <v>144</v>
      </c>
      <c r="G79" s="236" t="s">
        <v>779</v>
      </c>
      <c r="H79" s="236" t="s">
        <v>142</v>
      </c>
      <c r="I79" s="237"/>
      <c r="J79" s="237">
        <v>5</v>
      </c>
      <c r="K79" s="236" t="s">
        <v>825</v>
      </c>
      <c r="L79" s="176">
        <f>I79+J79*EERR!$D$2</f>
        <v>2984</v>
      </c>
      <c r="M79" s="112">
        <f>L79/EERR!$D$2</f>
        <v>5</v>
      </c>
      <c r="N79" s="112">
        <f>SUMIF(Feb!$B$3:$B$101,A79,Feb!$T$3:$T$101)</f>
        <v>244687.99999999997</v>
      </c>
    </row>
    <row r="80" spans="1:14" x14ac:dyDescent="0.3">
      <c r="A80" s="234">
        <v>60011</v>
      </c>
      <c r="B80" s="235" t="s">
        <v>826</v>
      </c>
      <c r="C80" s="236" t="s">
        <v>330</v>
      </c>
      <c r="D80" s="236" t="s">
        <v>139</v>
      </c>
      <c r="E80" s="236" t="s">
        <v>140</v>
      </c>
      <c r="F80" s="236" t="s">
        <v>144</v>
      </c>
      <c r="G80" s="236" t="s">
        <v>779</v>
      </c>
      <c r="H80" s="236" t="s">
        <v>142</v>
      </c>
      <c r="I80" s="237"/>
      <c r="J80" s="237">
        <v>184.5</v>
      </c>
      <c r="K80" s="236" t="s">
        <v>827</v>
      </c>
      <c r="L80" s="176">
        <f>I80+J80*EERR!$D$2</f>
        <v>110109.59999999999</v>
      </c>
      <c r="M80" s="112">
        <f>L80/EERR!$D$2</f>
        <v>184.5</v>
      </c>
      <c r="N80" s="112">
        <f>SUMIF(Feb!$B$3:$B$101,A80,Feb!$T$3:$T$101)</f>
        <v>110109.59999999999</v>
      </c>
    </row>
    <row r="81" spans="1:14" x14ac:dyDescent="0.3">
      <c r="A81" s="234">
        <v>4810</v>
      </c>
      <c r="B81" s="235" t="s">
        <v>828</v>
      </c>
      <c r="C81" s="236" t="s">
        <v>330</v>
      </c>
      <c r="D81" s="236" t="s">
        <v>139</v>
      </c>
      <c r="E81" s="236" t="s">
        <v>140</v>
      </c>
      <c r="F81" s="236" t="s">
        <v>144</v>
      </c>
      <c r="G81" s="236" t="s">
        <v>829</v>
      </c>
      <c r="H81" s="236" t="s">
        <v>142</v>
      </c>
      <c r="I81" s="237"/>
      <c r="J81" s="237">
        <v>175.5</v>
      </c>
      <c r="K81" s="236" t="s">
        <v>830</v>
      </c>
      <c r="L81" s="176">
        <f>I81+J81*EERR!$D$2</f>
        <v>104738.4</v>
      </c>
      <c r="M81" s="112">
        <f>L81/EERR!$D$2</f>
        <v>175.5</v>
      </c>
      <c r="N81" s="112">
        <f>SUMIF(Feb!$B$3:$B$101,A81,Feb!$T$3:$T$101)</f>
        <v>0</v>
      </c>
    </row>
    <row r="82" spans="1:14" x14ac:dyDescent="0.3">
      <c r="A82" s="234">
        <v>85842</v>
      </c>
      <c r="B82" s="235" t="s">
        <v>831</v>
      </c>
      <c r="C82" s="236" t="s">
        <v>330</v>
      </c>
      <c r="D82" s="236" t="s">
        <v>139</v>
      </c>
      <c r="E82" s="236" t="s">
        <v>140</v>
      </c>
      <c r="F82" s="236" t="s">
        <v>145</v>
      </c>
      <c r="G82" s="236" t="s">
        <v>832</v>
      </c>
      <c r="H82" s="236" t="s">
        <v>142</v>
      </c>
      <c r="I82" s="237"/>
      <c r="J82" s="237">
        <v>175.5</v>
      </c>
      <c r="K82" s="236" t="s">
        <v>833</v>
      </c>
      <c r="L82" s="176">
        <f>I82+J82*EERR!$D$2</f>
        <v>104738.4</v>
      </c>
      <c r="M82" s="112">
        <f>L82/EERR!$D$2</f>
        <v>175.5</v>
      </c>
      <c r="N82" s="112">
        <f>SUMIF(Feb!$B$3:$B$101,A82,Feb!$T$3:$T$101)</f>
        <v>0</v>
      </c>
    </row>
    <row r="83" spans="1:14" x14ac:dyDescent="0.3">
      <c r="A83" s="234">
        <v>87712</v>
      </c>
      <c r="B83" s="235" t="s">
        <v>834</v>
      </c>
      <c r="C83" s="236" t="s">
        <v>329</v>
      </c>
      <c r="D83" s="236" t="s">
        <v>139</v>
      </c>
      <c r="E83" s="236" t="s">
        <v>143</v>
      </c>
      <c r="F83" s="236" t="s">
        <v>141</v>
      </c>
      <c r="G83" s="236" t="s">
        <v>835</v>
      </c>
      <c r="H83" s="236" t="s">
        <v>143</v>
      </c>
      <c r="I83" s="237">
        <v>130635</v>
      </c>
      <c r="J83" s="237"/>
      <c r="K83" s="236" t="s">
        <v>836</v>
      </c>
      <c r="L83" s="176">
        <f>I83+J83*EERR!$D$2</f>
        <v>130635</v>
      </c>
      <c r="M83" s="112">
        <f>L83/EERR!$D$2</f>
        <v>218.89242627345845</v>
      </c>
      <c r="N83" s="112">
        <f>SUMIF(Feb!$B$3:$B$101,A83,Feb!$T$3:$T$101)</f>
        <v>0</v>
      </c>
    </row>
    <row r="84" spans="1:14" x14ac:dyDescent="0.3">
      <c r="A84" s="234">
        <v>64740</v>
      </c>
      <c r="B84" s="235" t="s">
        <v>837</v>
      </c>
      <c r="C84" s="236" t="s">
        <v>329</v>
      </c>
      <c r="D84" s="236" t="s">
        <v>139</v>
      </c>
      <c r="E84" s="236" t="s">
        <v>143</v>
      </c>
      <c r="F84" s="236" t="s">
        <v>144</v>
      </c>
      <c r="G84" s="236" t="s">
        <v>838</v>
      </c>
      <c r="H84" s="236" t="s">
        <v>143</v>
      </c>
      <c r="I84" s="237">
        <v>130635</v>
      </c>
      <c r="J84" s="237"/>
      <c r="K84" s="236" t="s">
        <v>839</v>
      </c>
      <c r="L84" s="176">
        <f>I84+J84*EERR!$D$2</f>
        <v>130635</v>
      </c>
      <c r="M84" s="112">
        <f>L84/EERR!$D$2</f>
        <v>218.89242627345845</v>
      </c>
      <c r="N84" s="112">
        <f>SUMIF(Feb!$B$3:$B$101,A84,Feb!$T$3:$T$101)</f>
        <v>330328.8</v>
      </c>
    </row>
    <row r="85" spans="1:14" x14ac:dyDescent="0.3">
      <c r="A85" s="234">
        <v>64740</v>
      </c>
      <c r="B85" s="235" t="s">
        <v>837</v>
      </c>
      <c r="C85" s="236" t="s">
        <v>329</v>
      </c>
      <c r="D85" s="236" t="s">
        <v>139</v>
      </c>
      <c r="E85" s="236" t="s">
        <v>276</v>
      </c>
      <c r="F85" s="236" t="s">
        <v>144</v>
      </c>
      <c r="G85" s="236" t="s">
        <v>838</v>
      </c>
      <c r="H85" s="236" t="s">
        <v>143</v>
      </c>
      <c r="I85" s="237">
        <v>-130635</v>
      </c>
      <c r="J85" s="237"/>
      <c r="K85" s="236" t="s">
        <v>839</v>
      </c>
      <c r="L85" s="176">
        <f>I85+J85*EERR!$D$2</f>
        <v>-130635</v>
      </c>
      <c r="M85" s="112">
        <f>L85/EERR!$D$2</f>
        <v>-218.89242627345845</v>
      </c>
      <c r="N85" s="112">
        <f>SUMIF(Feb!$B$3:$B$101,A85,Feb!$T$3:$T$101)</f>
        <v>330328.8</v>
      </c>
    </row>
    <row r="86" spans="1:14" x14ac:dyDescent="0.3">
      <c r="A86" s="234">
        <v>64740</v>
      </c>
      <c r="B86" s="235" t="s">
        <v>837</v>
      </c>
      <c r="C86" s="236" t="s">
        <v>329</v>
      </c>
      <c r="D86" s="236" t="s">
        <v>139</v>
      </c>
      <c r="E86" s="236" t="s">
        <v>276</v>
      </c>
      <c r="F86" s="236" t="s">
        <v>144</v>
      </c>
      <c r="G86" s="236"/>
      <c r="H86" s="236" t="s">
        <v>143</v>
      </c>
      <c r="I86" s="237">
        <v>0</v>
      </c>
      <c r="J86" s="237"/>
      <c r="K86" s="236" t="s">
        <v>839</v>
      </c>
      <c r="L86" s="176">
        <f>I86+J86*EERR!$D$2</f>
        <v>0</v>
      </c>
      <c r="M86" s="112">
        <f>L86/EERR!$D$2</f>
        <v>0</v>
      </c>
      <c r="N86" s="112">
        <f>SUMIF(Feb!$B$3:$B$101,A86,Feb!$T$3:$T$101)</f>
        <v>330328.8</v>
      </c>
    </row>
    <row r="87" spans="1:14" x14ac:dyDescent="0.3">
      <c r="A87" s="234">
        <v>35100</v>
      </c>
      <c r="B87" s="235" t="s">
        <v>840</v>
      </c>
      <c r="C87" s="236" t="s">
        <v>330</v>
      </c>
      <c r="D87" s="236" t="s">
        <v>139</v>
      </c>
      <c r="E87" s="236" t="s">
        <v>140</v>
      </c>
      <c r="F87" s="236" t="s">
        <v>145</v>
      </c>
      <c r="G87" s="236" t="s">
        <v>841</v>
      </c>
      <c r="H87" s="236" t="s">
        <v>142</v>
      </c>
      <c r="I87" s="237"/>
      <c r="J87" s="237">
        <v>205</v>
      </c>
      <c r="K87" s="236" t="s">
        <v>842</v>
      </c>
      <c r="L87" s="176">
        <f>I87+J87*EERR!$D$2</f>
        <v>122343.99999999999</v>
      </c>
      <c r="M87" s="112">
        <f>L87/EERR!$D$2</f>
        <v>205</v>
      </c>
      <c r="N87" s="112">
        <f>SUMIF(Feb!$B$3:$B$101,A87,Feb!$T$3:$T$101)</f>
        <v>0</v>
      </c>
    </row>
    <row r="88" spans="1:14" x14ac:dyDescent="0.3">
      <c r="A88" s="234">
        <v>70875</v>
      </c>
      <c r="B88" s="235" t="s">
        <v>843</v>
      </c>
      <c r="C88" s="236" t="s">
        <v>330</v>
      </c>
      <c r="D88" s="236" t="s">
        <v>139</v>
      </c>
      <c r="E88" s="236" t="s">
        <v>140</v>
      </c>
      <c r="F88" s="236" t="s">
        <v>145</v>
      </c>
      <c r="G88" s="236" t="s">
        <v>844</v>
      </c>
      <c r="H88" s="236" t="s">
        <v>142</v>
      </c>
      <c r="I88" s="237"/>
      <c r="J88" s="237">
        <v>205</v>
      </c>
      <c r="K88" s="236" t="s">
        <v>845</v>
      </c>
      <c r="L88" s="176">
        <f>I88+J88*EERR!$D$2</f>
        <v>122343.99999999999</v>
      </c>
      <c r="M88" s="112">
        <f>L88/EERR!$D$2</f>
        <v>205</v>
      </c>
      <c r="N88" s="112">
        <f>SUMIF(Feb!$B$3:$B$101,A88,Feb!$T$3:$T$101)</f>
        <v>0</v>
      </c>
    </row>
    <row r="89" spans="1:14" x14ac:dyDescent="0.3">
      <c r="A89" s="234">
        <v>87934</v>
      </c>
      <c r="B89" s="235" t="s">
        <v>846</v>
      </c>
      <c r="C89" s="236" t="s">
        <v>330</v>
      </c>
      <c r="D89" s="236" t="s">
        <v>139</v>
      </c>
      <c r="E89" s="236" t="s">
        <v>140</v>
      </c>
      <c r="F89" s="236" t="s">
        <v>145</v>
      </c>
      <c r="G89" s="236" t="s">
        <v>847</v>
      </c>
      <c r="H89" s="236" t="s">
        <v>142</v>
      </c>
      <c r="I89" s="237"/>
      <c r="J89" s="237">
        <v>205</v>
      </c>
      <c r="K89" s="236" t="s">
        <v>848</v>
      </c>
      <c r="L89" s="176">
        <f>I89+J89*EERR!$D$2</f>
        <v>122343.99999999999</v>
      </c>
      <c r="M89" s="112">
        <f>L89/EERR!$D$2</f>
        <v>205</v>
      </c>
      <c r="N89" s="112">
        <f>SUMIF(Feb!$B$3:$B$101,A89,Feb!$T$3:$T$101)</f>
        <v>0</v>
      </c>
    </row>
    <row r="90" spans="1:14" x14ac:dyDescent="0.3">
      <c r="A90" s="234">
        <v>72040</v>
      </c>
      <c r="B90" s="235" t="s">
        <v>849</v>
      </c>
      <c r="C90" s="236" t="s">
        <v>329</v>
      </c>
      <c r="D90" s="236" t="s">
        <v>139</v>
      </c>
      <c r="E90" s="236" t="s">
        <v>143</v>
      </c>
      <c r="F90" s="236" t="s">
        <v>144</v>
      </c>
      <c r="G90" s="236" t="s">
        <v>850</v>
      </c>
      <c r="H90" s="236" t="s">
        <v>143</v>
      </c>
      <c r="I90" s="237">
        <v>138070</v>
      </c>
      <c r="J90" s="237"/>
      <c r="K90" s="236" t="s">
        <v>851</v>
      </c>
      <c r="L90" s="176">
        <f>I90+J90*EERR!$D$2</f>
        <v>138070</v>
      </c>
      <c r="M90" s="112">
        <f>L90/EERR!$D$2</f>
        <v>231.35053619302951</v>
      </c>
      <c r="N90" s="112">
        <f>SUMIF(Feb!$B$3:$B$101,A90,Feb!$T$3:$T$101)</f>
        <v>0</v>
      </c>
    </row>
    <row r="91" spans="1:14" x14ac:dyDescent="0.3">
      <c r="A91" s="234">
        <v>43298</v>
      </c>
      <c r="B91" s="235" t="s">
        <v>852</v>
      </c>
      <c r="C91" s="236" t="s">
        <v>329</v>
      </c>
      <c r="D91" s="236" t="s">
        <v>139</v>
      </c>
      <c r="E91" s="236" t="s">
        <v>143</v>
      </c>
      <c r="F91" s="236" t="s">
        <v>144</v>
      </c>
      <c r="G91" s="236" t="s">
        <v>853</v>
      </c>
      <c r="H91" s="236" t="s">
        <v>143</v>
      </c>
      <c r="I91" s="237">
        <v>138070</v>
      </c>
      <c r="J91" s="237"/>
      <c r="K91" s="236" t="s">
        <v>854</v>
      </c>
      <c r="L91" s="176">
        <f>I91+J91*EERR!$D$2</f>
        <v>138070</v>
      </c>
      <c r="M91" s="112">
        <f>L91/EERR!$D$2</f>
        <v>231.35053619302951</v>
      </c>
      <c r="N91" s="112">
        <f>SUMIF(Feb!$B$3:$B$101,A91,Feb!$T$3:$T$101)</f>
        <v>0</v>
      </c>
    </row>
    <row r="92" spans="1:14" x14ac:dyDescent="0.3">
      <c r="A92" s="234">
        <v>82467</v>
      </c>
      <c r="B92" s="235" t="s">
        <v>855</v>
      </c>
      <c r="C92" s="236" t="s">
        <v>330</v>
      </c>
      <c r="D92" s="236" t="s">
        <v>139</v>
      </c>
      <c r="E92" s="236" t="s">
        <v>140</v>
      </c>
      <c r="F92" s="236" t="s">
        <v>145</v>
      </c>
      <c r="G92" s="236" t="s">
        <v>856</v>
      </c>
      <c r="H92" s="236" t="s">
        <v>142</v>
      </c>
      <c r="I92" s="237"/>
      <c r="J92" s="237">
        <v>195</v>
      </c>
      <c r="K92" s="236" t="s">
        <v>857</v>
      </c>
      <c r="L92" s="176">
        <f>I92+J92*EERR!$D$2</f>
        <v>116375.99999999999</v>
      </c>
      <c r="M92" s="112">
        <f>L92/EERR!$D$2</f>
        <v>195</v>
      </c>
      <c r="N92" s="112">
        <f>SUMIF(Feb!$B$3:$B$101,A92,Feb!$T$3:$T$101)</f>
        <v>0</v>
      </c>
    </row>
    <row r="93" spans="1:14" x14ac:dyDescent="0.3">
      <c r="A93" s="234">
        <v>78811</v>
      </c>
      <c r="B93" s="235" t="s">
        <v>858</v>
      </c>
      <c r="C93" s="236" t="s">
        <v>330</v>
      </c>
      <c r="D93" s="236" t="s">
        <v>139</v>
      </c>
      <c r="E93" s="236" t="s">
        <v>140</v>
      </c>
      <c r="F93" s="236" t="s">
        <v>145</v>
      </c>
      <c r="G93" s="236" t="s">
        <v>859</v>
      </c>
      <c r="H93" s="236" t="s">
        <v>142</v>
      </c>
      <c r="I93" s="237"/>
      <c r="J93" s="237">
        <v>195</v>
      </c>
      <c r="K93" s="236" t="s">
        <v>860</v>
      </c>
      <c r="L93" s="176">
        <f>I93+J93*EERR!$D$2</f>
        <v>116375.99999999999</v>
      </c>
      <c r="M93" s="112">
        <f>L93/EERR!$D$2</f>
        <v>195</v>
      </c>
      <c r="N93" s="112">
        <f>SUMIF(Feb!$B$3:$B$101,A93,Feb!$T$3:$T$101)</f>
        <v>116375.99999999999</v>
      </c>
    </row>
    <row r="94" spans="1:14" x14ac:dyDescent="0.3">
      <c r="A94" s="234">
        <v>28440</v>
      </c>
      <c r="B94" s="235" t="s">
        <v>861</v>
      </c>
      <c r="C94" s="236" t="s">
        <v>330</v>
      </c>
      <c r="D94" s="236" t="s">
        <v>139</v>
      </c>
      <c r="E94" s="236" t="s">
        <v>140</v>
      </c>
      <c r="F94" s="236" t="s">
        <v>144</v>
      </c>
      <c r="G94" s="236" t="s">
        <v>862</v>
      </c>
      <c r="H94" s="236" t="s">
        <v>142</v>
      </c>
      <c r="I94" s="237"/>
      <c r="J94" s="237">
        <v>184.5</v>
      </c>
      <c r="K94" s="236" t="s">
        <v>863</v>
      </c>
      <c r="L94" s="176">
        <f>I94+J94*EERR!$D$2</f>
        <v>110109.59999999999</v>
      </c>
      <c r="M94" s="112">
        <f>L94/EERR!$D$2</f>
        <v>184.5</v>
      </c>
      <c r="N94" s="112">
        <f>SUMIF(Feb!$B$3:$B$101,A94,Feb!$T$3:$T$101)</f>
        <v>0</v>
      </c>
    </row>
    <row r="95" spans="1:14" x14ac:dyDescent="0.3">
      <c r="A95" s="234">
        <v>97089</v>
      </c>
      <c r="B95" s="235" t="s">
        <v>864</v>
      </c>
      <c r="C95" s="236" t="s">
        <v>330</v>
      </c>
      <c r="D95" s="236" t="s">
        <v>139</v>
      </c>
      <c r="E95" s="236" t="s">
        <v>140</v>
      </c>
      <c r="F95" s="236" t="s">
        <v>145</v>
      </c>
      <c r="G95" s="236" t="s">
        <v>865</v>
      </c>
      <c r="H95" s="236" t="s">
        <v>142</v>
      </c>
      <c r="I95" s="237"/>
      <c r="J95" s="237">
        <v>205</v>
      </c>
      <c r="K95" s="236" t="s">
        <v>866</v>
      </c>
      <c r="L95" s="176">
        <f>I95+J95*EERR!$D$2</f>
        <v>122343.99999999999</v>
      </c>
      <c r="M95" s="112">
        <f>L95/EERR!$D$2</f>
        <v>205</v>
      </c>
      <c r="N95" s="112">
        <f>SUMIF(Feb!$B$3:$B$101,A95,Feb!$T$3:$T$101)</f>
        <v>122343.99999999999</v>
      </c>
    </row>
    <row r="96" spans="1:14" x14ac:dyDescent="0.3">
      <c r="A96" s="234">
        <v>64186</v>
      </c>
      <c r="B96" s="235" t="s">
        <v>867</v>
      </c>
      <c r="C96" s="236" t="s">
        <v>330</v>
      </c>
      <c r="D96" s="236" t="s">
        <v>139</v>
      </c>
      <c r="E96" s="236" t="s">
        <v>140</v>
      </c>
      <c r="F96" s="236" t="s">
        <v>144</v>
      </c>
      <c r="G96" s="236" t="s">
        <v>868</v>
      </c>
      <c r="H96" s="236" t="s">
        <v>142</v>
      </c>
      <c r="I96" s="237"/>
      <c r="J96" s="237">
        <v>526.5</v>
      </c>
      <c r="K96" s="236" t="s">
        <v>869</v>
      </c>
      <c r="L96" s="176">
        <f>I96+J96*EERR!$D$2</f>
        <v>314215.19999999995</v>
      </c>
      <c r="M96" s="112">
        <f>L96/EERR!$D$2</f>
        <v>526.5</v>
      </c>
      <c r="N96" s="112">
        <f>SUMIF(Feb!$B$3:$B$101,A96,Feb!$T$3:$T$101)</f>
        <v>837907.2</v>
      </c>
    </row>
    <row r="97" spans="1:18" x14ac:dyDescent="0.3">
      <c r="A97" s="234">
        <v>14669</v>
      </c>
      <c r="B97" s="235" t="s">
        <v>870</v>
      </c>
      <c r="C97" s="236" t="s">
        <v>330</v>
      </c>
      <c r="D97" s="236" t="s">
        <v>139</v>
      </c>
      <c r="E97" s="236" t="s">
        <v>140</v>
      </c>
      <c r="F97" s="236" t="s">
        <v>141</v>
      </c>
      <c r="G97" s="236" t="s">
        <v>818</v>
      </c>
      <c r="H97" s="236" t="s">
        <v>142</v>
      </c>
      <c r="I97" s="237"/>
      <c r="J97" s="237">
        <v>194.75</v>
      </c>
      <c r="K97" s="236" t="s">
        <v>871</v>
      </c>
      <c r="L97" s="176">
        <f>I97+J97*EERR!$D$2</f>
        <v>116226.79999999999</v>
      </c>
      <c r="M97" s="112">
        <f>L97/EERR!$D$2</f>
        <v>194.75</v>
      </c>
      <c r="N97" s="112">
        <f>SUMIF(Feb!$B$3:$B$101,A97,Feb!$T$3:$T$101)</f>
        <v>116226.79999999999</v>
      </c>
    </row>
    <row r="98" spans="1:18" x14ac:dyDescent="0.3">
      <c r="A98" s="234">
        <v>14669</v>
      </c>
      <c r="B98" s="235" t="s">
        <v>870</v>
      </c>
      <c r="C98" s="236" t="s">
        <v>330</v>
      </c>
      <c r="D98" s="236" t="s">
        <v>139</v>
      </c>
      <c r="E98" s="236" t="s">
        <v>331</v>
      </c>
      <c r="F98" s="236" t="s">
        <v>141</v>
      </c>
      <c r="G98" s="236" t="s">
        <v>818</v>
      </c>
      <c r="H98" s="236" t="s">
        <v>142</v>
      </c>
      <c r="I98" s="237"/>
      <c r="J98" s="237">
        <v>-194.75</v>
      </c>
      <c r="K98" s="236" t="s">
        <v>871</v>
      </c>
      <c r="L98" s="176">
        <f>I98+J98*EERR!$D$2</f>
        <v>-116226.79999999999</v>
      </c>
      <c r="M98" s="112">
        <f>L98/EERR!$D$2</f>
        <v>-194.75</v>
      </c>
      <c r="N98" s="112">
        <f>SUMIF(Feb!$B$3:$B$101,A98,Feb!$T$3:$T$101)</f>
        <v>116226.79999999999</v>
      </c>
      <c r="Q98" s="58" t="s">
        <v>350</v>
      </c>
    </row>
    <row r="99" spans="1:18" x14ac:dyDescent="0.3">
      <c r="A99" s="234">
        <v>14841</v>
      </c>
      <c r="B99" s="235" t="s">
        <v>872</v>
      </c>
      <c r="C99" s="236" t="s">
        <v>330</v>
      </c>
      <c r="D99" s="236" t="s">
        <v>139</v>
      </c>
      <c r="E99" s="236" t="s">
        <v>140</v>
      </c>
      <c r="F99" s="236" t="s">
        <v>141</v>
      </c>
      <c r="G99" s="236" t="s">
        <v>818</v>
      </c>
      <c r="H99" s="236" t="s">
        <v>142</v>
      </c>
      <c r="I99" s="237"/>
      <c r="J99" s="237">
        <v>194.75</v>
      </c>
      <c r="K99" s="236" t="s">
        <v>873</v>
      </c>
      <c r="L99" s="176">
        <f>I99+J99*EERR!$D$2</f>
        <v>116226.79999999999</v>
      </c>
      <c r="M99" s="112">
        <f>L99/EERR!$D$2</f>
        <v>194.75</v>
      </c>
      <c r="N99" s="112">
        <f>SUMIF(Feb!$B$3:$B$101,A99,Feb!$T$3:$T$101)</f>
        <v>116226.79999999999</v>
      </c>
    </row>
    <row r="100" spans="1:18" x14ac:dyDescent="0.3">
      <c r="A100" s="234">
        <v>92651</v>
      </c>
      <c r="B100" s="235" t="s">
        <v>874</v>
      </c>
      <c r="C100" s="236" t="s">
        <v>330</v>
      </c>
      <c r="D100" s="236" t="s">
        <v>139</v>
      </c>
      <c r="E100" s="236" t="s">
        <v>140</v>
      </c>
      <c r="F100" s="236" t="s">
        <v>144</v>
      </c>
      <c r="G100" s="236" t="s">
        <v>538</v>
      </c>
      <c r="H100" s="236" t="s">
        <v>142</v>
      </c>
      <c r="I100" s="237"/>
      <c r="J100" s="237">
        <v>25</v>
      </c>
      <c r="K100" s="236" t="s">
        <v>875</v>
      </c>
      <c r="L100" s="176">
        <f>I100+J100*EERR!$D$2</f>
        <v>14919.999999999998</v>
      </c>
      <c r="M100" s="112">
        <f>L100/EERR!$D$2</f>
        <v>25</v>
      </c>
      <c r="N100" s="112">
        <f>SUMIF(Feb!$B$3:$B$101,A100,Feb!$T$3:$T$101)</f>
        <v>489375.99999999994</v>
      </c>
    </row>
    <row r="101" spans="1:18" x14ac:dyDescent="0.3">
      <c r="A101" s="234">
        <v>27019</v>
      </c>
      <c r="B101" s="235" t="s">
        <v>876</v>
      </c>
      <c r="C101" s="236" t="s">
        <v>330</v>
      </c>
      <c r="D101" s="236" t="s">
        <v>139</v>
      </c>
      <c r="E101" s="236" t="s">
        <v>140</v>
      </c>
      <c r="F101" s="236" t="s">
        <v>145</v>
      </c>
      <c r="G101" s="236" t="s">
        <v>576</v>
      </c>
      <c r="H101" s="236" t="s">
        <v>142</v>
      </c>
      <c r="I101" s="237"/>
      <c r="J101" s="237">
        <v>195</v>
      </c>
      <c r="K101" s="236" t="s">
        <v>877</v>
      </c>
      <c r="L101" s="176">
        <f>I101+J101*EERR!$D$2</f>
        <v>116375.99999999999</v>
      </c>
      <c r="M101" s="112">
        <f>L101/EERR!$D$2</f>
        <v>195</v>
      </c>
      <c r="N101" s="112">
        <f>SUMIF(Feb!$B$3:$B$101,A101,Feb!$T$3:$T$101)</f>
        <v>232751.99999999997</v>
      </c>
      <c r="R101" s="58" t="s">
        <v>242</v>
      </c>
    </row>
    <row r="102" spans="1:18" x14ac:dyDescent="0.3">
      <c r="A102" s="234">
        <v>21992</v>
      </c>
      <c r="B102" s="235" t="s">
        <v>878</v>
      </c>
      <c r="C102" s="236" t="s">
        <v>330</v>
      </c>
      <c r="D102" s="236" t="s">
        <v>139</v>
      </c>
      <c r="E102" s="236" t="s">
        <v>140</v>
      </c>
      <c r="F102" s="236" t="s">
        <v>145</v>
      </c>
      <c r="G102" s="236" t="s">
        <v>572</v>
      </c>
      <c r="H102" s="236" t="s">
        <v>142</v>
      </c>
      <c r="I102" s="237"/>
      <c r="J102" s="237">
        <v>5</v>
      </c>
      <c r="K102" s="236" t="s">
        <v>879</v>
      </c>
      <c r="L102" s="176">
        <f>I102+J102*EERR!$D$2</f>
        <v>2984</v>
      </c>
      <c r="M102" s="112">
        <f>L102/EERR!$D$2</f>
        <v>5</v>
      </c>
      <c r="N102" s="112">
        <f>SUMIF(Feb!$B$3:$B$101,A102,Feb!$T$3:$T$101)</f>
        <v>483407.99999999994</v>
      </c>
    </row>
    <row r="103" spans="1:18" x14ac:dyDescent="0.3">
      <c r="A103" s="234">
        <v>30345</v>
      </c>
      <c r="B103" s="235" t="s">
        <v>880</v>
      </c>
      <c r="C103" s="236" t="s">
        <v>330</v>
      </c>
      <c r="D103" s="236" t="s">
        <v>139</v>
      </c>
      <c r="E103" s="236" t="s">
        <v>140</v>
      </c>
      <c r="F103" s="236" t="s">
        <v>144</v>
      </c>
      <c r="G103" s="236" t="s">
        <v>881</v>
      </c>
      <c r="H103" s="236" t="s">
        <v>142</v>
      </c>
      <c r="I103" s="237"/>
      <c r="J103" s="237">
        <v>195</v>
      </c>
      <c r="K103" s="236" t="s">
        <v>882</v>
      </c>
      <c r="L103" s="176">
        <f>I103+J103*EERR!$D$2</f>
        <v>116375.99999999999</v>
      </c>
      <c r="M103" s="112">
        <f>L103/EERR!$D$2</f>
        <v>195</v>
      </c>
      <c r="N103" s="112">
        <f>SUMIF(Feb!$B$3:$B$101,A103,Feb!$T$3:$T$101)</f>
        <v>0</v>
      </c>
    </row>
    <row r="104" spans="1:18" x14ac:dyDescent="0.3">
      <c r="A104" s="234">
        <v>69878</v>
      </c>
      <c r="B104" s="235" t="s">
        <v>883</v>
      </c>
      <c r="C104" s="236" t="s">
        <v>330</v>
      </c>
      <c r="D104" s="236" t="s">
        <v>139</v>
      </c>
      <c r="E104" s="236" t="s">
        <v>140</v>
      </c>
      <c r="F104" s="236" t="s">
        <v>144</v>
      </c>
      <c r="G104" s="236" t="s">
        <v>884</v>
      </c>
      <c r="H104" s="236" t="s">
        <v>142</v>
      </c>
      <c r="I104" s="237"/>
      <c r="J104" s="237">
        <v>195</v>
      </c>
      <c r="K104" s="236" t="s">
        <v>885</v>
      </c>
      <c r="L104" s="176">
        <f>I104+J104*EERR!$D$2</f>
        <v>116375.99999999999</v>
      </c>
      <c r="M104" s="112">
        <f>L104/EERR!$D$2</f>
        <v>195</v>
      </c>
      <c r="N104" s="112">
        <f>SUMIF(Feb!$B$3:$B$101,A104,Feb!$T$3:$T$101)</f>
        <v>0</v>
      </c>
    </row>
    <row r="105" spans="1:18" x14ac:dyDescent="0.3">
      <c r="A105" s="234">
        <v>36666</v>
      </c>
      <c r="B105" s="235" t="s">
        <v>886</v>
      </c>
      <c r="C105" s="236" t="s">
        <v>330</v>
      </c>
      <c r="D105" s="236" t="s">
        <v>139</v>
      </c>
      <c r="E105" s="236" t="s">
        <v>140</v>
      </c>
      <c r="F105" s="236" t="s">
        <v>145</v>
      </c>
      <c r="G105" s="236" t="s">
        <v>887</v>
      </c>
      <c r="H105" s="236" t="s">
        <v>142</v>
      </c>
      <c r="I105" s="237"/>
      <c r="J105" s="237">
        <v>175.5</v>
      </c>
      <c r="K105" s="236" t="s">
        <v>888</v>
      </c>
      <c r="L105" s="176">
        <f>I105+J105*EERR!$D$2</f>
        <v>104738.4</v>
      </c>
      <c r="M105" s="112">
        <f>L105/EERR!$D$2</f>
        <v>175.5</v>
      </c>
      <c r="N105" s="112">
        <f>SUMIF(Feb!$B$3:$B$101,A105,Feb!$T$3:$T$101)</f>
        <v>0</v>
      </c>
    </row>
    <row r="106" spans="1:18" x14ac:dyDescent="0.3">
      <c r="A106" s="234">
        <v>60413</v>
      </c>
      <c r="B106" s="235" t="s">
        <v>889</v>
      </c>
      <c r="C106" s="236" t="s">
        <v>330</v>
      </c>
      <c r="D106" s="236" t="s">
        <v>139</v>
      </c>
      <c r="E106" s="236" t="s">
        <v>140</v>
      </c>
      <c r="F106" s="236" t="s">
        <v>145</v>
      </c>
      <c r="G106" s="236" t="s">
        <v>890</v>
      </c>
      <c r="H106" s="236" t="s">
        <v>142</v>
      </c>
      <c r="I106" s="237"/>
      <c r="J106" s="237">
        <v>205</v>
      </c>
      <c r="K106" s="236" t="s">
        <v>891</v>
      </c>
      <c r="L106" s="176">
        <f>I106+J106*EERR!$D$2</f>
        <v>122343.99999999999</v>
      </c>
      <c r="M106" s="112">
        <f>L106/EERR!$D$2</f>
        <v>205</v>
      </c>
      <c r="N106" s="112">
        <f>SUMIF(Feb!$B$3:$B$101,A106,Feb!$T$3:$T$101)</f>
        <v>355096</v>
      </c>
    </row>
    <row r="107" spans="1:18" x14ac:dyDescent="0.3">
      <c r="A107" s="234">
        <v>2305</v>
      </c>
      <c r="B107" s="235" t="s">
        <v>892</v>
      </c>
      <c r="C107" s="236" t="s">
        <v>330</v>
      </c>
      <c r="D107" s="236" t="s">
        <v>139</v>
      </c>
      <c r="E107" s="236" t="s">
        <v>140</v>
      </c>
      <c r="F107" s="236" t="s">
        <v>145</v>
      </c>
      <c r="G107" s="236" t="s">
        <v>578</v>
      </c>
      <c r="H107" s="236" t="s">
        <v>142</v>
      </c>
      <c r="I107" s="237"/>
      <c r="J107" s="237">
        <v>400</v>
      </c>
      <c r="K107" s="236" t="s">
        <v>893</v>
      </c>
      <c r="L107" s="176">
        <f>I107+J107*EERR!$D$2</f>
        <v>238719.99999999997</v>
      </c>
      <c r="M107" s="112">
        <f>L107/EERR!$D$2</f>
        <v>400</v>
      </c>
      <c r="N107" s="112">
        <f>SUMIF(Feb!$B$3:$B$101,A107,Feb!$T$3:$T$101)</f>
        <v>361064</v>
      </c>
    </row>
    <row r="108" spans="1:18" x14ac:dyDescent="0.3">
      <c r="A108" s="234">
        <v>60413</v>
      </c>
      <c r="B108" s="235" t="s">
        <v>894</v>
      </c>
      <c r="C108" s="236" t="s">
        <v>330</v>
      </c>
      <c r="D108" s="236" t="s">
        <v>139</v>
      </c>
      <c r="E108" s="236" t="s">
        <v>140</v>
      </c>
      <c r="F108" s="236" t="s">
        <v>145</v>
      </c>
      <c r="G108" s="236" t="s">
        <v>890</v>
      </c>
      <c r="H108" s="236" t="s">
        <v>142</v>
      </c>
      <c r="I108" s="237"/>
      <c r="J108" s="237">
        <v>390</v>
      </c>
      <c r="K108" s="236" t="s">
        <v>895</v>
      </c>
      <c r="L108" s="176">
        <f>I108+J108*EERR!$D$2</f>
        <v>232751.99999999997</v>
      </c>
      <c r="M108" s="112">
        <f>L108/EERR!$D$2</f>
        <v>390</v>
      </c>
      <c r="N108" s="112">
        <f>SUMIF(Feb!$B$3:$B$101,A108,Feb!$T$3:$T$101)</f>
        <v>355096</v>
      </c>
    </row>
    <row r="109" spans="1:18" x14ac:dyDescent="0.3">
      <c r="A109" s="234">
        <v>81794</v>
      </c>
      <c r="B109" s="235" t="s">
        <v>896</v>
      </c>
      <c r="C109" s="236" t="s">
        <v>330</v>
      </c>
      <c r="D109" s="236" t="s">
        <v>139</v>
      </c>
      <c r="E109" s="236" t="s">
        <v>140</v>
      </c>
      <c r="F109" s="236" t="s">
        <v>145</v>
      </c>
      <c r="G109" s="236" t="s">
        <v>580</v>
      </c>
      <c r="H109" s="236" t="s">
        <v>142</v>
      </c>
      <c r="I109" s="237"/>
      <c r="J109" s="237">
        <v>390</v>
      </c>
      <c r="K109" s="236" t="s">
        <v>897</v>
      </c>
      <c r="L109" s="176">
        <f>I109+J109*EERR!$D$2</f>
        <v>232751.99999999997</v>
      </c>
      <c r="M109" s="112">
        <f>L109/EERR!$D$2</f>
        <v>390</v>
      </c>
      <c r="N109" s="112">
        <f>SUMIF(Feb!$B$3:$B$101,A109,Feb!$T$3:$T$101)</f>
        <v>355096</v>
      </c>
    </row>
    <row r="110" spans="1:18" x14ac:dyDescent="0.3">
      <c r="A110" s="234">
        <v>61075</v>
      </c>
      <c r="B110" s="235" t="s">
        <v>898</v>
      </c>
      <c r="C110" s="236" t="s">
        <v>330</v>
      </c>
      <c r="D110" s="236" t="s">
        <v>139</v>
      </c>
      <c r="E110" s="236" t="s">
        <v>140</v>
      </c>
      <c r="F110" s="236" t="s">
        <v>145</v>
      </c>
      <c r="G110" s="236" t="s">
        <v>899</v>
      </c>
      <c r="H110" s="236" t="s">
        <v>142</v>
      </c>
      <c r="I110" s="237"/>
      <c r="J110" s="237">
        <v>195</v>
      </c>
      <c r="K110" s="236" t="s">
        <v>900</v>
      </c>
      <c r="L110" s="176">
        <f>I110+J110*EERR!$D$2</f>
        <v>116375.99999999999</v>
      </c>
      <c r="M110" s="112">
        <f>L110/EERR!$D$2</f>
        <v>195</v>
      </c>
      <c r="N110" s="112">
        <f>SUMIF(Feb!$B$3:$B$101,A110,Feb!$T$3:$T$101)</f>
        <v>0</v>
      </c>
    </row>
    <row r="111" spans="1:18" x14ac:dyDescent="0.3">
      <c r="A111" s="234">
        <v>56093</v>
      </c>
      <c r="B111" s="235" t="s">
        <v>901</v>
      </c>
      <c r="C111" s="236" t="s">
        <v>330</v>
      </c>
      <c r="D111" s="236" t="s">
        <v>139</v>
      </c>
      <c r="E111" s="236" t="s">
        <v>140</v>
      </c>
      <c r="F111" s="236" t="s">
        <v>144</v>
      </c>
      <c r="G111" s="236" t="s">
        <v>902</v>
      </c>
      <c r="H111" s="236" t="s">
        <v>142</v>
      </c>
      <c r="I111" s="237"/>
      <c r="J111" s="237">
        <v>195</v>
      </c>
      <c r="K111" s="236" t="s">
        <v>903</v>
      </c>
      <c r="L111" s="176">
        <f>I111+J111*EERR!$D$2</f>
        <v>116375.99999999999</v>
      </c>
      <c r="M111" s="112">
        <f>L111/EERR!$D$2</f>
        <v>195</v>
      </c>
      <c r="N111" s="112">
        <f>SUMIF(Feb!$B$3:$B$101,A111,Feb!$T$3:$T$101)</f>
        <v>0</v>
      </c>
    </row>
    <row r="112" spans="1:18" x14ac:dyDescent="0.3">
      <c r="A112" s="234">
        <v>16355</v>
      </c>
      <c r="B112" s="235" t="s">
        <v>904</v>
      </c>
      <c r="C112" s="236" t="s">
        <v>330</v>
      </c>
      <c r="D112" s="236" t="s">
        <v>139</v>
      </c>
      <c r="E112" s="236" t="s">
        <v>140</v>
      </c>
      <c r="F112" s="236" t="s">
        <v>144</v>
      </c>
      <c r="G112" s="236" t="s">
        <v>905</v>
      </c>
      <c r="H112" s="236" t="s">
        <v>142</v>
      </c>
      <c r="I112" s="237"/>
      <c r="J112" s="237">
        <v>585</v>
      </c>
      <c r="K112" s="236" t="s">
        <v>906</v>
      </c>
      <c r="L112" s="176">
        <f>I112+J112*EERR!$D$2</f>
        <v>349128</v>
      </c>
      <c r="M112" s="112">
        <f>L112/EERR!$D$2</f>
        <v>585</v>
      </c>
      <c r="N112" s="112">
        <f>SUMIF(Feb!$B$3:$B$101,A112,Feb!$T$3:$T$101)</f>
        <v>0</v>
      </c>
    </row>
    <row r="113" spans="1:14" x14ac:dyDescent="0.3">
      <c r="A113" s="234">
        <v>88977</v>
      </c>
      <c r="B113" s="235" t="s">
        <v>907</v>
      </c>
      <c r="C113" s="236" t="s">
        <v>330</v>
      </c>
      <c r="D113" s="236" t="s">
        <v>139</v>
      </c>
      <c r="E113" s="236" t="s">
        <v>140</v>
      </c>
      <c r="F113" s="236" t="s">
        <v>144</v>
      </c>
      <c r="G113" s="236" t="s">
        <v>908</v>
      </c>
      <c r="H113" s="236" t="s">
        <v>142</v>
      </c>
      <c r="I113" s="237"/>
      <c r="J113" s="237">
        <v>175.5</v>
      </c>
      <c r="K113" s="236" t="s">
        <v>909</v>
      </c>
      <c r="L113" s="176">
        <f>I113+J113*EERR!$D$2</f>
        <v>104738.4</v>
      </c>
      <c r="M113" s="112">
        <f>L113/EERR!$D$2</f>
        <v>175.5</v>
      </c>
      <c r="N113" s="112">
        <f>SUMIF(Feb!$B$3:$B$101,A113,Feb!$T$3:$T$101)</f>
        <v>0</v>
      </c>
    </row>
    <row r="114" spans="1:14" x14ac:dyDescent="0.3">
      <c r="A114" s="234">
        <v>83154</v>
      </c>
      <c r="B114" s="235" t="s">
        <v>910</v>
      </c>
      <c r="C114" s="236" t="s">
        <v>330</v>
      </c>
      <c r="D114" s="236" t="s">
        <v>139</v>
      </c>
      <c r="E114" s="236" t="s">
        <v>140</v>
      </c>
      <c r="F114" s="236" t="s">
        <v>145</v>
      </c>
      <c r="G114" s="236" t="s">
        <v>911</v>
      </c>
      <c r="H114" s="236" t="s">
        <v>142</v>
      </c>
      <c r="I114" s="237"/>
      <c r="J114" s="237">
        <v>195</v>
      </c>
      <c r="K114" s="236" t="s">
        <v>912</v>
      </c>
      <c r="L114" s="176">
        <f>I114+J114*EERR!$D$2</f>
        <v>116375.99999999999</v>
      </c>
      <c r="M114" s="112">
        <f>L114/EERR!$D$2</f>
        <v>195</v>
      </c>
      <c r="N114" s="112">
        <f>SUMIF(Feb!$B$3:$B$101,A114,Feb!$T$3:$T$101)</f>
        <v>0</v>
      </c>
    </row>
    <row r="115" spans="1:14" x14ac:dyDescent="0.3">
      <c r="A115" s="234">
        <v>96900</v>
      </c>
      <c r="B115" s="235" t="s">
        <v>913</v>
      </c>
      <c r="C115" s="236" t="s">
        <v>330</v>
      </c>
      <c r="D115" s="236" t="s">
        <v>139</v>
      </c>
      <c r="E115" s="236" t="s">
        <v>140</v>
      </c>
      <c r="F115" s="236" t="s">
        <v>145</v>
      </c>
      <c r="G115" s="236" t="s">
        <v>914</v>
      </c>
      <c r="H115" s="236" t="s">
        <v>142</v>
      </c>
      <c r="I115" s="237"/>
      <c r="J115" s="237">
        <v>195</v>
      </c>
      <c r="K115" s="236" t="s">
        <v>915</v>
      </c>
      <c r="L115" s="176">
        <f>I115+J115*EERR!$D$2</f>
        <v>116375.99999999999</v>
      </c>
      <c r="M115" s="112">
        <f>L115/EERR!$D$2</f>
        <v>195</v>
      </c>
      <c r="N115" s="112">
        <f>SUMIF(Feb!$B$3:$B$101,A115,Feb!$T$3:$T$101)</f>
        <v>0</v>
      </c>
    </row>
    <row r="116" spans="1:14" x14ac:dyDescent="0.3">
      <c r="A116" s="234">
        <v>9881</v>
      </c>
      <c r="B116" s="235" t="s">
        <v>916</v>
      </c>
      <c r="C116" s="236" t="s">
        <v>330</v>
      </c>
      <c r="D116" s="236" t="s">
        <v>139</v>
      </c>
      <c r="E116" s="236" t="s">
        <v>140</v>
      </c>
      <c r="F116" s="236" t="s">
        <v>144</v>
      </c>
      <c r="G116" s="236" t="s">
        <v>917</v>
      </c>
      <c r="H116" s="236" t="s">
        <v>142</v>
      </c>
      <c r="I116" s="237"/>
      <c r="J116" s="237">
        <v>175.5</v>
      </c>
      <c r="K116" s="236" t="s">
        <v>918</v>
      </c>
      <c r="L116" s="176">
        <f>I116+J116*EERR!$D$2</f>
        <v>104738.4</v>
      </c>
      <c r="M116" s="112">
        <f>L116/EERR!$D$2</f>
        <v>175.5</v>
      </c>
      <c r="N116" s="112">
        <f>SUMIF(Feb!$B$3:$B$101,A116,Feb!$T$3:$T$101)</f>
        <v>0</v>
      </c>
    </row>
    <row r="117" spans="1:14" x14ac:dyDescent="0.3">
      <c r="A117" s="234">
        <v>23670</v>
      </c>
      <c r="B117" s="235" t="s">
        <v>919</v>
      </c>
      <c r="C117" s="236" t="s">
        <v>330</v>
      </c>
      <c r="D117" s="236" t="s">
        <v>139</v>
      </c>
      <c r="E117" s="236" t="s">
        <v>140</v>
      </c>
      <c r="F117" s="236" t="s">
        <v>141</v>
      </c>
      <c r="G117" s="236" t="s">
        <v>920</v>
      </c>
      <c r="H117" s="236" t="s">
        <v>142</v>
      </c>
      <c r="I117" s="237"/>
      <c r="J117" s="237">
        <v>97.38</v>
      </c>
      <c r="K117" s="236" t="s">
        <v>921</v>
      </c>
      <c r="L117" s="176">
        <f>I117+J117*EERR!$D$2</f>
        <v>58116.383999999991</v>
      </c>
      <c r="M117" s="112">
        <f>L117/EERR!$D$2</f>
        <v>97.38</v>
      </c>
      <c r="N117" s="112">
        <f>SUMIF(Feb!$B$3:$B$101,A117,Feb!$T$3:$T$101)</f>
        <v>58116.383999999991</v>
      </c>
    </row>
    <row r="118" spans="1:14" x14ac:dyDescent="0.3">
      <c r="A118" s="234">
        <v>14850</v>
      </c>
      <c r="B118" s="235" t="s">
        <v>922</v>
      </c>
      <c r="C118" s="236" t="s">
        <v>330</v>
      </c>
      <c r="D118" s="236" t="s">
        <v>139</v>
      </c>
      <c r="E118" s="236" t="s">
        <v>140</v>
      </c>
      <c r="F118" s="236" t="s">
        <v>141</v>
      </c>
      <c r="G118" s="236" t="s">
        <v>818</v>
      </c>
      <c r="H118" s="236" t="s">
        <v>142</v>
      </c>
      <c r="I118" s="237"/>
      <c r="J118" s="237">
        <v>194.75</v>
      </c>
      <c r="K118" s="236" t="s">
        <v>923</v>
      </c>
      <c r="L118" s="176">
        <f>I118+J118*EERR!$D$2</f>
        <v>116226.79999999999</v>
      </c>
      <c r="M118" s="112">
        <f>L118/EERR!$D$2</f>
        <v>194.75</v>
      </c>
      <c r="N118" s="112">
        <f>SUMIF(Feb!$B$3:$B$101,A118,Feb!$T$3:$T$101)</f>
        <v>116226.79999999999</v>
      </c>
    </row>
    <row r="119" spans="1:14" x14ac:dyDescent="0.3">
      <c r="A119" s="234">
        <v>53048</v>
      </c>
      <c r="B119" s="235" t="s">
        <v>924</v>
      </c>
      <c r="C119" s="236" t="s">
        <v>330</v>
      </c>
      <c r="D119" s="236" t="s">
        <v>139</v>
      </c>
      <c r="E119" s="236" t="s">
        <v>140</v>
      </c>
      <c r="F119" s="236" t="s">
        <v>145</v>
      </c>
      <c r="G119" s="236" t="s">
        <v>925</v>
      </c>
      <c r="H119" s="236" t="s">
        <v>142</v>
      </c>
      <c r="I119" s="237"/>
      <c r="J119" s="237">
        <v>205</v>
      </c>
      <c r="K119" s="236" t="s">
        <v>926</v>
      </c>
      <c r="L119" s="176">
        <f>I119+J119*EERR!$D$2</f>
        <v>122343.99999999999</v>
      </c>
      <c r="M119" s="112">
        <f>L119/EERR!$D$2</f>
        <v>205</v>
      </c>
      <c r="N119" s="112">
        <f>SUMIF(Feb!$B$3:$B$101,A119,Feb!$T$3:$T$101)</f>
        <v>0</v>
      </c>
    </row>
    <row r="120" spans="1:14" x14ac:dyDescent="0.3">
      <c r="A120" s="234">
        <v>4554</v>
      </c>
      <c r="B120" s="235" t="s">
        <v>927</v>
      </c>
      <c r="C120" s="236" t="s">
        <v>330</v>
      </c>
      <c r="D120" s="236" t="s">
        <v>139</v>
      </c>
      <c r="E120" s="236" t="s">
        <v>140</v>
      </c>
      <c r="F120" s="236" t="s">
        <v>145</v>
      </c>
      <c r="G120" s="236" t="s">
        <v>928</v>
      </c>
      <c r="H120" s="236" t="s">
        <v>142</v>
      </c>
      <c r="I120" s="237"/>
      <c r="J120" s="237">
        <v>585</v>
      </c>
      <c r="K120" s="236" t="s">
        <v>929</v>
      </c>
      <c r="L120" s="176">
        <f>I120+J120*EERR!$D$2</f>
        <v>349128</v>
      </c>
      <c r="M120" s="112">
        <f>L120/EERR!$D$2</f>
        <v>585</v>
      </c>
      <c r="N120" s="112">
        <f>SUMIF(Feb!$B$3:$B$101,A120,Feb!$T$3:$T$101)</f>
        <v>0</v>
      </c>
    </row>
    <row r="121" spans="1:14" x14ac:dyDescent="0.3">
      <c r="A121" s="234">
        <v>27051</v>
      </c>
      <c r="B121" s="235" t="s">
        <v>930</v>
      </c>
      <c r="C121" s="236" t="s">
        <v>330</v>
      </c>
      <c r="D121" s="236" t="s">
        <v>139</v>
      </c>
      <c r="E121" s="236" t="s">
        <v>140</v>
      </c>
      <c r="F121" s="236" t="s">
        <v>145</v>
      </c>
      <c r="G121" s="236" t="s">
        <v>931</v>
      </c>
      <c r="H121" s="236" t="s">
        <v>142</v>
      </c>
      <c r="I121" s="237"/>
      <c r="J121" s="237">
        <v>389.5</v>
      </c>
      <c r="K121" s="236" t="s">
        <v>932</v>
      </c>
      <c r="L121" s="176">
        <f>I121+J121*EERR!$D$2</f>
        <v>232453.59999999998</v>
      </c>
      <c r="M121" s="112">
        <f>L121/EERR!$D$2</f>
        <v>389.5</v>
      </c>
      <c r="N121" s="112">
        <f>SUMIF(Feb!$B$3:$B$101,A121,Feb!$T$3:$T$101)</f>
        <v>232453.59999999998</v>
      </c>
    </row>
    <row r="122" spans="1:14" x14ac:dyDescent="0.3">
      <c r="A122" s="234">
        <v>27039</v>
      </c>
      <c r="B122" s="235" t="s">
        <v>933</v>
      </c>
      <c r="C122" s="236" t="s">
        <v>330</v>
      </c>
      <c r="D122" s="236" t="s">
        <v>139</v>
      </c>
      <c r="E122" s="236" t="s">
        <v>140</v>
      </c>
      <c r="F122" s="236" t="s">
        <v>145</v>
      </c>
      <c r="G122" s="236" t="s">
        <v>931</v>
      </c>
      <c r="H122" s="236" t="s">
        <v>142</v>
      </c>
      <c r="I122" s="237"/>
      <c r="J122" s="237">
        <v>370.5</v>
      </c>
      <c r="K122" s="236" t="s">
        <v>934</v>
      </c>
      <c r="L122" s="176">
        <f>I122+J122*EERR!$D$2</f>
        <v>221114.4</v>
      </c>
      <c r="M122" s="112">
        <f>L122/EERR!$D$2</f>
        <v>370.5</v>
      </c>
      <c r="N122" s="112">
        <f>SUMIF(Feb!$B$3:$B$101,A122,Feb!$T$3:$T$101)</f>
        <v>221114.4</v>
      </c>
    </row>
    <row r="123" spans="1:14" x14ac:dyDescent="0.3">
      <c r="A123" s="234">
        <v>64740</v>
      </c>
      <c r="B123" s="235" t="s">
        <v>935</v>
      </c>
      <c r="C123" s="236" t="s">
        <v>330</v>
      </c>
      <c r="D123" s="236" t="s">
        <v>139</v>
      </c>
      <c r="E123" s="236" t="s">
        <v>140</v>
      </c>
      <c r="F123" s="236" t="s">
        <v>144</v>
      </c>
      <c r="G123" s="236" t="s">
        <v>838</v>
      </c>
      <c r="H123" s="236" t="s">
        <v>142</v>
      </c>
      <c r="I123" s="237"/>
      <c r="J123" s="237">
        <v>553.5</v>
      </c>
      <c r="K123" s="236" t="s">
        <v>936</v>
      </c>
      <c r="L123" s="176">
        <f>I123+J123*EERR!$D$2</f>
        <v>330328.8</v>
      </c>
      <c r="M123" s="112">
        <f>L123/EERR!$D$2</f>
        <v>553.5</v>
      </c>
      <c r="N123" s="112">
        <f>SUMIF(Feb!$B$3:$B$101,A123,Feb!$T$3:$T$101)</f>
        <v>330328.8</v>
      </c>
    </row>
    <row r="124" spans="1:14" x14ac:dyDescent="0.3">
      <c r="A124" s="234">
        <v>92651</v>
      </c>
      <c r="B124" s="235" t="s">
        <v>937</v>
      </c>
      <c r="C124" s="236" t="s">
        <v>330</v>
      </c>
      <c r="D124" s="236" t="s">
        <v>139</v>
      </c>
      <c r="E124" s="236" t="s">
        <v>140</v>
      </c>
      <c r="F124" s="236" t="s">
        <v>145</v>
      </c>
      <c r="G124" s="236" t="s">
        <v>578</v>
      </c>
      <c r="H124" s="236" t="s">
        <v>142</v>
      </c>
      <c r="I124" s="237"/>
      <c r="J124" s="237">
        <v>8</v>
      </c>
      <c r="K124" s="236" t="s">
        <v>938</v>
      </c>
      <c r="L124" s="176">
        <f>I124+J124*EERR!$D$2</f>
        <v>4774.3999999999996</v>
      </c>
      <c r="M124" s="112">
        <f>L124/EERR!$D$2</f>
        <v>8</v>
      </c>
      <c r="N124" s="112">
        <f>SUMIF(Feb!$B$3:$B$101,A124,Feb!$T$3:$T$101)</f>
        <v>489375.99999999994</v>
      </c>
    </row>
    <row r="125" spans="1:14" x14ac:dyDescent="0.3">
      <c r="A125" s="234">
        <v>92651</v>
      </c>
      <c r="B125" s="235" t="s">
        <v>939</v>
      </c>
      <c r="C125" s="236" t="s">
        <v>329</v>
      </c>
      <c r="D125" s="236" t="s">
        <v>139</v>
      </c>
      <c r="E125" s="236" t="s">
        <v>143</v>
      </c>
      <c r="F125" s="236" t="s">
        <v>144</v>
      </c>
      <c r="G125" s="236" t="s">
        <v>940</v>
      </c>
      <c r="H125" s="236" t="s">
        <v>143</v>
      </c>
      <c r="I125" s="237">
        <v>6000</v>
      </c>
      <c r="J125" s="237"/>
      <c r="K125" s="236" t="s">
        <v>941</v>
      </c>
      <c r="L125" s="176">
        <f>I125+J125*EERR!$D$2</f>
        <v>6000</v>
      </c>
      <c r="M125" s="112">
        <f>L125/EERR!$D$2</f>
        <v>10.053619302949063</v>
      </c>
      <c r="N125" s="112">
        <f>SUMIF(Feb!$B$3:$B$101,A125,Feb!$T$3:$T$101)</f>
        <v>489375.99999999994</v>
      </c>
    </row>
    <row r="126" spans="1:14" x14ac:dyDescent="0.3">
      <c r="A126" s="234">
        <v>92159</v>
      </c>
      <c r="B126" s="235" t="s">
        <v>942</v>
      </c>
      <c r="C126" s="236" t="s">
        <v>330</v>
      </c>
      <c r="D126" s="236" t="s">
        <v>139</v>
      </c>
      <c r="E126" s="236" t="s">
        <v>140</v>
      </c>
      <c r="F126" s="236" t="s">
        <v>145</v>
      </c>
      <c r="G126" s="236" t="s">
        <v>943</v>
      </c>
      <c r="H126" s="236" t="s">
        <v>142</v>
      </c>
      <c r="I126" s="237"/>
      <c r="J126" s="237">
        <v>185.25</v>
      </c>
      <c r="K126" s="236" t="s">
        <v>944</v>
      </c>
      <c r="L126" s="176">
        <f>I126+J126*EERR!$D$2</f>
        <v>110557.2</v>
      </c>
      <c r="M126" s="112">
        <f>L126/EERR!$D$2</f>
        <v>185.25</v>
      </c>
      <c r="N126" s="112">
        <f>SUMIF(Feb!$B$3:$B$101,A126,Feb!$T$3:$T$101)</f>
        <v>0</v>
      </c>
    </row>
    <row r="127" spans="1:14" x14ac:dyDescent="0.3">
      <c r="A127" s="234">
        <v>28838</v>
      </c>
      <c r="B127" s="235" t="s">
        <v>945</v>
      </c>
      <c r="C127" s="236" t="s">
        <v>330</v>
      </c>
      <c r="D127" s="236" t="s">
        <v>139</v>
      </c>
      <c r="E127" s="236" t="s">
        <v>140</v>
      </c>
      <c r="F127" s="236" t="s">
        <v>144</v>
      </c>
      <c r="G127" s="236" t="s">
        <v>946</v>
      </c>
      <c r="H127" s="236" t="s">
        <v>142</v>
      </c>
      <c r="I127" s="237"/>
      <c r="J127" s="237">
        <v>502.5</v>
      </c>
      <c r="K127" s="236" t="s">
        <v>947</v>
      </c>
      <c r="L127" s="176">
        <f>I127+J127*EERR!$D$2</f>
        <v>299892</v>
      </c>
      <c r="M127" s="112">
        <f>L127/EERR!$D$2</f>
        <v>502.50000000000006</v>
      </c>
      <c r="N127" s="112">
        <f>SUMIF(Feb!$B$3:$B$101,A127,Feb!$T$3:$T$101)</f>
        <v>716160</v>
      </c>
    </row>
    <row r="128" spans="1:14" x14ac:dyDescent="0.3">
      <c r="A128" s="234">
        <v>28838</v>
      </c>
      <c r="B128" s="235" t="s">
        <v>948</v>
      </c>
      <c r="C128" s="236" t="s">
        <v>330</v>
      </c>
      <c r="D128" s="236" t="s">
        <v>139</v>
      </c>
      <c r="E128" s="236" t="s">
        <v>140</v>
      </c>
      <c r="F128" s="236" t="s">
        <v>145</v>
      </c>
      <c r="G128" s="236" t="s">
        <v>700</v>
      </c>
      <c r="H128" s="236" t="s">
        <v>142</v>
      </c>
      <c r="I128" s="237"/>
      <c r="J128" s="237">
        <v>502.5</v>
      </c>
      <c r="K128" s="236" t="s">
        <v>949</v>
      </c>
      <c r="L128" s="176">
        <f>I128+J128*EERR!$D$2</f>
        <v>299892</v>
      </c>
      <c r="M128" s="112">
        <f>L128/EERR!$D$2</f>
        <v>502.50000000000006</v>
      </c>
      <c r="N128" s="112">
        <f>SUMIF(Feb!$B$3:$B$101,A128,Feb!$T$3:$T$101)</f>
        <v>716160</v>
      </c>
    </row>
    <row r="129" spans="1:14" x14ac:dyDescent="0.3">
      <c r="A129" s="234">
        <v>81794</v>
      </c>
      <c r="B129" s="235" t="s">
        <v>950</v>
      </c>
      <c r="C129" s="236" t="s">
        <v>329</v>
      </c>
      <c r="D129" s="236" t="s">
        <v>139</v>
      </c>
      <c r="E129" s="236" t="s">
        <v>143</v>
      </c>
      <c r="F129" s="236" t="s">
        <v>144</v>
      </c>
      <c r="G129" s="236" t="s">
        <v>951</v>
      </c>
      <c r="H129" s="236" t="s">
        <v>143</v>
      </c>
      <c r="I129" s="237">
        <v>7000</v>
      </c>
      <c r="J129" s="237"/>
      <c r="K129" s="236" t="s">
        <v>952</v>
      </c>
      <c r="L129" s="176">
        <f>I129+J129*EERR!$D$2</f>
        <v>7000</v>
      </c>
      <c r="M129" s="112">
        <f>L129/EERR!$D$2</f>
        <v>11.729222520107239</v>
      </c>
      <c r="N129" s="112">
        <f>SUMIF(Feb!$B$3:$B$101,A129,Feb!$T$3:$T$101)</f>
        <v>355096</v>
      </c>
    </row>
    <row r="130" spans="1:14" x14ac:dyDescent="0.3">
      <c r="A130" s="234">
        <v>85044</v>
      </c>
      <c r="B130" s="235" t="s">
        <v>953</v>
      </c>
      <c r="C130" s="236" t="s">
        <v>330</v>
      </c>
      <c r="D130" s="236" t="s">
        <v>139</v>
      </c>
      <c r="E130" s="236" t="s">
        <v>140</v>
      </c>
      <c r="F130" s="236" t="s">
        <v>145</v>
      </c>
      <c r="G130" s="236" t="s">
        <v>954</v>
      </c>
      <c r="H130" s="236" t="s">
        <v>142</v>
      </c>
      <c r="I130" s="237"/>
      <c r="J130" s="237">
        <v>209</v>
      </c>
      <c r="K130" s="236" t="s">
        <v>955</v>
      </c>
      <c r="L130" s="176">
        <f>I130+J130*EERR!$D$2</f>
        <v>124731.2</v>
      </c>
      <c r="M130" s="112">
        <f>L130/EERR!$D$2</f>
        <v>209</v>
      </c>
      <c r="N130" s="112">
        <f>SUMIF(Feb!$B$3:$B$101,A130,Feb!$T$3:$T$101)</f>
        <v>0</v>
      </c>
    </row>
    <row r="131" spans="1:14" x14ac:dyDescent="0.3">
      <c r="A131" s="234">
        <v>75782</v>
      </c>
      <c r="B131" s="235" t="s">
        <v>956</v>
      </c>
      <c r="C131" s="236" t="s">
        <v>330</v>
      </c>
      <c r="D131" s="236" t="s">
        <v>139</v>
      </c>
      <c r="E131" s="236" t="s">
        <v>140</v>
      </c>
      <c r="F131" s="236" t="s">
        <v>144</v>
      </c>
      <c r="G131" s="236" t="s">
        <v>957</v>
      </c>
      <c r="H131" s="236" t="s">
        <v>142</v>
      </c>
      <c r="I131" s="237"/>
      <c r="J131" s="237">
        <v>205</v>
      </c>
      <c r="K131" s="236" t="s">
        <v>958</v>
      </c>
      <c r="L131" s="176">
        <f>I131+J131*EERR!$D$2</f>
        <v>122343.99999999999</v>
      </c>
      <c r="M131" s="112">
        <f>L131/EERR!$D$2</f>
        <v>205</v>
      </c>
      <c r="N131" s="227">
        <f>SUMIF(Feb!$B$3:$B$101,A131,Feb!$T$3:$T$101)</f>
        <v>0</v>
      </c>
    </row>
    <row r="132" spans="1:14" x14ac:dyDescent="0.3">
      <c r="A132" s="234">
        <v>3459</v>
      </c>
      <c r="B132" s="235" t="s">
        <v>959</v>
      </c>
      <c r="C132" s="236" t="s">
        <v>330</v>
      </c>
      <c r="D132" s="236" t="s">
        <v>139</v>
      </c>
      <c r="E132" s="236" t="s">
        <v>140</v>
      </c>
      <c r="F132" s="236" t="s">
        <v>145</v>
      </c>
      <c r="G132" s="236" t="s">
        <v>960</v>
      </c>
      <c r="H132" s="236" t="s">
        <v>142</v>
      </c>
      <c r="I132" s="237"/>
      <c r="J132" s="237">
        <v>195</v>
      </c>
      <c r="K132" s="236" t="s">
        <v>961</v>
      </c>
      <c r="L132" s="176">
        <f>I132+J132*EERR!$D$2</f>
        <v>116375.99999999999</v>
      </c>
      <c r="M132" s="112">
        <f>L132/EERR!$D$2</f>
        <v>195</v>
      </c>
      <c r="N132" s="227">
        <f>SUMIF(Feb!$B$3:$B$101,A132,Feb!$T$3:$T$101)</f>
        <v>0</v>
      </c>
    </row>
    <row r="133" spans="1:14" x14ac:dyDescent="0.3">
      <c r="A133" s="234">
        <v>17970</v>
      </c>
      <c r="B133" s="235" t="s">
        <v>962</v>
      </c>
      <c r="C133" s="236" t="s">
        <v>330</v>
      </c>
      <c r="D133" s="236" t="s">
        <v>139</v>
      </c>
      <c r="E133" s="236" t="s">
        <v>140</v>
      </c>
      <c r="F133" s="236" t="s">
        <v>145</v>
      </c>
      <c r="G133" s="236" t="s">
        <v>963</v>
      </c>
      <c r="H133" s="236" t="s">
        <v>142</v>
      </c>
      <c r="I133" s="237"/>
      <c r="J133" s="237">
        <v>390</v>
      </c>
      <c r="K133" s="236" t="s">
        <v>964</v>
      </c>
      <c r="L133" s="176">
        <f>I133+J133*EERR!$D$2</f>
        <v>232751.99999999997</v>
      </c>
      <c r="M133" s="112">
        <f>L133/EERR!$D$2</f>
        <v>390</v>
      </c>
      <c r="N133" s="112">
        <f>SUMIF(Feb!$B$3:$B$101,A133,Feb!$T$3:$T$101)</f>
        <v>0</v>
      </c>
    </row>
    <row r="134" spans="1:14" x14ac:dyDescent="0.3">
      <c r="A134" s="234">
        <v>90843</v>
      </c>
      <c r="B134" s="235" t="s">
        <v>965</v>
      </c>
      <c r="C134" s="236" t="s">
        <v>329</v>
      </c>
      <c r="D134" s="236" t="s">
        <v>139</v>
      </c>
      <c r="E134" s="236" t="s">
        <v>143</v>
      </c>
      <c r="F134" s="236" t="s">
        <v>145</v>
      </c>
      <c r="G134" s="236" t="s">
        <v>966</v>
      </c>
      <c r="H134" s="236" t="s">
        <v>143</v>
      </c>
      <c r="I134" s="237">
        <v>122801</v>
      </c>
      <c r="J134" s="237"/>
      <c r="K134" s="236" t="s">
        <v>967</v>
      </c>
      <c r="L134" s="176">
        <f>I134+J134*EERR!$D$2</f>
        <v>122801</v>
      </c>
      <c r="M134" s="112">
        <f>L134/EERR!$D$2</f>
        <v>205.76575067024129</v>
      </c>
      <c r="N134" s="112">
        <f>SUMIF(Feb!$B$3:$B$101,A134,Feb!$T$3:$T$101)</f>
        <v>0</v>
      </c>
    </row>
    <row r="135" spans="1:14" x14ac:dyDescent="0.3">
      <c r="A135" s="234">
        <v>33828</v>
      </c>
      <c r="B135" s="235" t="s">
        <v>968</v>
      </c>
      <c r="C135" s="236" t="s">
        <v>330</v>
      </c>
      <c r="D135" s="236" t="s">
        <v>139</v>
      </c>
      <c r="E135" s="236" t="s">
        <v>140</v>
      </c>
      <c r="F135" s="236" t="s">
        <v>144</v>
      </c>
      <c r="G135" s="236" t="s">
        <v>969</v>
      </c>
      <c r="H135" s="236" t="s">
        <v>142</v>
      </c>
      <c r="I135" s="237"/>
      <c r="J135" s="237">
        <v>185.25</v>
      </c>
      <c r="K135" s="236" t="s">
        <v>970</v>
      </c>
      <c r="L135" s="176">
        <f>I135+J135*EERR!$D$2</f>
        <v>110557.2</v>
      </c>
      <c r="M135" s="112">
        <f>L135/EERR!$D$2</f>
        <v>185.25</v>
      </c>
      <c r="N135" s="112">
        <f>SUMIF(Feb!$B$3:$B$101,A135,Feb!$T$3:$T$101)</f>
        <v>110557.2</v>
      </c>
    </row>
    <row r="136" spans="1:14" x14ac:dyDescent="0.3">
      <c r="A136" s="234">
        <v>86059</v>
      </c>
      <c r="B136" s="235" t="s">
        <v>971</v>
      </c>
      <c r="C136" s="236" t="s">
        <v>330</v>
      </c>
      <c r="D136" s="236" t="s">
        <v>139</v>
      </c>
      <c r="E136" s="236" t="s">
        <v>140</v>
      </c>
      <c r="F136" s="236" t="s">
        <v>145</v>
      </c>
      <c r="G136" s="236" t="s">
        <v>972</v>
      </c>
      <c r="H136" s="236" t="s">
        <v>142</v>
      </c>
      <c r="I136" s="237"/>
      <c r="J136" s="237">
        <v>526.5</v>
      </c>
      <c r="K136" s="236" t="s">
        <v>973</v>
      </c>
      <c r="L136" s="176">
        <f>I136+J136*EERR!$D$2</f>
        <v>314215.19999999995</v>
      </c>
      <c r="M136" s="112">
        <f>L136/EERR!$D$2</f>
        <v>526.5</v>
      </c>
      <c r="N136" s="112">
        <f>SUMIF(Feb!$B$3:$B$101,A136,Feb!$T$3:$T$101)</f>
        <v>418953.6</v>
      </c>
    </row>
    <row r="137" spans="1:14" x14ac:dyDescent="0.3">
      <c r="A137" s="234">
        <v>22999</v>
      </c>
      <c r="B137" s="235" t="s">
        <v>974</v>
      </c>
      <c r="C137" s="236" t="s">
        <v>329</v>
      </c>
      <c r="D137" s="236" t="s">
        <v>139</v>
      </c>
      <c r="E137" s="236" t="s">
        <v>143</v>
      </c>
      <c r="F137" s="236" t="s">
        <v>144</v>
      </c>
      <c r="G137" s="236" t="s">
        <v>975</v>
      </c>
      <c r="H137" s="236" t="s">
        <v>143</v>
      </c>
      <c r="I137" s="237">
        <v>131166</v>
      </c>
      <c r="J137" s="237"/>
      <c r="K137" s="236" t="s">
        <v>976</v>
      </c>
      <c r="L137" s="176">
        <f>I137+J137*EERR!$D$2</f>
        <v>131166</v>
      </c>
      <c r="M137" s="112">
        <f>L137/EERR!$D$2</f>
        <v>219.78217158176946</v>
      </c>
      <c r="N137" s="112">
        <f>SUMIF(Feb!$B$3:$B$101,A137,Feb!$T$3:$T$101)</f>
        <v>0</v>
      </c>
    </row>
    <row r="138" spans="1:14" x14ac:dyDescent="0.3">
      <c r="A138" s="234">
        <v>22999</v>
      </c>
      <c r="B138" s="235" t="s">
        <v>977</v>
      </c>
      <c r="C138" s="236" t="s">
        <v>329</v>
      </c>
      <c r="D138" s="236" t="s">
        <v>139</v>
      </c>
      <c r="E138" s="236" t="s">
        <v>143</v>
      </c>
      <c r="F138" s="236" t="s">
        <v>144</v>
      </c>
      <c r="G138" s="236" t="s">
        <v>975</v>
      </c>
      <c r="H138" s="236" t="s">
        <v>143</v>
      </c>
      <c r="I138" s="237">
        <v>398207</v>
      </c>
      <c r="J138" s="237"/>
      <c r="K138" s="236" t="s">
        <v>978</v>
      </c>
      <c r="L138" s="176">
        <f>I138+J138*EERR!$D$2</f>
        <v>398207</v>
      </c>
      <c r="M138" s="112">
        <f>L138/EERR!$D$2</f>
        <v>667.23693029490619</v>
      </c>
      <c r="N138" s="112">
        <f>SUMIF(Feb!$B$3:$B$101,A138,Feb!$T$3:$T$101)</f>
        <v>0</v>
      </c>
    </row>
    <row r="139" spans="1:14" x14ac:dyDescent="0.3">
      <c r="A139" s="234">
        <v>14184</v>
      </c>
      <c r="B139" s="235" t="s">
        <v>979</v>
      </c>
      <c r="C139" s="236" t="s">
        <v>329</v>
      </c>
      <c r="D139" s="236" t="s">
        <v>139</v>
      </c>
      <c r="E139" s="236" t="s">
        <v>143</v>
      </c>
      <c r="F139" s="236" t="s">
        <v>145</v>
      </c>
      <c r="G139" s="236" t="s">
        <v>980</v>
      </c>
      <c r="H139" s="236" t="s">
        <v>143</v>
      </c>
      <c r="I139" s="237">
        <v>138070</v>
      </c>
      <c r="J139" s="237"/>
      <c r="K139" s="236" t="s">
        <v>981</v>
      </c>
      <c r="L139" s="176">
        <f>I139+J139*EERR!$D$2</f>
        <v>138070</v>
      </c>
      <c r="M139" s="112">
        <f>L139/EERR!$D$2</f>
        <v>231.35053619302951</v>
      </c>
      <c r="N139" s="112">
        <f>SUMIF(Feb!$B$3:$B$101,A139,Feb!$T$3:$T$101)</f>
        <v>559776</v>
      </c>
    </row>
    <row r="140" spans="1:14" x14ac:dyDescent="0.3">
      <c r="A140" s="234">
        <v>14184</v>
      </c>
      <c r="B140" s="235" t="s">
        <v>979</v>
      </c>
      <c r="C140" s="236" t="s">
        <v>329</v>
      </c>
      <c r="D140" s="236" t="s">
        <v>139</v>
      </c>
      <c r="E140" s="236" t="s">
        <v>276</v>
      </c>
      <c r="F140" s="236" t="s">
        <v>145</v>
      </c>
      <c r="G140" s="236" t="s">
        <v>980</v>
      </c>
      <c r="H140" s="236" t="s">
        <v>143</v>
      </c>
      <c r="I140" s="237">
        <v>-138070</v>
      </c>
      <c r="J140" s="237"/>
      <c r="K140" s="236" t="s">
        <v>981</v>
      </c>
      <c r="L140" s="176">
        <f>I140+J140*EERR!$D$2</f>
        <v>-138070</v>
      </c>
      <c r="M140" s="112">
        <f>L140/EERR!$D$2</f>
        <v>-231.35053619302951</v>
      </c>
      <c r="N140" s="112">
        <f>SUMIF(Feb!$B$3:$B$101,A140,Feb!$T$3:$T$101)</f>
        <v>559776</v>
      </c>
    </row>
    <row r="141" spans="1:14" x14ac:dyDescent="0.3">
      <c r="A141" s="234">
        <v>14184</v>
      </c>
      <c r="B141" s="235" t="s">
        <v>982</v>
      </c>
      <c r="C141" s="236" t="s">
        <v>329</v>
      </c>
      <c r="D141" s="236" t="s">
        <v>139</v>
      </c>
      <c r="E141" s="236" t="s">
        <v>143</v>
      </c>
      <c r="F141" s="236" t="s">
        <v>144</v>
      </c>
      <c r="G141" s="236" t="s">
        <v>983</v>
      </c>
      <c r="H141" s="236" t="s">
        <v>143</v>
      </c>
      <c r="I141" s="237">
        <v>559776</v>
      </c>
      <c r="J141" s="237"/>
      <c r="K141" s="236" t="s">
        <v>984</v>
      </c>
      <c r="L141" s="176">
        <f>I141+J141*EERR!$D$2</f>
        <v>559776</v>
      </c>
      <c r="M141" s="112">
        <f>L141/EERR!$D$2</f>
        <v>937.96246648793567</v>
      </c>
      <c r="N141" s="112">
        <f>SUMIF(Feb!$B$3:$B$101,A141,Feb!$T$3:$T$101)</f>
        <v>559776</v>
      </c>
    </row>
    <row r="142" spans="1:14" x14ac:dyDescent="0.3">
      <c r="A142" s="234">
        <v>84247</v>
      </c>
      <c r="B142" s="235" t="s">
        <v>985</v>
      </c>
      <c r="C142" s="236" t="s">
        <v>329</v>
      </c>
      <c r="D142" s="236" t="s">
        <v>139</v>
      </c>
      <c r="E142" s="236" t="s">
        <v>143</v>
      </c>
      <c r="F142" s="236" t="s">
        <v>145</v>
      </c>
      <c r="G142" s="236" t="s">
        <v>986</v>
      </c>
      <c r="H142" s="236" t="s">
        <v>143</v>
      </c>
      <c r="I142" s="237">
        <v>138070</v>
      </c>
      <c r="J142" s="237"/>
      <c r="K142" s="236" t="s">
        <v>987</v>
      </c>
      <c r="L142" s="176">
        <f>I142+J142*EERR!$D$2</f>
        <v>138070</v>
      </c>
      <c r="M142" s="112">
        <f>L142/EERR!$D$2</f>
        <v>231.35053619302951</v>
      </c>
      <c r="N142" s="112">
        <f>SUMIF(Feb!$B$3:$B$101,A142,Feb!$T$3:$T$101)</f>
        <v>274515</v>
      </c>
    </row>
    <row r="143" spans="1:14" x14ac:dyDescent="0.3">
      <c r="A143" s="234">
        <v>84247</v>
      </c>
      <c r="B143" s="235" t="s">
        <v>988</v>
      </c>
      <c r="C143" s="236" t="s">
        <v>329</v>
      </c>
      <c r="D143" s="236" t="s">
        <v>139</v>
      </c>
      <c r="E143" s="236" t="s">
        <v>143</v>
      </c>
      <c r="F143" s="236" t="s">
        <v>145</v>
      </c>
      <c r="G143" s="236" t="s">
        <v>989</v>
      </c>
      <c r="H143" s="236" t="s">
        <v>143</v>
      </c>
      <c r="I143" s="237">
        <v>136445</v>
      </c>
      <c r="J143" s="237"/>
      <c r="K143" s="236" t="s">
        <v>990</v>
      </c>
      <c r="L143" s="176">
        <f>I143+J143*EERR!$D$2</f>
        <v>136445</v>
      </c>
      <c r="M143" s="112">
        <f>L143/EERR!$D$2</f>
        <v>228.62768096514748</v>
      </c>
      <c r="N143" s="112">
        <f>SUMIF(Feb!$B$3:$B$101,A143,Feb!$T$3:$T$101)</f>
        <v>274515</v>
      </c>
    </row>
    <row r="144" spans="1:14" x14ac:dyDescent="0.3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SUMIF(Feb!$B$3:$B$101,A144,Feb!$T$3:$T$101)</f>
        <v>0</v>
      </c>
    </row>
    <row r="145" spans="1:14" x14ac:dyDescent="0.3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SUMIF(Feb!$B$3:$B$101,A145,Feb!$T$3:$T$101)</f>
        <v>0</v>
      </c>
    </row>
    <row r="146" spans="1:14" x14ac:dyDescent="0.3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SUMIF(Feb!$B$3:$B$101,A146,Feb!$T$3:$T$101)</f>
        <v>0</v>
      </c>
    </row>
    <row r="147" spans="1:14" x14ac:dyDescent="0.3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SUMIF(Feb!$B$3:$B$101,A147,Feb!$T$3:$T$101)</f>
        <v>0</v>
      </c>
    </row>
    <row r="148" spans="1:14" x14ac:dyDescent="0.3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SUMIF(Feb!$B$3:$B$101,A148,Feb!$T$3:$T$101)</f>
        <v>0</v>
      </c>
    </row>
    <row r="149" spans="1:14" x14ac:dyDescent="0.3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SUMIF(Feb!$B$3:$B$101,A149,Feb!$T$3:$T$101)</f>
        <v>0</v>
      </c>
    </row>
    <row r="150" spans="1:14" x14ac:dyDescent="0.3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SUMIF(Feb!$B$3:$B$101,A150,Feb!$T$3:$T$101)</f>
        <v>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SUMIF(Feb!$B$3:$B$101,A151,Feb!$T$3:$T$101)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SUMIF(Feb!$B$3:$B$101,A152,Feb!$T$3:$T$101)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SUMIF(Feb!$B$3:$B$101,A153,Feb!$T$3:$T$101)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SUMIF(Feb!$B$3:$B$101,A154,Feb!$T$3:$T$101)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SUMIF(Feb!$B$3:$B$101,A155,Feb!$T$3:$T$101)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SUMIF(Feb!$B$3:$B$101,A156,Feb!$T$3:$T$101)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SUMIF(Feb!$B$3:$B$101,A157,Feb!$T$3:$T$101)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SUMIF(Feb!$B$3:$B$101,A158,Feb!$T$3:$T$101)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SUMIF(Feb!$B$3:$B$101,A159,Feb!$T$3:$T$101)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SUMIF(Feb!$B$3:$B$101,A160,Feb!$T$3:$T$101)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SUMIF(Feb!$B$3:$B$101,A161,Feb!$T$3:$T$101)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SUMIF(Feb!$B$3:$B$101,A162,Feb!$T$3:$T$101)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SUMIF(Feb!$B$3:$B$101,A163,Feb!$T$3:$T$101)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SUMIF(Feb!$B$3:$B$101,A164,Feb!$T$3:$T$101)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SUMIF(Feb!$B$3:$B$101,A165,Feb!$T$3:$T$101)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SUMIF(Feb!$B$3:$B$101,A166,Feb!$T$3:$T$101)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SUMIF(Feb!$B$3:$B$101,A167,Feb!$T$3:$T$101)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SUMIF(Feb!$B$3:$B$101,A168,Feb!$T$3:$T$101)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SUMIF(Feb!$B$3:$B$101,A169,Feb!$T$3:$T$101)</f>
        <v>0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SUMIF(Feb!$B$3:$B$101,A170,Feb!$T$3:$T$101)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SUMIF(Feb!$B$3:$B$101,A171,Feb!$T$3:$T$101)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SUMIF(Feb!$B$3:$B$101,A172,Feb!$T$3:$T$101)</f>
        <v>0</v>
      </c>
      <c r="Q172" s="190">
        <f>SUM(J2:J179)+Feb!J100</f>
        <v>40710.380000000005</v>
      </c>
      <c r="R172" s="168">
        <f>Q172*EERR!D2</f>
        <v>24295954.784000002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SUMIF(Feb!$B$3:$B$101,A173,Feb!$T$3:$T$101)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SUMIF(Feb!$B$3:$B$101,A174,Feb!$T$3:$T$101)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SUMIF(Feb!$B$3:$B$101,A175,Feb!$T$3:$T$101)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SUMIF(Feb!$B$3:$B$101,A176,Feb!$T$3:$T$101)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SUMIF(Feb!$B$3:$B$101,A177,Feb!$T$3:$T$101)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SUMIF(Feb!$B$3:$B$101,A178,Feb!$T$3:$T$101)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SUMIF(Feb!$B$3:$B$101,A179,Feb!$T$3:$T$101)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SUMIF(Feb!$B$3:$B$101,A180,Feb!$T$3:$T$101)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SUMIF(Feb!$B$3:$B$101,A181,Feb!$T$3:$T$101)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SUMIF(Feb!$B$3:$B$101,A182,Feb!$T$3:$T$101)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SUMIF(Feb!$B$3:$B$101,A183,Feb!$T$3:$T$101)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SUMIF(Feb!$B$3:$B$101,A184,Feb!$T$3:$T$101)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SUMIF(Feb!$B$3:$B$101,A185,Feb!$T$3:$T$101)</f>
        <v>0</v>
      </c>
    </row>
    <row r="186" spans="1:14" x14ac:dyDescent="0.3">
      <c r="A186" s="234"/>
      <c r="B186" s="235"/>
      <c r="C186" s="236"/>
      <c r="D186" s="236"/>
      <c r="E186" s="236"/>
      <c r="F186" s="236"/>
      <c r="G186" s="236"/>
      <c r="H186" s="236"/>
      <c r="I186" s="237"/>
      <c r="J186" s="237"/>
      <c r="K186" s="236"/>
      <c r="L186" s="176">
        <f>I186+J186*EERR!$D$2</f>
        <v>0</v>
      </c>
      <c r="M186" s="112">
        <f>L186/EERR!$D$2</f>
        <v>0</v>
      </c>
      <c r="N186" s="112">
        <f>SUMIF(Feb!$B$3:$B$101,A186,Feb!$T$3:$T$101)</f>
        <v>0</v>
      </c>
    </row>
    <row r="187" spans="1:14" x14ac:dyDescent="0.3">
      <c r="A187" s="234"/>
      <c r="B187" s="235"/>
      <c r="C187" s="236"/>
      <c r="D187" s="236"/>
      <c r="E187" s="236"/>
      <c r="F187" s="236"/>
      <c r="G187" s="236"/>
      <c r="H187" s="236"/>
      <c r="I187" s="237"/>
      <c r="J187" s="237"/>
      <c r="K187" s="236"/>
      <c r="L187" s="176">
        <f>I187+J187*EERR!$D$2</f>
        <v>0</v>
      </c>
      <c r="M187" s="112">
        <f>L187/EERR!$D$2</f>
        <v>0</v>
      </c>
      <c r="N187" s="112">
        <f>SUMIF(Feb!$B$3:$B$101,A187,Feb!$T$3:$T$101)</f>
        <v>0</v>
      </c>
    </row>
    <row r="188" spans="1:14" x14ac:dyDescent="0.3">
      <c r="A188" s="234"/>
      <c r="B188" s="235"/>
      <c r="C188" s="236"/>
      <c r="D188" s="236"/>
      <c r="E188" s="236"/>
      <c r="F188" s="236"/>
      <c r="G188" s="236"/>
      <c r="H188" s="236"/>
      <c r="I188" s="237"/>
      <c r="J188" s="237"/>
      <c r="K188" s="236"/>
      <c r="L188" s="176">
        <f>I188+J188*EERR!$D$2</f>
        <v>0</v>
      </c>
      <c r="M188" s="112">
        <f>L188/EERR!$D$2</f>
        <v>0</v>
      </c>
      <c r="N188" s="112">
        <f>SUMIF(Feb!$B$3:$B$101,A188,Feb!$T$3:$T$101)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SUMIF(Feb!$B$3:$B$101,A189,Feb!$T$3:$T$101)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SUMIF(Feb!$B$3:$B$101,A190,Feb!$T$3:$T$101)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SUMIF(Feb!$B$3:$B$101,A191,Feb!$T$3:$T$101)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SUMIF(Feb!$B$3:$B$101,A192,Feb!$T$3:$T$101)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SUMIF(Feb!$B$3:$B$101,A193,Feb!$T$3:$T$101)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SUMIF(Feb!$B$3:$B$101,A194,Feb!$T$3:$T$101)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SUMIF(Feb!$B$3:$B$101,A195,Feb!$T$3:$T$101)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SUMIF(Feb!$B$3:$B$101,A196,Feb!$T$3:$T$101)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SUMIF(Feb!$B$3:$B$101,A197,Feb!$T$3:$T$101)</f>
        <v>0</v>
      </c>
    </row>
    <row r="198" spans="1:14" x14ac:dyDescent="0.3">
      <c r="A198" s="220"/>
      <c r="B198" s="221"/>
      <c r="C198" s="222"/>
      <c r="D198" s="222"/>
      <c r="E198" s="222"/>
      <c r="F198" s="222"/>
      <c r="G198" s="222"/>
      <c r="H198" s="222"/>
      <c r="I198" s="223"/>
      <c r="J198" s="223"/>
      <c r="K198" s="222"/>
      <c r="L198" s="176">
        <f>I198+J198*EERR!$D$2</f>
        <v>0</v>
      </c>
      <c r="M198" s="112">
        <f>L198/EERR!$D$2</f>
        <v>0</v>
      </c>
      <c r="N198" s="112">
        <f>SUMIF(Feb!$B$3:$B$101,A198,Feb!$T$3:$T$101)</f>
        <v>0</v>
      </c>
    </row>
    <row r="199" spans="1:14" x14ac:dyDescent="0.3">
      <c r="A199" s="220"/>
      <c r="B199" s="221"/>
      <c r="C199" s="222"/>
      <c r="D199" s="222"/>
      <c r="E199" s="222"/>
      <c r="F199" s="222"/>
      <c r="G199" s="222"/>
      <c r="H199" s="222"/>
      <c r="I199" s="223"/>
      <c r="J199" s="223"/>
      <c r="K199" s="222"/>
      <c r="L199" s="176">
        <f>I199+J199*EERR!$D$2</f>
        <v>0</v>
      </c>
      <c r="M199" s="112">
        <f>L199/EERR!$D$2</f>
        <v>0</v>
      </c>
      <c r="N199" s="112">
        <f>SUMIF(Feb!$B$3:$B$101,A199,Feb!$T$3:$T$101)</f>
        <v>0</v>
      </c>
    </row>
    <row r="200" spans="1:14" x14ac:dyDescent="0.3">
      <c r="A200" s="220"/>
      <c r="B200" s="221"/>
      <c r="C200" s="222"/>
      <c r="D200" s="222"/>
      <c r="E200" s="222"/>
      <c r="F200" s="222"/>
      <c r="G200" s="222"/>
      <c r="H200" s="222"/>
      <c r="I200" s="223"/>
      <c r="J200" s="223"/>
      <c r="K200" s="222"/>
      <c r="L200" s="176">
        <f>I200+J200*EERR!$D$2</f>
        <v>0</v>
      </c>
      <c r="M200" s="112">
        <f>L200/EERR!$D$2</f>
        <v>0</v>
      </c>
      <c r="N200" s="112">
        <f>SUMIF(Feb!$B$3:$B$101,A200,Feb!$T$3:$T$101)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SUMIF(Feb!$B$3:$B$101,A201,Feb!$T$3:$T$101)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SUMIF(Feb!$B$3:$B$101,A202,Feb!$T$3:$T$101)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SUMIF(Feb!$B$3:$B$101,A203,Feb!$T$3:$T$101)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SUMIF(Feb!$B$3:$B$101,A204,Feb!$T$3:$T$101)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SUMIF(Feb!$B$3:$B$101,A205,Feb!$T$3:$T$101)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SUMIF(Feb!$B$3:$B$101,A206,Feb!$T$3:$T$101)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SUMIF(Feb!$B$3:$B$101,A207,Feb!$T$3:$T$101)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SUMIF(Feb!$B$3:$B$101,A208,Feb!$T$3:$T$101)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SUMIF(Feb!$B$3:$B$101,A209,Feb!$T$3:$T$101)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SUMIF(Feb!$B$3:$B$101,A210,Feb!$T$3:$T$101)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SUMIF(Feb!$B$3:$B$101,A211,Feb!$T$3:$T$101)</f>
        <v>0</v>
      </c>
    </row>
    <row r="212" spans="1:18" x14ac:dyDescent="0.3">
      <c r="A212" s="124"/>
      <c r="B212" s="121"/>
      <c r="C212" s="110"/>
      <c r="D212" s="110"/>
      <c r="E212" s="110"/>
      <c r="F212" s="110"/>
      <c r="G212" s="110"/>
      <c r="H212" s="110"/>
      <c r="I212" s="111"/>
      <c r="J212" s="111"/>
      <c r="K212" s="110"/>
      <c r="L212" s="176">
        <f>I212+J212*EERR!$D$2</f>
        <v>0</v>
      </c>
      <c r="M212" s="112">
        <f>L212/EERR!$D$2</f>
        <v>0</v>
      </c>
      <c r="N212" s="112">
        <f>SUMIF(Feb!$B$3:$B$101,A212,Feb!$T$3:$T$101)</f>
        <v>0</v>
      </c>
    </row>
    <row r="213" spans="1:18" x14ac:dyDescent="0.3">
      <c r="A213" s="124"/>
      <c r="B213" s="121"/>
      <c r="C213" s="110"/>
      <c r="D213" s="110"/>
      <c r="E213" s="110"/>
      <c r="F213" s="110"/>
      <c r="G213" s="110"/>
      <c r="H213" s="110"/>
      <c r="I213" s="111"/>
      <c r="J213" s="111"/>
      <c r="K213" s="110"/>
      <c r="L213" s="176">
        <f>I213+J213*EERR!$D$2</f>
        <v>0</v>
      </c>
      <c r="M213" s="112">
        <f>L213/EERR!$D$2</f>
        <v>0</v>
      </c>
      <c r="N213" s="112">
        <f>SUMIF(Feb!$B$3:$B$101,A213,Feb!$T$3:$T$101)</f>
        <v>0</v>
      </c>
    </row>
    <row r="214" spans="1:18" x14ac:dyDescent="0.3">
      <c r="A214" s="124"/>
      <c r="B214" s="121"/>
      <c r="C214" s="110"/>
      <c r="D214" s="110"/>
      <c r="E214" s="110"/>
      <c r="F214" s="110"/>
      <c r="G214" s="110"/>
      <c r="H214" s="110"/>
      <c r="I214" s="111"/>
      <c r="J214" s="111"/>
      <c r="K214" s="110"/>
      <c r="L214" s="176">
        <f>I214+J214*EERR!$D$2</f>
        <v>0</v>
      </c>
      <c r="M214" s="112">
        <f>L214/EERR!$D$2</f>
        <v>0</v>
      </c>
      <c r="N214" s="112">
        <f>SUMIF(Feb!$B$3:$B$101,A214,Feb!$T$3:$T$101)</f>
        <v>0</v>
      </c>
    </row>
    <row r="215" spans="1:18" x14ac:dyDescent="0.3">
      <c r="A215" s="191"/>
      <c r="B215" s="191"/>
      <c r="C215" s="191"/>
      <c r="D215" s="191"/>
      <c r="E215" s="191"/>
      <c r="F215" s="191"/>
      <c r="G215" s="191"/>
      <c r="H215" s="191"/>
      <c r="I215" s="192">
        <f>SUM(I2:I214)</f>
        <v>8595408</v>
      </c>
      <c r="J215" s="192">
        <f>SUM(J2:J214)</f>
        <v>31583.88</v>
      </c>
      <c r="K215" s="191"/>
      <c r="L215" s="282">
        <f>I215+J215*EERR!$D$2</f>
        <v>27444667.583999999</v>
      </c>
      <c r="M215" s="112">
        <f>L215/EERR!$D$2</f>
        <v>45986.373297587132</v>
      </c>
      <c r="N215" s="112">
        <f>SUMIF(Feb!$B$3:$B$101,A215,Feb!$T$3:$T$101)</f>
        <v>0</v>
      </c>
      <c r="O215" s="167"/>
      <c r="P215" s="167"/>
      <c r="R215" s="58">
        <v>7096000</v>
      </c>
    </row>
    <row r="216" spans="1:18" x14ac:dyDescent="0.3">
      <c r="I216" s="190">
        <f>I215-I12</f>
        <v>8595408</v>
      </c>
      <c r="J216" s="58"/>
      <c r="L216" s="282">
        <f>I216+J216*EERR!$D$2</f>
        <v>8595408</v>
      </c>
      <c r="M216" s="112">
        <f>L216/EERR!$D$2</f>
        <v>14402.493297587132</v>
      </c>
      <c r="N216" s="112">
        <f>SUMIF(Feb!$B$3:$B$101,A216,Feb!$T$3:$T$101)</f>
        <v>0</v>
      </c>
      <c r="O216" s="167"/>
      <c r="P216" s="167"/>
      <c r="R216" s="58">
        <f>R215*0.19</f>
        <v>1348240</v>
      </c>
    </row>
    <row r="217" spans="1:18" x14ac:dyDescent="0.3">
      <c r="H217" s="58" t="s">
        <v>109</v>
      </c>
      <c r="I217" s="190">
        <f>I216*0.19</f>
        <v>1633127.52</v>
      </c>
      <c r="J217" s="58"/>
      <c r="L217" s="282">
        <f>I217+J217*EERR!$D$2</f>
        <v>1633127.52</v>
      </c>
      <c r="M217" s="112">
        <f>L217/EERR!$D$2</f>
        <v>2736.4737265415552</v>
      </c>
      <c r="N217" s="112">
        <f>SUMIF(Feb!$B$3:$B$101,A217,Feb!$T$3:$T$101)</f>
        <v>0</v>
      </c>
      <c r="Q217" s="193"/>
    </row>
    <row r="218" spans="1:18" x14ac:dyDescent="0.3">
      <c r="I218" s="58"/>
      <c r="J218" s="58"/>
      <c r="L218" s="176">
        <f>I218+J218*EERR!$D$2</f>
        <v>0</v>
      </c>
      <c r="M218" s="112">
        <f>L218/EERR!$D$2</f>
        <v>0</v>
      </c>
      <c r="N218" s="112">
        <f>SUMIF(Feb!$B$3:$B$101,A218,Feb!$T$3:$T$101)</f>
        <v>0</v>
      </c>
    </row>
    <row r="219" spans="1:18" x14ac:dyDescent="0.3">
      <c r="I219" s="58"/>
      <c r="J219" s="58"/>
      <c r="L219" s="176">
        <f>I219+J219*EERR!$D$2</f>
        <v>0</v>
      </c>
      <c r="M219" s="112">
        <f>L219/EERR!$D$2</f>
        <v>0</v>
      </c>
      <c r="N219" s="112">
        <f>SUMIF(Feb!$B$3:$B$101,A219,Feb!$T$3:$T$101)</f>
        <v>0</v>
      </c>
    </row>
    <row r="220" spans="1:18" x14ac:dyDescent="0.3">
      <c r="L220" s="176">
        <f>I220+J220*EERR!$D$2</f>
        <v>0</v>
      </c>
      <c r="M220" s="112">
        <f>L220/EERR!$D$2</f>
        <v>0</v>
      </c>
      <c r="N220" s="112">
        <f>SUMIF(Feb!$B$3:$B$101,A220,Feb!$T$3:$T$101)</f>
        <v>0</v>
      </c>
    </row>
    <row r="221" spans="1:18" x14ac:dyDescent="0.3">
      <c r="A221" s="154" t="s">
        <v>112</v>
      </c>
      <c r="B221" s="188" t="s">
        <v>113</v>
      </c>
      <c r="C221" s="154" t="s">
        <v>114</v>
      </c>
      <c r="D221" s="154" t="s">
        <v>115</v>
      </c>
      <c r="E221" s="154" t="s">
        <v>116</v>
      </c>
      <c r="F221" s="154" t="s">
        <v>117</v>
      </c>
      <c r="G221" s="154" t="s">
        <v>118</v>
      </c>
      <c r="H221" s="154" t="s">
        <v>119</v>
      </c>
      <c r="I221" s="156" t="s">
        <v>120</v>
      </c>
      <c r="J221" s="156" t="s">
        <v>121</v>
      </c>
      <c r="K221" s="154" t="s">
        <v>122</v>
      </c>
      <c r="L221" s="176" t="e">
        <f>I221+J221*EERR!$D$2</f>
        <v>#VALUE!</v>
      </c>
      <c r="M221" s="112" t="e">
        <f>L221/EERR!$D$2</f>
        <v>#VALUE!</v>
      </c>
      <c r="N221" s="112">
        <f>SUMIF(Feb!$B$3:$B$101,A221,Feb!$T$3:$T$101)</f>
        <v>0</v>
      </c>
      <c r="O221" s="189" t="s">
        <v>57</v>
      </c>
      <c r="P221" s="189" t="s">
        <v>97</v>
      </c>
    </row>
    <row r="222" spans="1:18" x14ac:dyDescent="0.3">
      <c r="A222" s="289">
        <v>82569</v>
      </c>
      <c r="B222" s="290">
        <v>43101</v>
      </c>
      <c r="C222" s="291">
        <v>30975278</v>
      </c>
      <c r="D222" s="291" t="s">
        <v>139</v>
      </c>
      <c r="E222" s="291" t="s">
        <v>140</v>
      </c>
      <c r="F222" s="291" t="s">
        <v>144</v>
      </c>
      <c r="G222" s="291" t="s">
        <v>475</v>
      </c>
      <c r="H222" s="291" t="s">
        <v>142</v>
      </c>
      <c r="I222" s="292"/>
      <c r="J222" s="292">
        <v>56</v>
      </c>
      <c r="K222" s="291">
        <v>329383</v>
      </c>
      <c r="L222" s="293">
        <v>35735.279999999999</v>
      </c>
      <c r="M222" s="292">
        <v>56</v>
      </c>
      <c r="N222" s="292">
        <v>0</v>
      </c>
    </row>
    <row r="223" spans="1:18" x14ac:dyDescent="0.3">
      <c r="A223" s="289">
        <v>38729</v>
      </c>
      <c r="B223" s="290">
        <v>43101</v>
      </c>
      <c r="C223" s="291">
        <v>30975278</v>
      </c>
      <c r="D223" s="291" t="s">
        <v>139</v>
      </c>
      <c r="E223" s="291" t="s">
        <v>140</v>
      </c>
      <c r="F223" s="291" t="s">
        <v>145</v>
      </c>
      <c r="G223" s="291" t="s">
        <v>476</v>
      </c>
      <c r="H223" s="291" t="s">
        <v>142</v>
      </c>
      <c r="I223" s="292"/>
      <c r="J223" s="292">
        <v>410</v>
      </c>
      <c r="K223" s="291" t="s">
        <v>477</v>
      </c>
      <c r="L223" s="293">
        <v>261633.3</v>
      </c>
      <c r="M223" s="292">
        <v>410</v>
      </c>
      <c r="N223" s="292">
        <v>261633.3</v>
      </c>
    </row>
    <row r="224" spans="1:18" x14ac:dyDescent="0.3">
      <c r="A224" s="289">
        <v>13033</v>
      </c>
      <c r="B224" s="290">
        <v>43102</v>
      </c>
      <c r="C224" s="291">
        <v>30975278</v>
      </c>
      <c r="D224" s="291" t="s">
        <v>139</v>
      </c>
      <c r="E224" s="291" t="s">
        <v>140</v>
      </c>
      <c r="F224" s="291" t="s">
        <v>145</v>
      </c>
      <c r="G224" s="291" t="s">
        <v>478</v>
      </c>
      <c r="H224" s="291" t="s">
        <v>142</v>
      </c>
      <c r="I224" s="292"/>
      <c r="J224" s="292">
        <v>205</v>
      </c>
      <c r="K224" s="291">
        <v>963638</v>
      </c>
      <c r="L224" s="293">
        <v>130816.65</v>
      </c>
      <c r="M224" s="292">
        <v>205</v>
      </c>
      <c r="N224" s="292">
        <v>130816.65</v>
      </c>
    </row>
    <row r="225" spans="1:17" x14ac:dyDescent="0.3">
      <c r="A225" s="289">
        <v>57467</v>
      </c>
      <c r="B225" s="290">
        <v>43102</v>
      </c>
      <c r="C225" s="291">
        <v>30975278</v>
      </c>
      <c r="D225" s="291" t="s">
        <v>139</v>
      </c>
      <c r="E225" s="291" t="s">
        <v>140</v>
      </c>
      <c r="F225" s="291" t="s">
        <v>144</v>
      </c>
      <c r="G225" s="291" t="s">
        <v>479</v>
      </c>
      <c r="H225" s="291" t="s">
        <v>142</v>
      </c>
      <c r="I225" s="292"/>
      <c r="J225" s="292">
        <v>205</v>
      </c>
      <c r="K225" s="291">
        <v>171712</v>
      </c>
      <c r="L225" s="293">
        <v>130816.65</v>
      </c>
      <c r="M225" s="292">
        <v>205</v>
      </c>
      <c r="N225" s="292">
        <v>392449.95</v>
      </c>
    </row>
    <row r="226" spans="1:17" x14ac:dyDescent="0.3">
      <c r="A226" s="289">
        <v>66183</v>
      </c>
      <c r="B226" s="290">
        <v>43102</v>
      </c>
      <c r="C226" s="291">
        <v>30975278</v>
      </c>
      <c r="D226" s="291" t="s">
        <v>139</v>
      </c>
      <c r="E226" s="291" t="s">
        <v>140</v>
      </c>
      <c r="F226" s="291" t="s">
        <v>145</v>
      </c>
      <c r="G226" s="291" t="s">
        <v>480</v>
      </c>
      <c r="H226" s="291" t="s">
        <v>142</v>
      </c>
      <c r="I226" s="292"/>
      <c r="J226" s="292">
        <v>195</v>
      </c>
      <c r="K226" s="291">
        <v>673816</v>
      </c>
      <c r="L226" s="293">
        <v>124435.35</v>
      </c>
      <c r="M226" s="292">
        <v>195</v>
      </c>
      <c r="N226" s="292">
        <v>622176.75</v>
      </c>
    </row>
    <row r="227" spans="1:17" x14ac:dyDescent="0.3">
      <c r="A227" s="289">
        <v>25122</v>
      </c>
      <c r="B227" s="290">
        <v>43102</v>
      </c>
      <c r="C227" s="291">
        <v>30905830</v>
      </c>
      <c r="D227" s="291" t="s">
        <v>139</v>
      </c>
      <c r="E227" s="291" t="s">
        <v>143</v>
      </c>
      <c r="F227" s="291" t="s">
        <v>144</v>
      </c>
      <c r="G227" s="291" t="s">
        <v>481</v>
      </c>
      <c r="H227" s="291" t="s">
        <v>143</v>
      </c>
      <c r="I227" s="292">
        <v>150029</v>
      </c>
      <c r="J227" s="292"/>
      <c r="K227" s="291">
        <v>664714</v>
      </c>
      <c r="L227" s="293">
        <v>150029</v>
      </c>
      <c r="M227" s="292">
        <v>-185.25</v>
      </c>
      <c r="N227" s="292">
        <v>104621435.0226</v>
      </c>
    </row>
    <row r="228" spans="1:17" x14ac:dyDescent="0.3">
      <c r="A228" s="289">
        <v>25122</v>
      </c>
      <c r="B228" s="290">
        <v>43102</v>
      </c>
      <c r="C228" s="291">
        <v>30905830</v>
      </c>
      <c r="D228" s="291" t="s">
        <v>139</v>
      </c>
      <c r="E228" s="291" t="s">
        <v>276</v>
      </c>
      <c r="F228" s="291" t="s">
        <v>144</v>
      </c>
      <c r="G228" s="291" t="s">
        <v>481</v>
      </c>
      <c r="H228" s="291" t="s">
        <v>143</v>
      </c>
      <c r="I228" s="292">
        <v>-150029</v>
      </c>
      <c r="J228" s="292"/>
      <c r="K228" s="291">
        <v>664714</v>
      </c>
      <c r="L228" s="293">
        <v>-150029</v>
      </c>
      <c r="M228" s="292">
        <v>-235.10726654443451</v>
      </c>
      <c r="N228" s="292">
        <v>392449.95</v>
      </c>
    </row>
    <row r="229" spans="1:17" x14ac:dyDescent="0.3">
      <c r="A229" s="289">
        <v>72137</v>
      </c>
      <c r="B229" s="290">
        <v>43102</v>
      </c>
      <c r="C229" s="291">
        <v>30975278</v>
      </c>
      <c r="D229" s="291" t="s">
        <v>139</v>
      </c>
      <c r="E229" s="291" t="s">
        <v>140</v>
      </c>
      <c r="F229" s="291" t="s">
        <v>144</v>
      </c>
      <c r="G229" s="291" t="s">
        <v>482</v>
      </c>
      <c r="H229" s="291" t="s">
        <v>142</v>
      </c>
      <c r="I229" s="292"/>
      <c r="J229" s="292">
        <v>195</v>
      </c>
      <c r="K229" s="291">
        <v>602298</v>
      </c>
      <c r="L229" s="293">
        <v>124435.35</v>
      </c>
      <c r="M229" s="292">
        <v>195</v>
      </c>
      <c r="N229" s="292">
        <v>746612.1</v>
      </c>
    </row>
    <row r="230" spans="1:17" x14ac:dyDescent="0.3">
      <c r="A230" s="289">
        <v>37596</v>
      </c>
      <c r="B230" s="290">
        <v>43102</v>
      </c>
      <c r="C230" s="291">
        <v>30975278</v>
      </c>
      <c r="D230" s="291" t="s">
        <v>139</v>
      </c>
      <c r="E230" s="291" t="s">
        <v>140</v>
      </c>
      <c r="F230" s="291" t="s">
        <v>144</v>
      </c>
      <c r="G230" s="291" t="s">
        <v>483</v>
      </c>
      <c r="H230" s="291" t="s">
        <v>142</v>
      </c>
      <c r="I230" s="292"/>
      <c r="J230" s="292">
        <v>205</v>
      </c>
      <c r="K230" s="291">
        <v>511258</v>
      </c>
      <c r="L230" s="293">
        <v>130816.65</v>
      </c>
      <c r="M230" s="292">
        <v>205</v>
      </c>
      <c r="N230" s="292">
        <v>392449.95</v>
      </c>
    </row>
    <row r="231" spans="1:17" x14ac:dyDescent="0.3">
      <c r="A231" s="289">
        <v>31698</v>
      </c>
      <c r="B231" s="290">
        <v>43102</v>
      </c>
      <c r="C231" s="291">
        <v>30975278</v>
      </c>
      <c r="D231" s="291" t="s">
        <v>139</v>
      </c>
      <c r="E231" s="291" t="s">
        <v>140</v>
      </c>
      <c r="F231" s="291" t="s">
        <v>145</v>
      </c>
      <c r="G231" s="291" t="s">
        <v>484</v>
      </c>
      <c r="H231" s="291" t="s">
        <v>142</v>
      </c>
      <c r="I231" s="292"/>
      <c r="J231" s="292">
        <v>185</v>
      </c>
      <c r="K231" s="291" t="s">
        <v>485</v>
      </c>
      <c r="L231" s="293">
        <v>118054.05</v>
      </c>
      <c r="M231" s="292">
        <v>185</v>
      </c>
      <c r="N231" s="292">
        <v>471578.07</v>
      </c>
    </row>
    <row r="232" spans="1:17" x14ac:dyDescent="0.3">
      <c r="A232" s="289">
        <v>195032</v>
      </c>
      <c r="B232" s="290">
        <v>43102</v>
      </c>
      <c r="C232" s="291">
        <v>30975278</v>
      </c>
      <c r="D232" s="291" t="s">
        <v>139</v>
      </c>
      <c r="E232" s="291" t="s">
        <v>140</v>
      </c>
      <c r="F232" s="291" t="s">
        <v>145</v>
      </c>
      <c r="G232" s="291" t="s">
        <v>366</v>
      </c>
      <c r="H232" s="291" t="s">
        <v>142</v>
      </c>
      <c r="I232" s="292"/>
      <c r="J232" s="292">
        <v>185</v>
      </c>
      <c r="K232" s="291">
        <v>531094</v>
      </c>
      <c r="L232" s="293">
        <v>118054.05</v>
      </c>
      <c r="M232" s="292">
        <v>185</v>
      </c>
      <c r="N232" s="292">
        <v>0</v>
      </c>
    </row>
    <row r="233" spans="1:17" x14ac:dyDescent="0.3">
      <c r="A233" s="289">
        <v>78488</v>
      </c>
      <c r="B233" s="290">
        <v>43103</v>
      </c>
      <c r="C233" s="291">
        <v>30975278</v>
      </c>
      <c r="D233" s="291" t="s">
        <v>139</v>
      </c>
      <c r="E233" s="291" t="s">
        <v>140</v>
      </c>
      <c r="F233" s="291" t="s">
        <v>144</v>
      </c>
      <c r="G233" s="291" t="s">
        <v>383</v>
      </c>
      <c r="H233" s="291" t="s">
        <v>142</v>
      </c>
      <c r="I233" s="292"/>
      <c r="J233" s="292">
        <v>585</v>
      </c>
      <c r="K233" s="291">
        <v>14715</v>
      </c>
      <c r="L233" s="293">
        <v>373306.05</v>
      </c>
      <c r="M233" s="292">
        <v>585</v>
      </c>
      <c r="N233" s="292">
        <v>497741.4</v>
      </c>
    </row>
    <row r="234" spans="1:17" x14ac:dyDescent="0.3">
      <c r="A234" s="289">
        <v>86697</v>
      </c>
      <c r="B234" s="290">
        <v>43103</v>
      </c>
      <c r="C234" s="291">
        <v>30975278</v>
      </c>
      <c r="D234" s="291" t="s">
        <v>139</v>
      </c>
      <c r="E234" s="291" t="s">
        <v>140</v>
      </c>
      <c r="F234" s="291" t="s">
        <v>145</v>
      </c>
      <c r="G234" s="291" t="s">
        <v>486</v>
      </c>
      <c r="H234" s="291" t="s">
        <v>142</v>
      </c>
      <c r="I234" s="292"/>
      <c r="J234" s="292">
        <v>176</v>
      </c>
      <c r="K234" s="291">
        <v>627159</v>
      </c>
      <c r="L234" s="293">
        <v>112310.88</v>
      </c>
      <c r="M234" s="292">
        <v>176</v>
      </c>
      <c r="N234" s="292">
        <v>224621.76</v>
      </c>
    </row>
    <row r="235" spans="1:17" x14ac:dyDescent="0.3">
      <c r="A235" s="289">
        <v>18342</v>
      </c>
      <c r="B235" s="290">
        <v>43103</v>
      </c>
      <c r="C235" s="291">
        <v>30975278</v>
      </c>
      <c r="D235" s="291" t="s">
        <v>139</v>
      </c>
      <c r="E235" s="291" t="s">
        <v>140</v>
      </c>
      <c r="F235" s="291" t="s">
        <v>145</v>
      </c>
      <c r="G235" s="291" t="s">
        <v>487</v>
      </c>
      <c r="H235" s="291" t="s">
        <v>142</v>
      </c>
      <c r="I235" s="292"/>
      <c r="J235" s="292">
        <v>702</v>
      </c>
      <c r="K235" s="291">
        <v>827013</v>
      </c>
      <c r="L235" s="293">
        <v>447967.26</v>
      </c>
      <c r="M235" s="292">
        <v>702</v>
      </c>
      <c r="N235" s="292">
        <v>560278.14</v>
      </c>
    </row>
    <row r="236" spans="1:17" x14ac:dyDescent="0.3">
      <c r="A236" s="289">
        <v>9331</v>
      </c>
      <c r="B236" s="290">
        <v>43103</v>
      </c>
      <c r="C236" s="291">
        <v>30975278</v>
      </c>
      <c r="D236" s="291" t="s">
        <v>139</v>
      </c>
      <c r="E236" s="291" t="s">
        <v>140</v>
      </c>
      <c r="F236" s="291" t="s">
        <v>141</v>
      </c>
      <c r="G236" s="291" t="s">
        <v>387</v>
      </c>
      <c r="H236" s="291" t="s">
        <v>142</v>
      </c>
      <c r="I236" s="292"/>
      <c r="J236" s="292">
        <v>7</v>
      </c>
      <c r="K236" s="291">
        <v>16</v>
      </c>
      <c r="L236" s="293">
        <v>4466.91</v>
      </c>
      <c r="M236" s="292">
        <v>7</v>
      </c>
      <c r="N236" s="292">
        <v>0</v>
      </c>
    </row>
    <row r="237" spans="1:17" x14ac:dyDescent="0.3">
      <c r="A237" s="289">
        <v>13605</v>
      </c>
      <c r="B237" s="290">
        <v>43104</v>
      </c>
      <c r="C237" s="291">
        <v>30975278</v>
      </c>
      <c r="D237" s="291" t="s">
        <v>139</v>
      </c>
      <c r="E237" s="291" t="s">
        <v>140</v>
      </c>
      <c r="F237" s="291" t="s">
        <v>145</v>
      </c>
      <c r="G237" s="291" t="s">
        <v>488</v>
      </c>
      <c r="H237" s="291" t="s">
        <v>142</v>
      </c>
      <c r="I237" s="292"/>
      <c r="J237" s="292">
        <v>390</v>
      </c>
      <c r="K237" s="291">
        <v>2896</v>
      </c>
      <c r="L237" s="293">
        <v>248870.7</v>
      </c>
      <c r="M237" s="292">
        <v>390</v>
      </c>
      <c r="N237" s="292">
        <v>497741.4</v>
      </c>
    </row>
    <row r="238" spans="1:17" x14ac:dyDescent="0.3">
      <c r="A238" s="289">
        <v>52434</v>
      </c>
      <c r="B238" s="290">
        <v>43104</v>
      </c>
      <c r="C238" s="291">
        <v>30975278</v>
      </c>
      <c r="D238" s="291" t="s">
        <v>139</v>
      </c>
      <c r="E238" s="291" t="s">
        <v>140</v>
      </c>
      <c r="F238" s="291" t="s">
        <v>145</v>
      </c>
      <c r="G238" s="291" t="s">
        <v>489</v>
      </c>
      <c r="H238" s="291" t="s">
        <v>142</v>
      </c>
      <c r="I238" s="292"/>
      <c r="J238" s="292">
        <v>975</v>
      </c>
      <c r="K238" s="291">
        <v>767594</v>
      </c>
      <c r="L238" s="293">
        <v>622176.75</v>
      </c>
      <c r="M238" s="292">
        <v>975</v>
      </c>
      <c r="N238" s="292">
        <v>746612.1</v>
      </c>
      <c r="Q238" s="58" t="s">
        <v>207</v>
      </c>
    </row>
    <row r="239" spans="1:17" x14ac:dyDescent="0.3">
      <c r="A239" s="303">
        <v>18864</v>
      </c>
      <c r="B239" s="304">
        <v>43104</v>
      </c>
      <c r="C239" s="305">
        <v>30975278</v>
      </c>
      <c r="D239" s="305" t="s">
        <v>139</v>
      </c>
      <c r="E239" s="305" t="s">
        <v>140</v>
      </c>
      <c r="F239" s="305" t="s">
        <v>144</v>
      </c>
      <c r="G239" s="305" t="s">
        <v>490</v>
      </c>
      <c r="H239" s="305" t="s">
        <v>142</v>
      </c>
      <c r="I239" s="306"/>
      <c r="J239" s="306">
        <v>820</v>
      </c>
      <c r="K239" s="305" t="s">
        <v>491</v>
      </c>
      <c r="L239" s="307">
        <v>523266.6</v>
      </c>
      <c r="M239" s="306">
        <v>820</v>
      </c>
      <c r="N239" s="306">
        <v>654083.25</v>
      </c>
    </row>
    <row r="240" spans="1:17" x14ac:dyDescent="0.3">
      <c r="A240" s="289">
        <v>46218</v>
      </c>
      <c r="B240" s="290">
        <v>43105</v>
      </c>
      <c r="C240" s="291">
        <v>30975278</v>
      </c>
      <c r="D240" s="291" t="s">
        <v>139</v>
      </c>
      <c r="E240" s="291" t="s">
        <v>140</v>
      </c>
      <c r="F240" s="291" t="s">
        <v>145</v>
      </c>
      <c r="G240" s="291" t="s">
        <v>492</v>
      </c>
      <c r="H240" s="291" t="s">
        <v>142</v>
      </c>
      <c r="I240" s="292"/>
      <c r="J240" s="292">
        <v>185</v>
      </c>
      <c r="K240" s="291">
        <v>704258</v>
      </c>
      <c r="L240" s="293">
        <v>118054.05</v>
      </c>
      <c r="M240" s="292">
        <v>185</v>
      </c>
      <c r="N240" s="292">
        <v>118054.05</v>
      </c>
    </row>
    <row r="241" spans="1:17" x14ac:dyDescent="0.3">
      <c r="A241" s="289">
        <v>87538</v>
      </c>
      <c r="B241" s="290">
        <v>43106</v>
      </c>
      <c r="C241" s="291">
        <v>30975278</v>
      </c>
      <c r="D241" s="291" t="s">
        <v>139</v>
      </c>
      <c r="E241" s="291" t="s">
        <v>140</v>
      </c>
      <c r="F241" s="291" t="s">
        <v>144</v>
      </c>
      <c r="G241" s="291" t="s">
        <v>493</v>
      </c>
      <c r="H241" s="291" t="s">
        <v>142</v>
      </c>
      <c r="I241" s="292"/>
      <c r="J241" s="292">
        <v>205</v>
      </c>
      <c r="K241" s="291" t="s">
        <v>494</v>
      </c>
      <c r="L241" s="293">
        <v>130816.65</v>
      </c>
      <c r="M241" s="292">
        <v>205</v>
      </c>
      <c r="N241" s="292">
        <v>392449.95</v>
      </c>
    </row>
    <row r="242" spans="1:17" x14ac:dyDescent="0.3">
      <c r="A242" s="289">
        <v>89556</v>
      </c>
      <c r="B242" s="290">
        <v>43106</v>
      </c>
      <c r="C242" s="291">
        <v>30975278</v>
      </c>
      <c r="D242" s="291" t="s">
        <v>139</v>
      </c>
      <c r="E242" s="291" t="s">
        <v>140</v>
      </c>
      <c r="F242" s="291" t="s">
        <v>144</v>
      </c>
      <c r="G242" s="291" t="s">
        <v>376</v>
      </c>
      <c r="H242" s="291" t="s">
        <v>142</v>
      </c>
      <c r="I242" s="292"/>
      <c r="J242" s="292">
        <v>410</v>
      </c>
      <c r="K242" s="291" t="s">
        <v>495</v>
      </c>
      <c r="L242" s="293">
        <v>261633.3</v>
      </c>
      <c r="M242" s="292">
        <v>410</v>
      </c>
      <c r="N242" s="292">
        <v>261633.3</v>
      </c>
    </row>
    <row r="243" spans="1:17" x14ac:dyDescent="0.3">
      <c r="A243" s="289">
        <v>91428</v>
      </c>
      <c r="B243" s="290">
        <v>43106</v>
      </c>
      <c r="C243" s="291">
        <v>30975278</v>
      </c>
      <c r="D243" s="291" t="s">
        <v>139</v>
      </c>
      <c r="E243" s="291" t="s">
        <v>140</v>
      </c>
      <c r="F243" s="291" t="s">
        <v>144</v>
      </c>
      <c r="G243" s="291" t="s">
        <v>369</v>
      </c>
      <c r="H243" s="291" t="s">
        <v>142</v>
      </c>
      <c r="I243" s="292"/>
      <c r="J243" s="292">
        <v>205</v>
      </c>
      <c r="K243" s="291">
        <v>673143</v>
      </c>
      <c r="L243" s="293">
        <v>130816.65</v>
      </c>
      <c r="M243" s="292">
        <v>205</v>
      </c>
      <c r="N243" s="292">
        <v>261633.3</v>
      </c>
    </row>
    <row r="244" spans="1:17" x14ac:dyDescent="0.3">
      <c r="A244" s="303">
        <v>48104</v>
      </c>
      <c r="B244" s="304">
        <v>43106</v>
      </c>
      <c r="C244" s="305">
        <v>30975278</v>
      </c>
      <c r="D244" s="305" t="s">
        <v>139</v>
      </c>
      <c r="E244" s="305" t="s">
        <v>140</v>
      </c>
      <c r="F244" s="305" t="s">
        <v>145</v>
      </c>
      <c r="G244" s="305" t="s">
        <v>496</v>
      </c>
      <c r="H244" s="305" t="s">
        <v>142</v>
      </c>
      <c r="I244" s="306"/>
      <c r="J244" s="306">
        <v>371</v>
      </c>
      <c r="K244" s="305">
        <v>877090</v>
      </c>
      <c r="L244" s="307">
        <v>236746.23</v>
      </c>
      <c r="M244" s="306">
        <v>371</v>
      </c>
      <c r="N244" s="306">
        <v>354800.27999999997</v>
      </c>
    </row>
    <row r="245" spans="1:17" x14ac:dyDescent="0.3">
      <c r="A245" s="289">
        <v>78488</v>
      </c>
      <c r="B245" s="290">
        <v>43107</v>
      </c>
      <c r="C245" s="291">
        <v>30905830</v>
      </c>
      <c r="D245" s="291" t="s">
        <v>139</v>
      </c>
      <c r="E245" s="291" t="s">
        <v>143</v>
      </c>
      <c r="F245" s="291" t="s">
        <v>144</v>
      </c>
      <c r="G245" s="291" t="s">
        <v>383</v>
      </c>
      <c r="H245" s="291" t="s">
        <v>143</v>
      </c>
      <c r="I245" s="292">
        <v>4000</v>
      </c>
      <c r="J245" s="292"/>
      <c r="K245" s="291">
        <v>60411</v>
      </c>
      <c r="L245" s="293">
        <v>4000</v>
      </c>
      <c r="M245" s="292">
        <v>6.2683152335730963</v>
      </c>
      <c r="N245" s="292">
        <v>497741.4</v>
      </c>
    </row>
    <row r="246" spans="1:17" x14ac:dyDescent="0.3">
      <c r="A246" s="289">
        <v>35205</v>
      </c>
      <c r="B246" s="290">
        <v>43107</v>
      </c>
      <c r="C246" s="291">
        <v>30975278</v>
      </c>
      <c r="D246" s="291" t="s">
        <v>139</v>
      </c>
      <c r="E246" s="291" t="s">
        <v>140</v>
      </c>
      <c r="F246" s="291" t="s">
        <v>144</v>
      </c>
      <c r="G246" s="291" t="s">
        <v>381</v>
      </c>
      <c r="H246" s="291" t="s">
        <v>142</v>
      </c>
      <c r="I246" s="292"/>
      <c r="J246" s="292">
        <v>1025</v>
      </c>
      <c r="K246" s="291">
        <v>473149</v>
      </c>
      <c r="L246" s="293">
        <v>654083.25</v>
      </c>
      <c r="M246" s="292">
        <v>1025</v>
      </c>
      <c r="N246" s="292">
        <v>784899.9</v>
      </c>
    </row>
    <row r="247" spans="1:17" x14ac:dyDescent="0.3">
      <c r="A247" s="289">
        <v>21289</v>
      </c>
      <c r="B247" s="290">
        <v>43108</v>
      </c>
      <c r="C247" s="291">
        <v>30975278</v>
      </c>
      <c r="D247" s="291" t="s">
        <v>139</v>
      </c>
      <c r="E247" s="291" t="s">
        <v>140</v>
      </c>
      <c r="F247" s="291" t="s">
        <v>144</v>
      </c>
      <c r="G247" s="291" t="s">
        <v>376</v>
      </c>
      <c r="H247" s="291" t="s">
        <v>142</v>
      </c>
      <c r="I247" s="292"/>
      <c r="J247" s="292">
        <v>410</v>
      </c>
      <c r="K247" s="291" t="s">
        <v>497</v>
      </c>
      <c r="L247" s="293">
        <v>261633.3</v>
      </c>
      <c r="M247" s="292">
        <v>410</v>
      </c>
      <c r="N247" s="292">
        <v>261633.3</v>
      </c>
      <c r="Q247" s="58" t="s">
        <v>208</v>
      </c>
    </row>
    <row r="248" spans="1:17" x14ac:dyDescent="0.3">
      <c r="A248" s="289">
        <v>65194</v>
      </c>
      <c r="B248" s="290">
        <v>43108</v>
      </c>
      <c r="C248" s="291">
        <v>30975278</v>
      </c>
      <c r="D248" s="291" t="s">
        <v>139</v>
      </c>
      <c r="E248" s="291" t="s">
        <v>140</v>
      </c>
      <c r="F248" s="291" t="s">
        <v>144</v>
      </c>
      <c r="G248" s="291" t="s">
        <v>498</v>
      </c>
      <c r="H248" s="291" t="s">
        <v>142</v>
      </c>
      <c r="I248" s="292"/>
      <c r="J248" s="292">
        <v>205</v>
      </c>
      <c r="K248" s="291" t="s">
        <v>499</v>
      </c>
      <c r="L248" s="293">
        <v>130816.65</v>
      </c>
      <c r="M248" s="292">
        <v>205</v>
      </c>
      <c r="N248" s="292">
        <v>261633.3</v>
      </c>
    </row>
    <row r="249" spans="1:17" x14ac:dyDescent="0.3">
      <c r="A249" s="289">
        <v>82033</v>
      </c>
      <c r="B249" s="290">
        <v>43108</v>
      </c>
      <c r="C249" s="291">
        <v>30975278</v>
      </c>
      <c r="D249" s="291" t="s">
        <v>139</v>
      </c>
      <c r="E249" s="291" t="s">
        <v>140</v>
      </c>
      <c r="F249" s="291" t="s">
        <v>145</v>
      </c>
      <c r="G249" s="291" t="s">
        <v>368</v>
      </c>
      <c r="H249" s="291" t="s">
        <v>142</v>
      </c>
      <c r="I249" s="292"/>
      <c r="J249" s="292">
        <v>975</v>
      </c>
      <c r="K249" s="291">
        <v>93948</v>
      </c>
      <c r="L249" s="293">
        <v>622176.75</v>
      </c>
      <c r="M249" s="292">
        <v>975</v>
      </c>
      <c r="N249" s="292">
        <v>746612.1</v>
      </c>
    </row>
    <row r="250" spans="1:17" x14ac:dyDescent="0.3">
      <c r="A250" s="289">
        <v>15991</v>
      </c>
      <c r="B250" s="290">
        <v>43108</v>
      </c>
      <c r="C250" s="291">
        <v>30905830</v>
      </c>
      <c r="D250" s="291" t="s">
        <v>139</v>
      </c>
      <c r="E250" s="291" t="s">
        <v>143</v>
      </c>
      <c r="F250" s="291" t="s">
        <v>145</v>
      </c>
      <c r="G250" s="291" t="s">
        <v>370</v>
      </c>
      <c r="H250" s="291" t="s">
        <v>143</v>
      </c>
      <c r="I250" s="292">
        <v>591334</v>
      </c>
      <c r="J250" s="292"/>
      <c r="K250" s="291">
        <v>873952</v>
      </c>
      <c r="L250" s="293">
        <v>591334</v>
      </c>
      <c r="M250" s="292">
        <v>926.66698008242838</v>
      </c>
      <c r="N250" s="292">
        <v>751365</v>
      </c>
    </row>
    <row r="251" spans="1:17" x14ac:dyDescent="0.3">
      <c r="A251" s="289">
        <v>75247</v>
      </c>
      <c r="B251" s="290">
        <v>43109</v>
      </c>
      <c r="C251" s="291">
        <v>30975278</v>
      </c>
      <c r="D251" s="291" t="s">
        <v>139</v>
      </c>
      <c r="E251" s="291" t="s">
        <v>140</v>
      </c>
      <c r="F251" s="291" t="s">
        <v>144</v>
      </c>
      <c r="G251" s="291" t="s">
        <v>500</v>
      </c>
      <c r="H251" s="291" t="s">
        <v>142</v>
      </c>
      <c r="I251" s="292"/>
      <c r="J251" s="292">
        <v>205</v>
      </c>
      <c r="K251" s="291">
        <v>94197</v>
      </c>
      <c r="L251" s="293">
        <v>130816.65</v>
      </c>
      <c r="M251" s="292">
        <v>205</v>
      </c>
      <c r="N251" s="292">
        <v>523266.6</v>
      </c>
    </row>
    <row r="252" spans="1:17" x14ac:dyDescent="0.3">
      <c r="A252" s="289">
        <v>81454</v>
      </c>
      <c r="B252" s="290">
        <v>43109</v>
      </c>
      <c r="C252" s="291">
        <v>30975278</v>
      </c>
      <c r="D252" s="291" t="s">
        <v>139</v>
      </c>
      <c r="E252" s="291" t="s">
        <v>140</v>
      </c>
      <c r="F252" s="291" t="s">
        <v>141</v>
      </c>
      <c r="G252" s="291" t="s">
        <v>501</v>
      </c>
      <c r="H252" s="291" t="s">
        <v>142</v>
      </c>
      <c r="I252" s="292"/>
      <c r="J252" s="292">
        <v>185</v>
      </c>
      <c r="K252" s="291">
        <v>80</v>
      </c>
      <c r="L252" s="293">
        <v>118054.05</v>
      </c>
      <c r="M252" s="292">
        <v>185</v>
      </c>
      <c r="N252" s="292">
        <v>471578.07</v>
      </c>
    </row>
    <row r="253" spans="1:17" x14ac:dyDescent="0.3">
      <c r="A253" s="289">
        <v>83286</v>
      </c>
      <c r="B253" s="290">
        <v>43109</v>
      </c>
      <c r="C253" s="291">
        <v>30975278</v>
      </c>
      <c r="D253" s="291" t="s">
        <v>139</v>
      </c>
      <c r="E253" s="291" t="s">
        <v>140</v>
      </c>
      <c r="F253" s="291" t="s">
        <v>145</v>
      </c>
      <c r="G253" s="291" t="s">
        <v>502</v>
      </c>
      <c r="H253" s="291" t="s">
        <v>142</v>
      </c>
      <c r="I253" s="292"/>
      <c r="J253" s="292">
        <v>195</v>
      </c>
      <c r="K253" s="291">
        <v>5828</v>
      </c>
      <c r="L253" s="293">
        <v>124435.35</v>
      </c>
      <c r="M253" s="292">
        <v>195</v>
      </c>
      <c r="N253" s="292">
        <v>621538.62</v>
      </c>
    </row>
    <row r="254" spans="1:17" x14ac:dyDescent="0.3">
      <c r="A254" s="289">
        <v>42821</v>
      </c>
      <c r="B254" s="290">
        <v>43109</v>
      </c>
      <c r="C254" s="291">
        <v>30975278</v>
      </c>
      <c r="D254" s="291" t="s">
        <v>139</v>
      </c>
      <c r="E254" s="291" t="s">
        <v>140</v>
      </c>
      <c r="F254" s="291" t="s">
        <v>144</v>
      </c>
      <c r="G254" s="291" t="s">
        <v>503</v>
      </c>
      <c r="H254" s="291" t="s">
        <v>142</v>
      </c>
      <c r="I254" s="292"/>
      <c r="J254" s="292">
        <v>195</v>
      </c>
      <c r="K254" s="291">
        <v>5426</v>
      </c>
      <c r="L254" s="293">
        <v>124435.35</v>
      </c>
      <c r="M254" s="292">
        <v>195</v>
      </c>
      <c r="N254" s="292">
        <v>0</v>
      </c>
    </row>
    <row r="255" spans="1:17" x14ac:dyDescent="0.3">
      <c r="A255" s="289">
        <v>62007</v>
      </c>
      <c r="B255" s="290">
        <v>43109</v>
      </c>
      <c r="C255" s="291">
        <v>30905830</v>
      </c>
      <c r="D255" s="291" t="s">
        <v>139</v>
      </c>
      <c r="E255" s="291" t="s">
        <v>143</v>
      </c>
      <c r="F255" s="291" t="s">
        <v>145</v>
      </c>
      <c r="G255" s="291" t="s">
        <v>504</v>
      </c>
      <c r="H255" s="291" t="s">
        <v>143</v>
      </c>
      <c r="I255" s="292">
        <v>267182</v>
      </c>
      <c r="J255" s="292"/>
      <c r="K255" s="291">
        <v>667512</v>
      </c>
      <c r="L255" s="293">
        <v>267182</v>
      </c>
      <c r="M255" s="292">
        <v>418.69525018413174</v>
      </c>
      <c r="N255" s="292">
        <v>0</v>
      </c>
    </row>
    <row r="256" spans="1:17" x14ac:dyDescent="0.3">
      <c r="A256" s="289">
        <v>55393</v>
      </c>
      <c r="B256" s="290">
        <v>43109</v>
      </c>
      <c r="C256" s="291">
        <v>30975278</v>
      </c>
      <c r="D256" s="291" t="s">
        <v>139</v>
      </c>
      <c r="E256" s="291" t="s">
        <v>140</v>
      </c>
      <c r="F256" s="291" t="s">
        <v>145</v>
      </c>
      <c r="G256" s="291" t="s">
        <v>505</v>
      </c>
      <c r="H256" s="291" t="s">
        <v>142</v>
      </c>
      <c r="I256" s="292"/>
      <c r="J256" s="292">
        <v>205</v>
      </c>
      <c r="K256" s="291">
        <v>723278</v>
      </c>
      <c r="L256" s="293">
        <v>130816.65</v>
      </c>
      <c r="M256" s="292">
        <v>205</v>
      </c>
      <c r="N256" s="292">
        <v>0</v>
      </c>
    </row>
    <row r="257" spans="1:17" x14ac:dyDescent="0.3">
      <c r="A257" s="289">
        <v>84008</v>
      </c>
      <c r="B257" s="290">
        <v>43109</v>
      </c>
      <c r="C257" s="291">
        <v>30975278</v>
      </c>
      <c r="D257" s="291" t="s">
        <v>139</v>
      </c>
      <c r="E257" s="291" t="s">
        <v>140</v>
      </c>
      <c r="F257" s="291" t="s">
        <v>141</v>
      </c>
      <c r="G257" s="291" t="s">
        <v>506</v>
      </c>
      <c r="H257" s="291" t="s">
        <v>142</v>
      </c>
      <c r="I257" s="292"/>
      <c r="J257" s="292">
        <v>195</v>
      </c>
      <c r="K257" s="291">
        <v>69</v>
      </c>
      <c r="L257" s="293">
        <v>124435.35</v>
      </c>
      <c r="M257" s="292">
        <v>195</v>
      </c>
      <c r="N257" s="292">
        <v>0</v>
      </c>
    </row>
    <row r="258" spans="1:17" x14ac:dyDescent="0.3">
      <c r="A258" s="289">
        <v>72804</v>
      </c>
      <c r="B258" s="290">
        <v>43109</v>
      </c>
      <c r="C258" s="291">
        <v>30905830</v>
      </c>
      <c r="D258" s="291" t="s">
        <v>139</v>
      </c>
      <c r="E258" s="291" t="s">
        <v>143</v>
      </c>
      <c r="F258" s="291" t="s">
        <v>145</v>
      </c>
      <c r="G258" s="291" t="s">
        <v>507</v>
      </c>
      <c r="H258" s="291" t="s">
        <v>143</v>
      </c>
      <c r="I258" s="292">
        <v>142425</v>
      </c>
      <c r="J258" s="292"/>
      <c r="K258" s="291">
        <v>383847</v>
      </c>
      <c r="L258" s="293">
        <v>142425</v>
      </c>
      <c r="M258" s="292">
        <v>223.19119928541207</v>
      </c>
      <c r="N258" s="292">
        <v>0</v>
      </c>
    </row>
    <row r="259" spans="1:17" x14ac:dyDescent="0.3">
      <c r="A259" s="289">
        <v>24205</v>
      </c>
      <c r="B259" s="290">
        <v>43109</v>
      </c>
      <c r="C259" s="291">
        <v>30905830</v>
      </c>
      <c r="D259" s="291" t="s">
        <v>139</v>
      </c>
      <c r="E259" s="291" t="s">
        <v>143</v>
      </c>
      <c r="F259" s="291" t="s">
        <v>144</v>
      </c>
      <c r="G259" s="291" t="s">
        <v>508</v>
      </c>
      <c r="H259" s="291" t="s">
        <v>143</v>
      </c>
      <c r="I259" s="292">
        <v>147833</v>
      </c>
      <c r="J259" s="292"/>
      <c r="K259" s="291">
        <v>393249</v>
      </c>
      <c r="L259" s="293">
        <v>147833</v>
      </c>
      <c r="M259" s="292">
        <v>231.66596148120288</v>
      </c>
      <c r="N259" s="292">
        <v>0</v>
      </c>
    </row>
    <row r="260" spans="1:17" x14ac:dyDescent="0.3">
      <c r="A260" s="289">
        <v>77663</v>
      </c>
      <c r="B260" s="290">
        <v>43109</v>
      </c>
      <c r="C260" s="291">
        <v>30975278</v>
      </c>
      <c r="D260" s="291" t="s">
        <v>139</v>
      </c>
      <c r="E260" s="291" t="s">
        <v>140</v>
      </c>
      <c r="F260" s="291" t="s">
        <v>144</v>
      </c>
      <c r="G260" s="291" t="s">
        <v>509</v>
      </c>
      <c r="H260" s="291" t="s">
        <v>142</v>
      </c>
      <c r="I260" s="292"/>
      <c r="J260" s="292">
        <v>410</v>
      </c>
      <c r="K260" s="291">
        <v>254456</v>
      </c>
      <c r="L260" s="293">
        <v>261633.3</v>
      </c>
      <c r="M260" s="292">
        <v>410</v>
      </c>
      <c r="N260" s="292">
        <v>0</v>
      </c>
    </row>
    <row r="261" spans="1:17" x14ac:dyDescent="0.3">
      <c r="A261" s="289">
        <v>30337</v>
      </c>
      <c r="B261" s="290">
        <v>43109</v>
      </c>
      <c r="C261" s="291">
        <v>30975278</v>
      </c>
      <c r="D261" s="291" t="s">
        <v>139</v>
      </c>
      <c r="E261" s="291" t="s">
        <v>140</v>
      </c>
      <c r="F261" s="291" t="s">
        <v>144</v>
      </c>
      <c r="G261" s="291" t="s">
        <v>510</v>
      </c>
      <c r="H261" s="291" t="s">
        <v>142</v>
      </c>
      <c r="I261" s="292"/>
      <c r="J261" s="292">
        <v>176</v>
      </c>
      <c r="K261" s="291" t="s">
        <v>511</v>
      </c>
      <c r="L261" s="293">
        <v>112310.88</v>
      </c>
      <c r="M261" s="292">
        <v>176</v>
      </c>
      <c r="N261" s="292">
        <v>0</v>
      </c>
    </row>
    <row r="262" spans="1:17" x14ac:dyDescent="0.3">
      <c r="A262" s="289">
        <v>6894</v>
      </c>
      <c r="B262" s="290">
        <v>43109</v>
      </c>
      <c r="C262" s="291">
        <v>30975278</v>
      </c>
      <c r="D262" s="291" t="s">
        <v>139</v>
      </c>
      <c r="E262" s="291" t="s">
        <v>140</v>
      </c>
      <c r="F262" s="291" t="s">
        <v>145</v>
      </c>
      <c r="G262" s="291" t="s">
        <v>512</v>
      </c>
      <c r="H262" s="291" t="s">
        <v>142</v>
      </c>
      <c r="I262" s="292"/>
      <c r="J262" s="292">
        <v>185</v>
      </c>
      <c r="K262" s="291">
        <v>38428</v>
      </c>
      <c r="L262" s="293">
        <v>118054.05</v>
      </c>
      <c r="M262" s="292">
        <v>185</v>
      </c>
      <c r="N262" s="292">
        <v>0</v>
      </c>
    </row>
    <row r="263" spans="1:17" x14ac:dyDescent="0.3">
      <c r="A263" s="289">
        <v>27254</v>
      </c>
      <c r="B263" s="290">
        <v>43109</v>
      </c>
      <c r="C263" s="291">
        <v>30975278</v>
      </c>
      <c r="D263" s="291" t="s">
        <v>139</v>
      </c>
      <c r="E263" s="291" t="s">
        <v>140</v>
      </c>
      <c r="F263" s="291" t="s">
        <v>145</v>
      </c>
      <c r="G263" s="291" t="s">
        <v>513</v>
      </c>
      <c r="H263" s="291" t="s">
        <v>142</v>
      </c>
      <c r="I263" s="292"/>
      <c r="J263" s="292">
        <v>195</v>
      </c>
      <c r="K263" s="291">
        <v>2591</v>
      </c>
      <c r="L263" s="293">
        <v>124435.35</v>
      </c>
      <c r="M263" s="292">
        <v>195</v>
      </c>
      <c r="N263" s="292">
        <v>0</v>
      </c>
    </row>
    <row r="264" spans="1:17" x14ac:dyDescent="0.3">
      <c r="A264" s="289">
        <v>98930</v>
      </c>
      <c r="B264" s="290">
        <v>43109</v>
      </c>
      <c r="C264" s="291">
        <v>30975278</v>
      </c>
      <c r="D264" s="291" t="s">
        <v>139</v>
      </c>
      <c r="E264" s="291" t="s">
        <v>140</v>
      </c>
      <c r="F264" s="291" t="s">
        <v>145</v>
      </c>
      <c r="G264" s="291" t="s">
        <v>514</v>
      </c>
      <c r="H264" s="291" t="s">
        <v>142</v>
      </c>
      <c r="I264" s="292"/>
      <c r="J264" s="292">
        <v>195</v>
      </c>
      <c r="K264" s="291">
        <v>912257</v>
      </c>
      <c r="L264" s="293">
        <v>124435.35</v>
      </c>
      <c r="M264" s="292">
        <v>195</v>
      </c>
      <c r="N264" s="292">
        <v>0</v>
      </c>
    </row>
    <row r="265" spans="1:17" x14ac:dyDescent="0.3">
      <c r="A265" s="289">
        <v>82322</v>
      </c>
      <c r="B265" s="290">
        <v>43109</v>
      </c>
      <c r="C265" s="291">
        <v>30975278</v>
      </c>
      <c r="D265" s="291" t="s">
        <v>139</v>
      </c>
      <c r="E265" s="291" t="s">
        <v>140</v>
      </c>
      <c r="F265" s="291" t="s">
        <v>144</v>
      </c>
      <c r="G265" s="291" t="s">
        <v>515</v>
      </c>
      <c r="H265" s="291" t="s">
        <v>142</v>
      </c>
      <c r="I265" s="292"/>
      <c r="J265" s="292">
        <v>780</v>
      </c>
      <c r="K265" s="291">
        <v>12060</v>
      </c>
      <c r="L265" s="293">
        <v>497741.4</v>
      </c>
      <c r="M265" s="292">
        <v>780</v>
      </c>
      <c r="N265" s="292">
        <v>622176.75</v>
      </c>
    </row>
    <row r="266" spans="1:17" x14ac:dyDescent="0.3">
      <c r="A266" s="289">
        <v>23184</v>
      </c>
      <c r="B266" s="290">
        <v>43110</v>
      </c>
      <c r="C266" s="291">
        <v>30905830</v>
      </c>
      <c r="D266" s="291" t="s">
        <v>139</v>
      </c>
      <c r="E266" s="291" t="s">
        <v>143</v>
      </c>
      <c r="F266" s="291" t="s">
        <v>144</v>
      </c>
      <c r="G266" s="291" t="s">
        <v>516</v>
      </c>
      <c r="H266" s="291" t="s">
        <v>143</v>
      </c>
      <c r="I266" s="292">
        <v>133050</v>
      </c>
      <c r="J266" s="292"/>
      <c r="K266" s="291">
        <v>420028</v>
      </c>
      <c r="L266" s="293">
        <v>133050</v>
      </c>
      <c r="M266" s="292">
        <v>208.49983545672512</v>
      </c>
      <c r="N266" s="292">
        <v>0</v>
      </c>
    </row>
    <row r="267" spans="1:17" x14ac:dyDescent="0.3">
      <c r="A267" s="289">
        <v>14629</v>
      </c>
      <c r="B267" s="290">
        <v>43111</v>
      </c>
      <c r="C267" s="291">
        <v>30975278</v>
      </c>
      <c r="D267" s="291" t="s">
        <v>139</v>
      </c>
      <c r="E267" s="291" t="s">
        <v>140</v>
      </c>
      <c r="F267" s="291" t="s">
        <v>144</v>
      </c>
      <c r="G267" s="291" t="s">
        <v>517</v>
      </c>
      <c r="H267" s="291" t="s">
        <v>142</v>
      </c>
      <c r="I267" s="292"/>
      <c r="J267" s="292">
        <v>585</v>
      </c>
      <c r="K267" s="291">
        <v>190058</v>
      </c>
      <c r="L267" s="293">
        <v>373306.05</v>
      </c>
      <c r="M267" s="292">
        <v>585</v>
      </c>
      <c r="N267" s="292">
        <v>497741.4</v>
      </c>
    </row>
    <row r="268" spans="1:17" x14ac:dyDescent="0.3">
      <c r="A268" s="289">
        <v>4723</v>
      </c>
      <c r="B268" s="290">
        <v>43111</v>
      </c>
      <c r="C268" s="291">
        <v>30975278</v>
      </c>
      <c r="D268" s="291" t="s">
        <v>139</v>
      </c>
      <c r="E268" s="291" t="s">
        <v>140</v>
      </c>
      <c r="F268" s="291" t="s">
        <v>145</v>
      </c>
      <c r="G268" s="291" t="s">
        <v>518</v>
      </c>
      <c r="H268" s="291" t="s">
        <v>142</v>
      </c>
      <c r="I268" s="292"/>
      <c r="J268" s="292">
        <v>820</v>
      </c>
      <c r="K268" s="291">
        <v>81401</v>
      </c>
      <c r="L268" s="293">
        <v>523266.6</v>
      </c>
      <c r="M268" s="292">
        <v>820</v>
      </c>
      <c r="N268" s="292">
        <v>654083.25</v>
      </c>
    </row>
    <row r="269" spans="1:17" x14ac:dyDescent="0.3">
      <c r="A269" s="289">
        <v>30311</v>
      </c>
      <c r="B269" s="290">
        <v>43111</v>
      </c>
      <c r="C269" s="291">
        <v>30975278</v>
      </c>
      <c r="D269" s="291" t="s">
        <v>139</v>
      </c>
      <c r="E269" s="291" t="s">
        <v>140</v>
      </c>
      <c r="F269" s="291" t="s">
        <v>144</v>
      </c>
      <c r="G269" s="291" t="s">
        <v>519</v>
      </c>
      <c r="H269" s="291" t="s">
        <v>142</v>
      </c>
      <c r="I269" s="292"/>
      <c r="J269" s="292">
        <v>820</v>
      </c>
      <c r="K269" s="291">
        <v>57802</v>
      </c>
      <c r="L269" s="293">
        <v>523266.6</v>
      </c>
      <c r="M269" s="292">
        <v>820</v>
      </c>
      <c r="N269" s="292">
        <v>523266.6</v>
      </c>
      <c r="Q269" s="233">
        <v>1</v>
      </c>
    </row>
    <row r="270" spans="1:17" x14ac:dyDescent="0.3">
      <c r="A270" s="289">
        <v>87536</v>
      </c>
      <c r="B270" s="290">
        <v>43111</v>
      </c>
      <c r="C270" s="291">
        <v>30905830</v>
      </c>
      <c r="D270" s="291" t="s">
        <v>139</v>
      </c>
      <c r="E270" s="291" t="s">
        <v>143</v>
      </c>
      <c r="F270" s="291" t="s">
        <v>144</v>
      </c>
      <c r="G270" s="291" t="s">
        <v>375</v>
      </c>
      <c r="H270" s="291" t="s">
        <v>143</v>
      </c>
      <c r="I270" s="292">
        <v>401127</v>
      </c>
      <c r="J270" s="292"/>
      <c r="K270" s="291">
        <v>567368</v>
      </c>
      <c r="L270" s="293">
        <v>401127</v>
      </c>
      <c r="M270" s="292">
        <v>628.5976211743689</v>
      </c>
      <c r="N270" s="292">
        <v>543619</v>
      </c>
    </row>
    <row r="271" spans="1:17" x14ac:dyDescent="0.3">
      <c r="A271" s="289">
        <v>78654</v>
      </c>
      <c r="B271" s="290">
        <v>43112</v>
      </c>
      <c r="C271" s="291">
        <v>30975278</v>
      </c>
      <c r="D271" s="291" t="s">
        <v>139</v>
      </c>
      <c r="E271" s="291" t="s">
        <v>140</v>
      </c>
      <c r="F271" s="291" t="s">
        <v>141</v>
      </c>
      <c r="G271" s="291" t="s">
        <v>373</v>
      </c>
      <c r="H271" s="291" t="s">
        <v>142</v>
      </c>
      <c r="I271" s="292"/>
      <c r="J271" s="292">
        <v>369</v>
      </c>
      <c r="K271" s="291">
        <v>36</v>
      </c>
      <c r="L271" s="293">
        <v>235469.97</v>
      </c>
      <c r="M271" s="292">
        <v>369</v>
      </c>
      <c r="N271" s="292">
        <v>353524.02</v>
      </c>
    </row>
    <row r="272" spans="1:17" x14ac:dyDescent="0.3">
      <c r="A272" s="289">
        <v>62130</v>
      </c>
      <c r="B272" s="290">
        <v>43112</v>
      </c>
      <c r="C272" s="291">
        <v>30975278</v>
      </c>
      <c r="D272" s="291" t="s">
        <v>139</v>
      </c>
      <c r="E272" s="291" t="s">
        <v>140</v>
      </c>
      <c r="F272" s="291" t="s">
        <v>145</v>
      </c>
      <c r="G272" s="291" t="s">
        <v>520</v>
      </c>
      <c r="H272" s="291" t="s">
        <v>142</v>
      </c>
      <c r="I272" s="292"/>
      <c r="J272" s="292">
        <v>195</v>
      </c>
      <c r="K272" s="291">
        <v>419307</v>
      </c>
      <c r="L272" s="293">
        <v>124435.35</v>
      </c>
      <c r="M272" s="292">
        <v>195</v>
      </c>
      <c r="N272" s="292">
        <v>0</v>
      </c>
    </row>
    <row r="273" spans="1:15" x14ac:dyDescent="0.3">
      <c r="A273" s="289">
        <v>36688</v>
      </c>
      <c r="B273" s="290">
        <v>43112</v>
      </c>
      <c r="C273" s="291">
        <v>30975278</v>
      </c>
      <c r="D273" s="291" t="s">
        <v>139</v>
      </c>
      <c r="E273" s="291" t="s">
        <v>140</v>
      </c>
      <c r="F273" s="291" t="s">
        <v>145</v>
      </c>
      <c r="G273" s="291" t="s">
        <v>521</v>
      </c>
      <c r="H273" s="291" t="s">
        <v>142</v>
      </c>
      <c r="I273" s="292"/>
      <c r="J273" s="292">
        <v>205</v>
      </c>
      <c r="K273" s="291">
        <v>654808</v>
      </c>
      <c r="L273" s="293">
        <v>130816.65</v>
      </c>
      <c r="M273" s="292">
        <v>205</v>
      </c>
      <c r="N273" s="292">
        <v>0</v>
      </c>
    </row>
    <row r="274" spans="1:15" x14ac:dyDescent="0.3">
      <c r="A274" s="289">
        <v>10301</v>
      </c>
      <c r="B274" s="290">
        <v>43112</v>
      </c>
      <c r="C274" s="291">
        <v>30975278</v>
      </c>
      <c r="D274" s="291" t="s">
        <v>139</v>
      </c>
      <c r="E274" s="291" t="s">
        <v>140</v>
      </c>
      <c r="F274" s="291" t="s">
        <v>144</v>
      </c>
      <c r="G274" s="291" t="s">
        <v>522</v>
      </c>
      <c r="H274" s="291" t="s">
        <v>142</v>
      </c>
      <c r="I274" s="292"/>
      <c r="J274" s="292">
        <v>195</v>
      </c>
      <c r="K274" s="291">
        <v>12153</v>
      </c>
      <c r="L274" s="293">
        <v>124435.35</v>
      </c>
      <c r="M274" s="292">
        <v>195</v>
      </c>
      <c r="N274" s="292">
        <v>0</v>
      </c>
    </row>
    <row r="275" spans="1:15" x14ac:dyDescent="0.3">
      <c r="A275" s="297">
        <v>99358</v>
      </c>
      <c r="B275" s="298">
        <v>43112</v>
      </c>
      <c r="C275" s="299">
        <v>30975278</v>
      </c>
      <c r="D275" s="299" t="s">
        <v>139</v>
      </c>
      <c r="E275" s="299" t="s">
        <v>140</v>
      </c>
      <c r="F275" s="299" t="s">
        <v>145</v>
      </c>
      <c r="G275" s="299" t="s">
        <v>523</v>
      </c>
      <c r="H275" s="299" t="s">
        <v>142</v>
      </c>
      <c r="I275" s="300"/>
      <c r="J275" s="300">
        <v>185</v>
      </c>
      <c r="K275" s="299">
        <v>393559</v>
      </c>
      <c r="L275" s="301">
        <v>118054.05</v>
      </c>
      <c r="M275" s="300">
        <v>185</v>
      </c>
      <c r="N275" s="300">
        <v>0</v>
      </c>
      <c r="O275" s="302"/>
    </row>
    <row r="276" spans="1:15" x14ac:dyDescent="0.3">
      <c r="A276" s="289">
        <v>85064</v>
      </c>
      <c r="B276" s="290">
        <v>43112</v>
      </c>
      <c r="C276" s="291">
        <v>30975278</v>
      </c>
      <c r="D276" s="291" t="s">
        <v>139</v>
      </c>
      <c r="E276" s="291" t="s">
        <v>140</v>
      </c>
      <c r="F276" s="291" t="s">
        <v>145</v>
      </c>
      <c r="G276" s="291" t="s">
        <v>523</v>
      </c>
      <c r="H276" s="291" t="s">
        <v>142</v>
      </c>
      <c r="I276" s="292"/>
      <c r="J276" s="292">
        <v>195</v>
      </c>
      <c r="K276" s="291">
        <v>420659</v>
      </c>
      <c r="L276" s="293">
        <v>124435.35</v>
      </c>
      <c r="M276" s="292">
        <v>195</v>
      </c>
      <c r="N276" s="292">
        <v>0</v>
      </c>
    </row>
    <row r="277" spans="1:15" x14ac:dyDescent="0.3">
      <c r="A277" s="289">
        <v>83249</v>
      </c>
      <c r="B277" s="290">
        <v>43112</v>
      </c>
      <c r="C277" s="291">
        <v>30975278</v>
      </c>
      <c r="D277" s="291" t="s">
        <v>139</v>
      </c>
      <c r="E277" s="291" t="s">
        <v>140</v>
      </c>
      <c r="F277" s="291" t="s">
        <v>144</v>
      </c>
      <c r="G277" s="291" t="s">
        <v>524</v>
      </c>
      <c r="H277" s="291" t="s">
        <v>142</v>
      </c>
      <c r="I277" s="292"/>
      <c r="J277" s="292">
        <v>195</v>
      </c>
      <c r="K277" s="291">
        <v>67707</v>
      </c>
      <c r="L277" s="293">
        <v>124435.35</v>
      </c>
      <c r="M277" s="292">
        <v>195</v>
      </c>
      <c r="N277" s="292">
        <v>621538.62</v>
      </c>
    </row>
    <row r="278" spans="1:15" x14ac:dyDescent="0.3">
      <c r="A278" s="289">
        <v>42866</v>
      </c>
      <c r="B278" s="290">
        <v>43112</v>
      </c>
      <c r="C278" s="291">
        <v>30975278</v>
      </c>
      <c r="D278" s="291" t="s">
        <v>139</v>
      </c>
      <c r="E278" s="291" t="s">
        <v>140</v>
      </c>
      <c r="F278" s="291" t="s">
        <v>145</v>
      </c>
      <c r="G278" s="291" t="s">
        <v>525</v>
      </c>
      <c r="H278" s="291" t="s">
        <v>142</v>
      </c>
      <c r="I278" s="292"/>
      <c r="J278" s="292">
        <v>195</v>
      </c>
      <c r="K278" s="291">
        <v>20669</v>
      </c>
      <c r="L278" s="293">
        <v>124435.35</v>
      </c>
      <c r="M278" s="292">
        <v>195</v>
      </c>
      <c r="N278" s="292">
        <v>0</v>
      </c>
    </row>
    <row r="279" spans="1:15" x14ac:dyDescent="0.3">
      <c r="A279" s="289">
        <v>29074</v>
      </c>
      <c r="B279" s="290">
        <v>43112</v>
      </c>
      <c r="C279" s="291">
        <v>30975278</v>
      </c>
      <c r="D279" s="291" t="s">
        <v>139</v>
      </c>
      <c r="E279" s="291" t="s">
        <v>140</v>
      </c>
      <c r="F279" s="291" t="s">
        <v>145</v>
      </c>
      <c r="G279" s="291" t="s">
        <v>525</v>
      </c>
      <c r="H279" s="291" t="s">
        <v>142</v>
      </c>
      <c r="I279" s="292"/>
      <c r="J279" s="292">
        <v>195</v>
      </c>
      <c r="K279" s="291">
        <v>20782</v>
      </c>
      <c r="L279" s="293">
        <v>124435.35</v>
      </c>
      <c r="M279" s="292">
        <v>195</v>
      </c>
      <c r="N279" s="292">
        <v>0</v>
      </c>
    </row>
    <row r="280" spans="1:15" x14ac:dyDescent="0.3">
      <c r="A280" s="289">
        <v>17213</v>
      </c>
      <c r="B280" s="290">
        <v>43112</v>
      </c>
      <c r="C280" s="291">
        <v>30905830</v>
      </c>
      <c r="D280" s="291" t="s">
        <v>139</v>
      </c>
      <c r="E280" s="291" t="s">
        <v>143</v>
      </c>
      <c r="F280" s="291" t="s">
        <v>144</v>
      </c>
      <c r="G280" s="291" t="s">
        <v>374</v>
      </c>
      <c r="H280" s="291" t="s">
        <v>143</v>
      </c>
      <c r="I280" s="292">
        <v>148566</v>
      </c>
      <c r="J280" s="292"/>
      <c r="K280" s="291">
        <v>591979</v>
      </c>
      <c r="L280" s="293">
        <v>148566</v>
      </c>
      <c r="M280" s="292">
        <v>232.81463024775516</v>
      </c>
      <c r="N280" s="292">
        <v>306890</v>
      </c>
    </row>
    <row r="281" spans="1:15" x14ac:dyDescent="0.3">
      <c r="A281" s="289">
        <v>28611</v>
      </c>
      <c r="B281" s="290">
        <v>43112</v>
      </c>
      <c r="C281" s="291">
        <v>30975278</v>
      </c>
      <c r="D281" s="291" t="s">
        <v>139</v>
      </c>
      <c r="E281" s="291" t="s">
        <v>140</v>
      </c>
      <c r="F281" s="291" t="s">
        <v>144</v>
      </c>
      <c r="G281" s="291" t="s">
        <v>526</v>
      </c>
      <c r="H281" s="291" t="s">
        <v>142</v>
      </c>
      <c r="I281" s="292"/>
      <c r="J281" s="292">
        <v>205</v>
      </c>
      <c r="K281" s="291">
        <v>78627</v>
      </c>
      <c r="L281" s="293">
        <v>130816.65</v>
      </c>
      <c r="M281" s="292">
        <v>205</v>
      </c>
      <c r="N281" s="292">
        <v>0</v>
      </c>
    </row>
    <row r="282" spans="1:15" x14ac:dyDescent="0.3">
      <c r="A282" s="289">
        <v>76672</v>
      </c>
      <c r="B282" s="290">
        <v>43113</v>
      </c>
      <c r="C282" s="291">
        <v>30975278</v>
      </c>
      <c r="D282" s="291" t="s">
        <v>139</v>
      </c>
      <c r="E282" s="291" t="s">
        <v>140</v>
      </c>
      <c r="F282" s="291" t="s">
        <v>144</v>
      </c>
      <c r="G282" s="291" t="s">
        <v>527</v>
      </c>
      <c r="H282" s="291" t="s">
        <v>142</v>
      </c>
      <c r="I282" s="292"/>
      <c r="J282" s="292">
        <v>410</v>
      </c>
      <c r="K282" s="291">
        <v>31045</v>
      </c>
      <c r="L282" s="293">
        <v>261633.3</v>
      </c>
      <c r="M282" s="292">
        <v>410</v>
      </c>
      <c r="N282" s="292">
        <v>0</v>
      </c>
    </row>
    <row r="283" spans="1:15" x14ac:dyDescent="0.3">
      <c r="A283" s="289">
        <v>18219</v>
      </c>
      <c r="B283" s="290">
        <v>43113</v>
      </c>
      <c r="C283" s="291">
        <v>30975278</v>
      </c>
      <c r="D283" s="291" t="s">
        <v>139</v>
      </c>
      <c r="E283" s="291" t="s">
        <v>140</v>
      </c>
      <c r="F283" s="291" t="s">
        <v>144</v>
      </c>
      <c r="G283" s="291" t="s">
        <v>379</v>
      </c>
      <c r="H283" s="291" t="s">
        <v>142</v>
      </c>
      <c r="I283" s="292"/>
      <c r="J283" s="292">
        <v>410</v>
      </c>
      <c r="K283" s="291">
        <v>41743</v>
      </c>
      <c r="L283" s="293">
        <v>261633.3</v>
      </c>
      <c r="M283" s="292">
        <v>410</v>
      </c>
      <c r="N283" s="292">
        <v>392449.95</v>
      </c>
    </row>
    <row r="284" spans="1:15" x14ac:dyDescent="0.3">
      <c r="A284" s="289">
        <v>87176</v>
      </c>
      <c r="B284" s="290">
        <v>43113</v>
      </c>
      <c r="C284" s="291">
        <v>30975278</v>
      </c>
      <c r="D284" s="291" t="s">
        <v>139</v>
      </c>
      <c r="E284" s="291" t="s">
        <v>140</v>
      </c>
      <c r="F284" s="291" t="s">
        <v>144</v>
      </c>
      <c r="G284" s="291" t="s">
        <v>528</v>
      </c>
      <c r="H284" s="291" t="s">
        <v>142</v>
      </c>
      <c r="I284" s="292"/>
      <c r="J284" s="292">
        <v>195</v>
      </c>
      <c r="K284" s="291">
        <v>584156</v>
      </c>
      <c r="L284" s="293">
        <v>124435.35</v>
      </c>
      <c r="M284" s="292">
        <v>195</v>
      </c>
      <c r="N284" s="292">
        <v>0</v>
      </c>
    </row>
    <row r="285" spans="1:15" x14ac:dyDescent="0.3">
      <c r="A285" s="289">
        <v>43519</v>
      </c>
      <c r="B285" s="290">
        <v>43113</v>
      </c>
      <c r="C285" s="291">
        <v>30975278</v>
      </c>
      <c r="D285" s="291" t="s">
        <v>139</v>
      </c>
      <c r="E285" s="291" t="s">
        <v>140</v>
      </c>
      <c r="F285" s="291" t="s">
        <v>145</v>
      </c>
      <c r="G285" s="291" t="s">
        <v>380</v>
      </c>
      <c r="H285" s="291" t="s">
        <v>142</v>
      </c>
      <c r="I285" s="292"/>
      <c r="J285" s="292">
        <v>390</v>
      </c>
      <c r="K285" s="291">
        <v>8854</v>
      </c>
      <c r="L285" s="293">
        <v>248870.7</v>
      </c>
      <c r="M285" s="292">
        <v>390</v>
      </c>
      <c r="N285" s="292">
        <v>373306.05</v>
      </c>
    </row>
    <row r="286" spans="1:15" x14ac:dyDescent="0.3">
      <c r="A286" s="289">
        <v>5543</v>
      </c>
      <c r="B286" s="290">
        <v>43113</v>
      </c>
      <c r="C286" s="291">
        <v>30975278</v>
      </c>
      <c r="D286" s="291" t="s">
        <v>139</v>
      </c>
      <c r="E286" s="291" t="s">
        <v>140</v>
      </c>
      <c r="F286" s="291" t="s">
        <v>141</v>
      </c>
      <c r="G286" s="291" t="s">
        <v>529</v>
      </c>
      <c r="H286" s="291" t="s">
        <v>142</v>
      </c>
      <c r="I286" s="292"/>
      <c r="J286" s="292">
        <v>195</v>
      </c>
      <c r="K286" s="291">
        <v>24</v>
      </c>
      <c r="L286" s="293">
        <v>124435.35</v>
      </c>
      <c r="M286" s="292">
        <v>195</v>
      </c>
      <c r="N286" s="292">
        <v>124435.35</v>
      </c>
    </row>
    <row r="287" spans="1:15" x14ac:dyDescent="0.3">
      <c r="A287" s="289">
        <v>57706</v>
      </c>
      <c r="B287" s="290">
        <v>43113</v>
      </c>
      <c r="C287" s="291">
        <v>30975278</v>
      </c>
      <c r="D287" s="291" t="s">
        <v>139</v>
      </c>
      <c r="E287" s="291" t="s">
        <v>140</v>
      </c>
      <c r="F287" s="291" t="s">
        <v>145</v>
      </c>
      <c r="G287" s="291" t="s">
        <v>530</v>
      </c>
      <c r="H287" s="291" t="s">
        <v>142</v>
      </c>
      <c r="I287" s="292"/>
      <c r="J287" s="292">
        <v>390</v>
      </c>
      <c r="K287" s="291">
        <v>725798</v>
      </c>
      <c r="L287" s="293">
        <v>248870.7</v>
      </c>
      <c r="M287" s="292">
        <v>390</v>
      </c>
      <c r="N287" s="292">
        <v>0</v>
      </c>
    </row>
    <row r="288" spans="1:15" x14ac:dyDescent="0.3">
      <c r="A288" s="289">
        <v>82322</v>
      </c>
      <c r="B288" s="290">
        <v>43113</v>
      </c>
      <c r="C288" s="291">
        <v>30905830</v>
      </c>
      <c r="D288" s="291" t="s">
        <v>139</v>
      </c>
      <c r="E288" s="291" t="s">
        <v>143</v>
      </c>
      <c r="F288" s="291" t="s">
        <v>144</v>
      </c>
      <c r="G288" s="291" t="s">
        <v>372</v>
      </c>
      <c r="H288" s="291" t="s">
        <v>143</v>
      </c>
      <c r="I288" s="292">
        <v>6000</v>
      </c>
      <c r="J288" s="292"/>
      <c r="K288" s="291">
        <v>843596</v>
      </c>
      <c r="L288" s="293">
        <v>6000</v>
      </c>
      <c r="M288" s="292">
        <v>9.4024728503596453</v>
      </c>
      <c r="N288" s="292">
        <v>622176.75</v>
      </c>
    </row>
    <row r="289" spans="1:16" x14ac:dyDescent="0.3">
      <c r="A289" s="289">
        <v>26261</v>
      </c>
      <c r="B289" s="290">
        <v>43114</v>
      </c>
      <c r="C289" s="291">
        <v>30975278</v>
      </c>
      <c r="D289" s="291" t="s">
        <v>139</v>
      </c>
      <c r="E289" s="291" t="s">
        <v>140</v>
      </c>
      <c r="F289" s="291" t="s">
        <v>144</v>
      </c>
      <c r="G289" s="291" t="s">
        <v>531</v>
      </c>
      <c r="H289" s="291" t="s">
        <v>142</v>
      </c>
      <c r="I289" s="292"/>
      <c r="J289" s="292">
        <v>1623</v>
      </c>
      <c r="K289" s="291">
        <v>695587</v>
      </c>
      <c r="L289" s="293">
        <v>1035684.99</v>
      </c>
      <c r="M289" s="292">
        <v>1623</v>
      </c>
      <c r="N289" s="292">
        <v>1773363.27</v>
      </c>
      <c r="P289" s="58" t="s">
        <v>349</v>
      </c>
    </row>
    <row r="290" spans="1:16" x14ac:dyDescent="0.3">
      <c r="A290" s="289">
        <v>65464</v>
      </c>
      <c r="B290" s="290">
        <v>43115</v>
      </c>
      <c r="C290" s="291">
        <v>30975278</v>
      </c>
      <c r="D290" s="291" t="s">
        <v>139</v>
      </c>
      <c r="E290" s="291" t="s">
        <v>140</v>
      </c>
      <c r="F290" s="291" t="s">
        <v>365</v>
      </c>
      <c r="G290" s="291" t="s">
        <v>532</v>
      </c>
      <c r="H290" s="291" t="s">
        <v>142</v>
      </c>
      <c r="I290" s="292"/>
      <c r="J290" s="292">
        <v>585</v>
      </c>
      <c r="K290" s="291">
        <v>330391</v>
      </c>
      <c r="L290" s="293">
        <v>373306.05</v>
      </c>
      <c r="M290" s="292">
        <v>585</v>
      </c>
      <c r="N290" s="292">
        <v>809148.84</v>
      </c>
    </row>
    <row r="291" spans="1:16" x14ac:dyDescent="0.3">
      <c r="A291" s="289">
        <v>65464</v>
      </c>
      <c r="B291" s="290">
        <v>43115</v>
      </c>
      <c r="C291" s="291">
        <v>30975278</v>
      </c>
      <c r="D291" s="291" t="s">
        <v>139</v>
      </c>
      <c r="E291" s="291" t="s">
        <v>140</v>
      </c>
      <c r="F291" s="291" t="s">
        <v>145</v>
      </c>
      <c r="G291" s="291" t="s">
        <v>533</v>
      </c>
      <c r="H291" s="291" t="s">
        <v>142</v>
      </c>
      <c r="I291" s="292"/>
      <c r="J291" s="292">
        <v>390</v>
      </c>
      <c r="K291" s="291">
        <v>2075</v>
      </c>
      <c r="L291" s="293">
        <v>248870.7</v>
      </c>
      <c r="M291" s="292">
        <v>390</v>
      </c>
      <c r="N291" s="292">
        <v>809148.84</v>
      </c>
    </row>
    <row r="292" spans="1:16" x14ac:dyDescent="0.3">
      <c r="A292" s="289">
        <v>51058</v>
      </c>
      <c r="B292" s="290">
        <v>43116</v>
      </c>
      <c r="C292" s="291">
        <v>30975278</v>
      </c>
      <c r="D292" s="291" t="s">
        <v>139</v>
      </c>
      <c r="E292" s="291" t="s">
        <v>140</v>
      </c>
      <c r="F292" s="291" t="s">
        <v>144</v>
      </c>
      <c r="G292" s="291" t="s">
        <v>534</v>
      </c>
      <c r="H292" s="291" t="s">
        <v>142</v>
      </c>
      <c r="I292" s="292"/>
      <c r="J292" s="292">
        <v>779</v>
      </c>
      <c r="K292" s="291" t="s">
        <v>535</v>
      </c>
      <c r="L292" s="293">
        <v>497103.27</v>
      </c>
      <c r="M292" s="292">
        <v>779</v>
      </c>
      <c r="N292" s="292">
        <v>621538.62</v>
      </c>
    </row>
    <row r="293" spans="1:16" x14ac:dyDescent="0.3">
      <c r="A293" s="289">
        <v>81210</v>
      </c>
      <c r="B293" s="290">
        <v>43116</v>
      </c>
      <c r="C293" s="291">
        <v>30975278</v>
      </c>
      <c r="D293" s="291" t="s">
        <v>139</v>
      </c>
      <c r="E293" s="291" t="s">
        <v>140</v>
      </c>
      <c r="F293" s="291" t="s">
        <v>144</v>
      </c>
      <c r="G293" s="291" t="s">
        <v>377</v>
      </c>
      <c r="H293" s="291" t="s">
        <v>142</v>
      </c>
      <c r="I293" s="292"/>
      <c r="J293" s="292">
        <v>1053</v>
      </c>
      <c r="K293" s="291">
        <v>42817</v>
      </c>
      <c r="L293" s="293">
        <v>671950.89</v>
      </c>
      <c r="M293" s="292">
        <v>1053</v>
      </c>
      <c r="N293" s="292">
        <v>784261.77</v>
      </c>
    </row>
    <row r="294" spans="1:16" x14ac:dyDescent="0.3">
      <c r="A294" s="289">
        <v>6187</v>
      </c>
      <c r="B294" s="290">
        <v>43116</v>
      </c>
      <c r="C294" s="291">
        <v>30975278</v>
      </c>
      <c r="D294" s="291" t="s">
        <v>139</v>
      </c>
      <c r="E294" s="291" t="s">
        <v>140</v>
      </c>
      <c r="F294" s="291" t="s">
        <v>144</v>
      </c>
      <c r="G294" s="291" t="s">
        <v>536</v>
      </c>
      <c r="H294" s="291" t="s">
        <v>142</v>
      </c>
      <c r="I294" s="292"/>
      <c r="J294" s="292">
        <v>205</v>
      </c>
      <c r="K294" s="291">
        <v>660160</v>
      </c>
      <c r="L294" s="293">
        <v>130816.65</v>
      </c>
      <c r="M294" s="292">
        <v>205</v>
      </c>
      <c r="N294" s="292">
        <v>0</v>
      </c>
    </row>
    <row r="295" spans="1:16" x14ac:dyDescent="0.3">
      <c r="A295" s="289">
        <v>41206</v>
      </c>
      <c r="B295" s="290">
        <v>43116</v>
      </c>
      <c r="C295" s="291">
        <v>30975278</v>
      </c>
      <c r="D295" s="291" t="s">
        <v>139</v>
      </c>
      <c r="E295" s="291" t="s">
        <v>140</v>
      </c>
      <c r="F295" s="291" t="s">
        <v>145</v>
      </c>
      <c r="G295" s="291" t="s">
        <v>537</v>
      </c>
      <c r="H295" s="291" t="s">
        <v>142</v>
      </c>
      <c r="I295" s="292"/>
      <c r="J295" s="292">
        <v>195</v>
      </c>
      <c r="K295" s="291">
        <v>8918</v>
      </c>
      <c r="L295" s="293">
        <v>124435.35</v>
      </c>
      <c r="M295" s="292">
        <v>195</v>
      </c>
      <c r="N295" s="292">
        <v>0</v>
      </c>
    </row>
    <row r="296" spans="1:16" x14ac:dyDescent="0.3">
      <c r="A296" s="289">
        <v>92651</v>
      </c>
      <c r="B296" s="290">
        <v>43116</v>
      </c>
      <c r="C296" s="291">
        <v>30975278</v>
      </c>
      <c r="D296" s="291" t="s">
        <v>139</v>
      </c>
      <c r="E296" s="291" t="s">
        <v>140</v>
      </c>
      <c r="F296" s="291" t="s">
        <v>144</v>
      </c>
      <c r="G296" s="291" t="s">
        <v>538</v>
      </c>
      <c r="H296" s="291" t="s">
        <v>142</v>
      </c>
      <c r="I296" s="292"/>
      <c r="J296" s="292">
        <v>195</v>
      </c>
      <c r="K296" s="291" t="s">
        <v>539</v>
      </c>
      <c r="L296" s="293">
        <v>124435.35</v>
      </c>
      <c r="M296" s="292">
        <v>195</v>
      </c>
      <c r="N296" s="292">
        <v>0</v>
      </c>
    </row>
    <row r="297" spans="1:16" x14ac:dyDescent="0.3">
      <c r="A297" s="289">
        <v>67313</v>
      </c>
      <c r="B297" s="290">
        <v>43116</v>
      </c>
      <c r="C297" s="291">
        <v>30905830</v>
      </c>
      <c r="D297" s="291" t="s">
        <v>139</v>
      </c>
      <c r="E297" s="291" t="s">
        <v>143</v>
      </c>
      <c r="F297" s="291" t="s">
        <v>144</v>
      </c>
      <c r="G297" s="291" t="s">
        <v>540</v>
      </c>
      <c r="H297" s="291" t="s">
        <v>143</v>
      </c>
      <c r="I297" s="292">
        <v>147345</v>
      </c>
      <c r="J297" s="292"/>
      <c r="K297" s="291">
        <v>455398</v>
      </c>
      <c r="L297" s="293">
        <v>147345</v>
      </c>
      <c r="M297" s="292">
        <v>230.90122702270696</v>
      </c>
      <c r="N297" s="292">
        <v>147345</v>
      </c>
    </row>
    <row r="298" spans="1:16" x14ac:dyDescent="0.3">
      <c r="A298" s="289">
        <v>37019</v>
      </c>
      <c r="B298" s="290">
        <v>43116</v>
      </c>
      <c r="C298" s="291">
        <v>30905830</v>
      </c>
      <c r="D298" s="291" t="s">
        <v>139</v>
      </c>
      <c r="E298" s="291" t="s">
        <v>143</v>
      </c>
      <c r="F298" s="291" t="s">
        <v>141</v>
      </c>
      <c r="G298" s="291" t="s">
        <v>541</v>
      </c>
      <c r="H298" s="291" t="s">
        <v>143</v>
      </c>
      <c r="I298" s="292">
        <v>147345</v>
      </c>
      <c r="J298" s="292"/>
      <c r="K298" s="291">
        <v>521269</v>
      </c>
      <c r="L298" s="293">
        <v>147345</v>
      </c>
      <c r="M298" s="292">
        <v>230.90122702270696</v>
      </c>
      <c r="N298" s="292">
        <v>0</v>
      </c>
    </row>
    <row r="299" spans="1:16" x14ac:dyDescent="0.3">
      <c r="A299" s="289">
        <v>43630</v>
      </c>
      <c r="B299" s="290">
        <v>43116</v>
      </c>
      <c r="C299" s="291">
        <v>30975278</v>
      </c>
      <c r="D299" s="291" t="s">
        <v>139</v>
      </c>
      <c r="E299" s="291" t="s">
        <v>140</v>
      </c>
      <c r="F299" s="291" t="s">
        <v>145</v>
      </c>
      <c r="G299" s="291" t="s">
        <v>542</v>
      </c>
      <c r="H299" s="291" t="s">
        <v>142</v>
      </c>
      <c r="I299" s="292"/>
      <c r="J299" s="292">
        <v>176</v>
      </c>
      <c r="K299" s="291">
        <v>152900</v>
      </c>
      <c r="L299" s="293">
        <v>112310.88</v>
      </c>
      <c r="M299" s="292">
        <v>176</v>
      </c>
      <c r="N299" s="292">
        <v>0</v>
      </c>
    </row>
    <row r="300" spans="1:16" x14ac:dyDescent="0.3">
      <c r="A300" s="289">
        <v>85900</v>
      </c>
      <c r="B300" s="290">
        <v>43116</v>
      </c>
      <c r="C300" s="291">
        <v>30905830</v>
      </c>
      <c r="D300" s="291" t="s">
        <v>139</v>
      </c>
      <c r="E300" s="291" t="s">
        <v>143</v>
      </c>
      <c r="F300" s="291" t="s">
        <v>144</v>
      </c>
      <c r="G300" s="291" t="s">
        <v>543</v>
      </c>
      <c r="H300" s="291" t="s">
        <v>143</v>
      </c>
      <c r="I300" s="292">
        <v>252284</v>
      </c>
      <c r="J300" s="292"/>
      <c r="K300" s="291">
        <v>404859</v>
      </c>
      <c r="L300" s="293">
        <v>252284</v>
      </c>
      <c r="M300" s="292">
        <v>395.34891009668877</v>
      </c>
      <c r="N300" s="292">
        <v>0</v>
      </c>
    </row>
    <row r="301" spans="1:16" x14ac:dyDescent="0.3">
      <c r="A301" s="289">
        <v>26261</v>
      </c>
      <c r="B301" s="290">
        <v>43116</v>
      </c>
      <c r="C301" s="291">
        <v>30975278</v>
      </c>
      <c r="D301" s="291" t="s">
        <v>139</v>
      </c>
      <c r="E301" s="291" t="s">
        <v>140</v>
      </c>
      <c r="F301" s="291" t="s">
        <v>144</v>
      </c>
      <c r="G301" s="291" t="s">
        <v>378</v>
      </c>
      <c r="H301" s="291" t="s">
        <v>142</v>
      </c>
      <c r="I301" s="292"/>
      <c r="J301" s="292">
        <v>5</v>
      </c>
      <c r="K301" s="291">
        <v>520253</v>
      </c>
      <c r="L301" s="293">
        <v>3190.65</v>
      </c>
      <c r="M301" s="292">
        <v>5</v>
      </c>
      <c r="N301" s="292">
        <v>1773363.27</v>
      </c>
    </row>
    <row r="302" spans="1:16" x14ac:dyDescent="0.3">
      <c r="A302" s="289">
        <v>26261</v>
      </c>
      <c r="B302" s="290">
        <v>43116</v>
      </c>
      <c r="C302" s="291">
        <v>30975278</v>
      </c>
      <c r="D302" s="291" t="s">
        <v>139</v>
      </c>
      <c r="E302" s="291" t="s">
        <v>331</v>
      </c>
      <c r="F302" s="291" t="s">
        <v>144</v>
      </c>
      <c r="G302" s="291" t="s">
        <v>378</v>
      </c>
      <c r="H302" s="291" t="s">
        <v>142</v>
      </c>
      <c r="I302" s="292"/>
      <c r="J302" s="292">
        <v>-5</v>
      </c>
      <c r="K302" s="291">
        <v>520253</v>
      </c>
      <c r="L302" s="293">
        <v>-3190.65</v>
      </c>
      <c r="M302" s="292">
        <v>-5</v>
      </c>
      <c r="N302" s="292">
        <v>1773363.27</v>
      </c>
    </row>
    <row r="303" spans="1:16" x14ac:dyDescent="0.3">
      <c r="A303" s="289">
        <v>39246</v>
      </c>
      <c r="B303" s="290">
        <v>43117</v>
      </c>
      <c r="C303" s="291">
        <v>30975278</v>
      </c>
      <c r="D303" s="291" t="s">
        <v>139</v>
      </c>
      <c r="E303" s="291" t="s">
        <v>140</v>
      </c>
      <c r="F303" s="291" t="s">
        <v>144</v>
      </c>
      <c r="G303" s="291" t="s">
        <v>544</v>
      </c>
      <c r="H303" s="291" t="s">
        <v>142</v>
      </c>
      <c r="I303" s="292"/>
      <c r="J303" s="292">
        <v>195</v>
      </c>
      <c r="K303" s="291">
        <v>86364</v>
      </c>
      <c r="L303" s="293">
        <v>124435.35</v>
      </c>
      <c r="M303" s="292">
        <v>195</v>
      </c>
      <c r="N303" s="292">
        <v>0</v>
      </c>
    </row>
    <row r="304" spans="1:16" x14ac:dyDescent="0.3">
      <c r="A304" s="289">
        <v>53458</v>
      </c>
      <c r="B304" s="290">
        <v>43118</v>
      </c>
      <c r="C304" s="291">
        <v>30975278</v>
      </c>
      <c r="D304" s="291" t="s">
        <v>139</v>
      </c>
      <c r="E304" s="291" t="s">
        <v>140</v>
      </c>
      <c r="F304" s="291" t="s">
        <v>145</v>
      </c>
      <c r="G304" s="291" t="s">
        <v>545</v>
      </c>
      <c r="H304" s="291" t="s">
        <v>142</v>
      </c>
      <c r="I304" s="292"/>
      <c r="J304" s="292">
        <v>263</v>
      </c>
      <c r="K304" s="291">
        <v>421071</v>
      </c>
      <c r="L304" s="293">
        <v>167828.19</v>
      </c>
      <c r="M304" s="292">
        <v>263</v>
      </c>
      <c r="N304" s="292">
        <v>0</v>
      </c>
    </row>
    <row r="305" spans="1:19" x14ac:dyDescent="0.3">
      <c r="A305" s="289">
        <v>53458</v>
      </c>
      <c r="B305" s="290">
        <v>43118</v>
      </c>
      <c r="C305" s="291">
        <v>30975278</v>
      </c>
      <c r="D305" s="291" t="s">
        <v>139</v>
      </c>
      <c r="E305" s="291" t="s">
        <v>140</v>
      </c>
      <c r="F305" s="291" t="s">
        <v>145</v>
      </c>
      <c r="G305" s="291" t="s">
        <v>546</v>
      </c>
      <c r="H305" s="291" t="s">
        <v>142</v>
      </c>
      <c r="I305" s="292"/>
      <c r="J305" s="292">
        <v>88</v>
      </c>
      <c r="K305" s="291">
        <v>575754</v>
      </c>
      <c r="L305" s="293">
        <v>56155.44</v>
      </c>
      <c r="M305" s="292">
        <v>88</v>
      </c>
      <c r="N305" s="292">
        <v>0</v>
      </c>
    </row>
    <row r="306" spans="1:19" x14ac:dyDescent="0.3">
      <c r="A306" s="289">
        <v>10319</v>
      </c>
      <c r="B306" s="290">
        <v>43118</v>
      </c>
      <c r="C306" s="291">
        <v>30975278</v>
      </c>
      <c r="D306" s="291" t="s">
        <v>139</v>
      </c>
      <c r="E306" s="291" t="s">
        <v>140</v>
      </c>
      <c r="F306" s="291" t="s">
        <v>145</v>
      </c>
      <c r="G306" s="291" t="s">
        <v>382</v>
      </c>
      <c r="H306" s="291" t="s">
        <v>142</v>
      </c>
      <c r="I306" s="292"/>
      <c r="J306" s="292">
        <v>615</v>
      </c>
      <c r="K306" s="291">
        <v>88883</v>
      </c>
      <c r="L306" s="293">
        <v>392449.95</v>
      </c>
      <c r="M306" s="292">
        <v>615</v>
      </c>
      <c r="N306" s="292">
        <v>523266.6</v>
      </c>
    </row>
    <row r="307" spans="1:19" x14ac:dyDescent="0.3">
      <c r="A307" s="289">
        <v>1998</v>
      </c>
      <c r="B307" s="290">
        <v>43119</v>
      </c>
      <c r="C307" s="291">
        <v>30975278</v>
      </c>
      <c r="D307" s="291" t="s">
        <v>139</v>
      </c>
      <c r="E307" s="291" t="s">
        <v>140</v>
      </c>
      <c r="F307" s="291" t="s">
        <v>144</v>
      </c>
      <c r="G307" s="291" t="s">
        <v>547</v>
      </c>
      <c r="H307" s="291" t="s">
        <v>142</v>
      </c>
      <c r="I307" s="292"/>
      <c r="J307" s="292">
        <v>615</v>
      </c>
      <c r="K307" s="291">
        <v>174893</v>
      </c>
      <c r="L307" s="293">
        <v>392449.95</v>
      </c>
      <c r="M307" s="292">
        <v>615</v>
      </c>
      <c r="N307" s="292">
        <v>523266.6</v>
      </c>
    </row>
    <row r="308" spans="1:19" x14ac:dyDescent="0.3">
      <c r="A308" s="289">
        <v>98230</v>
      </c>
      <c r="B308" s="290">
        <v>43120</v>
      </c>
      <c r="C308" s="291">
        <v>30975278</v>
      </c>
      <c r="D308" s="291" t="s">
        <v>139</v>
      </c>
      <c r="E308" s="291" t="s">
        <v>140</v>
      </c>
      <c r="F308" s="291" t="s">
        <v>145</v>
      </c>
      <c r="G308" s="291" t="s">
        <v>548</v>
      </c>
      <c r="H308" s="291" t="s">
        <v>142</v>
      </c>
      <c r="I308" s="292"/>
      <c r="J308" s="292">
        <v>1560</v>
      </c>
      <c r="K308" s="291">
        <v>90082</v>
      </c>
      <c r="L308" s="293">
        <v>995482.8</v>
      </c>
      <c r="M308" s="292">
        <v>1560</v>
      </c>
      <c r="N308" s="292">
        <v>1244353.5</v>
      </c>
    </row>
    <row r="309" spans="1:19" x14ac:dyDescent="0.3">
      <c r="A309" s="289">
        <v>65464</v>
      </c>
      <c r="B309" s="290">
        <v>43121</v>
      </c>
      <c r="C309" s="291">
        <v>30975278</v>
      </c>
      <c r="D309" s="291" t="s">
        <v>139</v>
      </c>
      <c r="E309" s="291" t="s">
        <v>140</v>
      </c>
      <c r="F309" s="291" t="s">
        <v>144</v>
      </c>
      <c r="G309" s="291" t="s">
        <v>533</v>
      </c>
      <c r="H309" s="291" t="s">
        <v>142</v>
      </c>
      <c r="I309" s="292"/>
      <c r="J309" s="292">
        <v>98</v>
      </c>
      <c r="K309" s="291">
        <v>86567</v>
      </c>
      <c r="L309" s="293">
        <v>62536.74</v>
      </c>
      <c r="M309" s="292">
        <v>98</v>
      </c>
      <c r="N309" s="292">
        <v>809148.84</v>
      </c>
      <c r="R309" s="58" t="s">
        <v>208</v>
      </c>
      <c r="S309" s="58" t="s">
        <v>209</v>
      </c>
    </row>
    <row r="310" spans="1:19" x14ac:dyDescent="0.3">
      <c r="A310" s="289">
        <v>3072</v>
      </c>
      <c r="B310" s="290">
        <v>43122</v>
      </c>
      <c r="C310" s="291">
        <v>30975278</v>
      </c>
      <c r="D310" s="291" t="s">
        <v>139</v>
      </c>
      <c r="E310" s="291" t="s">
        <v>140</v>
      </c>
      <c r="F310" s="291" t="s">
        <v>141</v>
      </c>
      <c r="G310" s="291" t="s">
        <v>549</v>
      </c>
      <c r="H310" s="291" t="s">
        <v>142</v>
      </c>
      <c r="I310" s="292"/>
      <c r="J310" s="292">
        <v>584</v>
      </c>
      <c r="K310" s="291">
        <v>16</v>
      </c>
      <c r="L310" s="293">
        <v>372667.92</v>
      </c>
      <c r="M310" s="292">
        <v>584</v>
      </c>
      <c r="N310" s="292">
        <v>497103.27</v>
      </c>
    </row>
    <row r="311" spans="1:19" x14ac:dyDescent="0.3">
      <c r="A311" s="289">
        <v>19638</v>
      </c>
      <c r="B311" s="290">
        <v>43122</v>
      </c>
      <c r="C311" s="291">
        <v>30975278</v>
      </c>
      <c r="D311" s="291" t="s">
        <v>139</v>
      </c>
      <c r="E311" s="291" t="s">
        <v>140</v>
      </c>
      <c r="F311" s="291" t="s">
        <v>144</v>
      </c>
      <c r="G311" s="291" t="s">
        <v>386</v>
      </c>
      <c r="H311" s="291" t="s">
        <v>142</v>
      </c>
      <c r="I311" s="292"/>
      <c r="J311" s="292">
        <v>585</v>
      </c>
      <c r="K311" s="291" t="s">
        <v>550</v>
      </c>
      <c r="L311" s="293">
        <v>373306.05</v>
      </c>
      <c r="M311" s="292">
        <v>585</v>
      </c>
      <c r="N311" s="292">
        <v>497741.4</v>
      </c>
    </row>
    <row r="312" spans="1:19" x14ac:dyDescent="0.3">
      <c r="A312" s="289">
        <v>84933</v>
      </c>
      <c r="B312" s="290">
        <v>43123</v>
      </c>
      <c r="C312" s="291">
        <v>30975278</v>
      </c>
      <c r="D312" s="291" t="s">
        <v>139</v>
      </c>
      <c r="E312" s="291" t="s">
        <v>140</v>
      </c>
      <c r="F312" s="291" t="s">
        <v>145</v>
      </c>
      <c r="G312" s="291" t="s">
        <v>551</v>
      </c>
      <c r="H312" s="291" t="s">
        <v>142</v>
      </c>
      <c r="I312" s="292"/>
      <c r="J312" s="292">
        <v>205</v>
      </c>
      <c r="K312" s="291" t="s">
        <v>552</v>
      </c>
      <c r="L312" s="293">
        <v>130816.65</v>
      </c>
      <c r="M312" s="292">
        <v>205</v>
      </c>
      <c r="N312" s="292">
        <v>261633.3</v>
      </c>
    </row>
    <row r="313" spans="1:19" x14ac:dyDescent="0.3">
      <c r="A313" s="289">
        <v>84934</v>
      </c>
      <c r="B313" s="290">
        <v>43123</v>
      </c>
      <c r="C313" s="291">
        <v>30975278</v>
      </c>
      <c r="D313" s="291" t="s">
        <v>139</v>
      </c>
      <c r="E313" s="291" t="s">
        <v>140</v>
      </c>
      <c r="F313" s="291" t="s">
        <v>145</v>
      </c>
      <c r="G313" s="291" t="s">
        <v>551</v>
      </c>
      <c r="H313" s="291" t="s">
        <v>142</v>
      </c>
      <c r="I313" s="292"/>
      <c r="J313" s="292">
        <v>205</v>
      </c>
      <c r="K313" s="291" t="s">
        <v>553</v>
      </c>
      <c r="L313" s="293">
        <v>130816.65</v>
      </c>
      <c r="M313" s="292">
        <v>205</v>
      </c>
      <c r="N313" s="292">
        <v>261633.3</v>
      </c>
    </row>
    <row r="314" spans="1:19" x14ac:dyDescent="0.3">
      <c r="A314" s="289">
        <v>64812</v>
      </c>
      <c r="B314" s="290">
        <v>43123</v>
      </c>
      <c r="C314" s="291">
        <v>30975278</v>
      </c>
      <c r="D314" s="291" t="s">
        <v>139</v>
      </c>
      <c r="E314" s="291" t="s">
        <v>140</v>
      </c>
      <c r="F314" s="291" t="s">
        <v>144</v>
      </c>
      <c r="G314" s="291" t="s">
        <v>554</v>
      </c>
      <c r="H314" s="291" t="s">
        <v>142</v>
      </c>
      <c r="I314" s="292"/>
      <c r="J314" s="292">
        <v>185</v>
      </c>
      <c r="K314" s="291" t="s">
        <v>555</v>
      </c>
      <c r="L314" s="293">
        <v>118054.05</v>
      </c>
      <c r="M314" s="292">
        <v>185</v>
      </c>
      <c r="N314" s="292">
        <v>0</v>
      </c>
    </row>
    <row r="315" spans="1:19" x14ac:dyDescent="0.3">
      <c r="A315" s="289">
        <v>92270</v>
      </c>
      <c r="B315" s="290">
        <v>43123</v>
      </c>
      <c r="C315" s="291">
        <v>30905830</v>
      </c>
      <c r="D315" s="291" t="s">
        <v>139</v>
      </c>
      <c r="E315" s="291" t="s">
        <v>143</v>
      </c>
      <c r="F315" s="291" t="s">
        <v>145</v>
      </c>
      <c r="G315" s="291" t="s">
        <v>556</v>
      </c>
      <c r="H315" s="291" t="s">
        <v>143</v>
      </c>
      <c r="I315" s="292">
        <v>147833</v>
      </c>
      <c r="J315" s="292"/>
      <c r="K315" s="291">
        <v>788476</v>
      </c>
      <c r="L315" s="293">
        <v>147833</v>
      </c>
      <c r="M315" s="292">
        <v>231.66596148120288</v>
      </c>
      <c r="N315" s="292">
        <v>0</v>
      </c>
    </row>
    <row r="316" spans="1:19" x14ac:dyDescent="0.3">
      <c r="A316" s="289">
        <v>76128</v>
      </c>
      <c r="B316" s="290">
        <v>43123</v>
      </c>
      <c r="C316" s="291">
        <v>30975278</v>
      </c>
      <c r="D316" s="291" t="s">
        <v>139</v>
      </c>
      <c r="E316" s="291" t="s">
        <v>140</v>
      </c>
      <c r="F316" s="291" t="s">
        <v>141</v>
      </c>
      <c r="G316" s="291" t="s">
        <v>557</v>
      </c>
      <c r="H316" s="291" t="s">
        <v>142</v>
      </c>
      <c r="I316" s="292"/>
      <c r="J316" s="292">
        <v>205</v>
      </c>
      <c r="K316" s="291">
        <v>88</v>
      </c>
      <c r="L316" s="293">
        <v>130816.65</v>
      </c>
      <c r="M316" s="292">
        <v>205</v>
      </c>
      <c r="N316" s="292">
        <v>0</v>
      </c>
    </row>
    <row r="317" spans="1:19" x14ac:dyDescent="0.3">
      <c r="A317" s="289">
        <v>14012</v>
      </c>
      <c r="B317" s="290">
        <v>43123</v>
      </c>
      <c r="C317" s="291">
        <v>30975278</v>
      </c>
      <c r="D317" s="291" t="s">
        <v>139</v>
      </c>
      <c r="E317" s="291" t="s">
        <v>140</v>
      </c>
      <c r="F317" s="291" t="s">
        <v>141</v>
      </c>
      <c r="G317" s="291" t="s">
        <v>558</v>
      </c>
      <c r="H317" s="291" t="s">
        <v>142</v>
      </c>
      <c r="I317" s="292"/>
      <c r="J317" s="292">
        <v>195</v>
      </c>
      <c r="K317" s="291">
        <v>58</v>
      </c>
      <c r="L317" s="293">
        <v>124435.35</v>
      </c>
      <c r="M317" s="292">
        <v>195</v>
      </c>
      <c r="N317" s="292">
        <v>0</v>
      </c>
    </row>
    <row r="318" spans="1:19" x14ac:dyDescent="0.3">
      <c r="A318" s="289">
        <v>42143</v>
      </c>
      <c r="B318" s="290">
        <v>43123</v>
      </c>
      <c r="C318" s="291">
        <v>30975278</v>
      </c>
      <c r="D318" s="291" t="s">
        <v>139</v>
      </c>
      <c r="E318" s="291" t="s">
        <v>140</v>
      </c>
      <c r="F318" s="291" t="s">
        <v>144</v>
      </c>
      <c r="G318" s="291" t="s">
        <v>559</v>
      </c>
      <c r="H318" s="291" t="s">
        <v>142</v>
      </c>
      <c r="I318" s="292"/>
      <c r="J318" s="292">
        <v>205</v>
      </c>
      <c r="K318" s="291">
        <v>115254</v>
      </c>
      <c r="L318" s="293">
        <v>130816.65</v>
      </c>
      <c r="M318" s="292">
        <v>205</v>
      </c>
      <c r="N318" s="292">
        <v>0</v>
      </c>
    </row>
    <row r="319" spans="1:19" x14ac:dyDescent="0.3">
      <c r="A319" s="289">
        <v>75454</v>
      </c>
      <c r="B319" s="290">
        <v>43123</v>
      </c>
      <c r="C319" s="291">
        <v>30975278</v>
      </c>
      <c r="D319" s="291" t="s">
        <v>139</v>
      </c>
      <c r="E319" s="291" t="s">
        <v>140</v>
      </c>
      <c r="F319" s="291" t="s">
        <v>145</v>
      </c>
      <c r="G319" s="291" t="s">
        <v>560</v>
      </c>
      <c r="H319" s="291" t="s">
        <v>142</v>
      </c>
      <c r="I319" s="292"/>
      <c r="J319" s="292">
        <v>185</v>
      </c>
      <c r="K319" s="291">
        <v>2249</v>
      </c>
      <c r="L319" s="293">
        <v>118054.05</v>
      </c>
      <c r="M319" s="292">
        <v>185</v>
      </c>
      <c r="N319" s="292">
        <v>0</v>
      </c>
    </row>
    <row r="320" spans="1:19" x14ac:dyDescent="0.3">
      <c r="A320" s="289">
        <v>95741</v>
      </c>
      <c r="B320" s="290">
        <v>43123</v>
      </c>
      <c r="C320" s="291">
        <v>30975278</v>
      </c>
      <c r="D320" s="291" t="s">
        <v>139</v>
      </c>
      <c r="E320" s="291" t="s">
        <v>140</v>
      </c>
      <c r="F320" s="291" t="s">
        <v>141</v>
      </c>
      <c r="G320" s="291" t="s">
        <v>561</v>
      </c>
      <c r="H320" s="291" t="s">
        <v>142</v>
      </c>
      <c r="I320" s="292"/>
      <c r="J320" s="292">
        <v>205</v>
      </c>
      <c r="K320" s="291">
        <v>14</v>
      </c>
      <c r="L320" s="293">
        <v>130816.65</v>
      </c>
      <c r="M320" s="292">
        <v>205</v>
      </c>
      <c r="N320" s="292">
        <v>0</v>
      </c>
    </row>
    <row r="321" spans="1:17" x14ac:dyDescent="0.3">
      <c r="A321" s="289">
        <v>95742</v>
      </c>
      <c r="B321" s="290">
        <v>43123</v>
      </c>
      <c r="C321" s="291">
        <v>30975278</v>
      </c>
      <c r="D321" s="291" t="s">
        <v>139</v>
      </c>
      <c r="E321" s="291" t="s">
        <v>140</v>
      </c>
      <c r="F321" s="291" t="s">
        <v>141</v>
      </c>
      <c r="G321" s="291" t="s">
        <v>561</v>
      </c>
      <c r="H321" s="291" t="s">
        <v>142</v>
      </c>
      <c r="I321" s="292"/>
      <c r="J321" s="292">
        <v>205</v>
      </c>
      <c r="K321" s="291">
        <v>20</v>
      </c>
      <c r="L321" s="293">
        <v>130816.65</v>
      </c>
      <c r="M321" s="292">
        <v>205</v>
      </c>
      <c r="N321" s="292">
        <v>0</v>
      </c>
    </row>
    <row r="322" spans="1:17" x14ac:dyDescent="0.3">
      <c r="A322" s="289">
        <v>14536</v>
      </c>
      <c r="B322" s="290">
        <v>43123</v>
      </c>
      <c r="C322" s="291">
        <v>30975278</v>
      </c>
      <c r="D322" s="291" t="s">
        <v>139</v>
      </c>
      <c r="E322" s="291" t="s">
        <v>140</v>
      </c>
      <c r="F322" s="291" t="s">
        <v>145</v>
      </c>
      <c r="G322" s="291" t="s">
        <v>562</v>
      </c>
      <c r="H322" s="291" t="s">
        <v>142</v>
      </c>
      <c r="I322" s="292"/>
      <c r="J322" s="292">
        <v>185</v>
      </c>
      <c r="K322" s="291">
        <v>664631</v>
      </c>
      <c r="L322" s="293">
        <v>118054.05</v>
      </c>
      <c r="M322" s="292">
        <v>185</v>
      </c>
      <c r="N322" s="292">
        <v>0</v>
      </c>
      <c r="Q322" s="58" t="s">
        <v>239</v>
      </c>
    </row>
    <row r="323" spans="1:17" x14ac:dyDescent="0.3">
      <c r="A323" s="289">
        <v>80746</v>
      </c>
      <c r="B323" s="290">
        <v>43123</v>
      </c>
      <c r="C323" s="291">
        <v>30975278</v>
      </c>
      <c r="D323" s="291" t="s">
        <v>139</v>
      </c>
      <c r="E323" s="291" t="s">
        <v>140</v>
      </c>
      <c r="F323" s="291" t="s">
        <v>145</v>
      </c>
      <c r="G323" s="291" t="s">
        <v>563</v>
      </c>
      <c r="H323" s="291" t="s">
        <v>142</v>
      </c>
      <c r="I323" s="292"/>
      <c r="J323" s="292">
        <v>185</v>
      </c>
      <c r="K323" s="291">
        <v>825796</v>
      </c>
      <c r="L323" s="293">
        <v>118054.05</v>
      </c>
      <c r="M323" s="292">
        <v>185</v>
      </c>
      <c r="N323" s="292">
        <v>0</v>
      </c>
    </row>
    <row r="324" spans="1:17" x14ac:dyDescent="0.3">
      <c r="A324" s="289">
        <v>10520</v>
      </c>
      <c r="B324" s="290">
        <v>43123</v>
      </c>
      <c r="C324" s="291">
        <v>30975278</v>
      </c>
      <c r="D324" s="291" t="s">
        <v>139</v>
      </c>
      <c r="E324" s="291" t="s">
        <v>140</v>
      </c>
      <c r="F324" s="291" t="s">
        <v>145</v>
      </c>
      <c r="G324" s="291" t="s">
        <v>563</v>
      </c>
      <c r="H324" s="291" t="s">
        <v>142</v>
      </c>
      <c r="I324" s="292"/>
      <c r="J324" s="292">
        <v>205</v>
      </c>
      <c r="K324" s="291">
        <v>825797</v>
      </c>
      <c r="L324" s="293">
        <v>130816.65</v>
      </c>
      <c r="M324" s="292">
        <v>205</v>
      </c>
      <c r="N324" s="292">
        <v>0</v>
      </c>
    </row>
    <row r="325" spans="1:17" x14ac:dyDescent="0.3">
      <c r="A325" s="289">
        <v>36312</v>
      </c>
      <c r="B325" s="290">
        <v>43123</v>
      </c>
      <c r="C325" s="291">
        <v>30975278</v>
      </c>
      <c r="D325" s="291" t="s">
        <v>139</v>
      </c>
      <c r="E325" s="291" t="s">
        <v>140</v>
      </c>
      <c r="F325" s="291" t="s">
        <v>141</v>
      </c>
      <c r="G325" s="291" t="s">
        <v>564</v>
      </c>
      <c r="H325" s="291" t="s">
        <v>142</v>
      </c>
      <c r="I325" s="292"/>
      <c r="J325" s="292">
        <v>205</v>
      </c>
      <c r="K325" s="291">
        <v>97</v>
      </c>
      <c r="L325" s="293">
        <v>130816.65</v>
      </c>
      <c r="M325" s="292">
        <v>205</v>
      </c>
      <c r="N325" s="292">
        <v>0</v>
      </c>
    </row>
    <row r="326" spans="1:17" x14ac:dyDescent="0.3">
      <c r="A326" s="289">
        <v>77003</v>
      </c>
      <c r="B326" s="290">
        <v>43123</v>
      </c>
      <c r="C326" s="291">
        <v>30975278</v>
      </c>
      <c r="D326" s="291" t="s">
        <v>139</v>
      </c>
      <c r="E326" s="291" t="s">
        <v>140</v>
      </c>
      <c r="F326" s="291" t="s">
        <v>145</v>
      </c>
      <c r="G326" s="291" t="s">
        <v>565</v>
      </c>
      <c r="H326" s="291" t="s">
        <v>142</v>
      </c>
      <c r="I326" s="292"/>
      <c r="J326" s="292">
        <v>390</v>
      </c>
      <c r="K326" s="291">
        <v>842668</v>
      </c>
      <c r="L326" s="293">
        <v>248870.7</v>
      </c>
      <c r="M326" s="292">
        <v>390</v>
      </c>
      <c r="N326" s="292">
        <v>0</v>
      </c>
    </row>
    <row r="327" spans="1:17" x14ac:dyDescent="0.3">
      <c r="A327" s="289">
        <v>47992</v>
      </c>
      <c r="B327" s="290">
        <v>43123</v>
      </c>
      <c r="C327" s="291">
        <v>30975278</v>
      </c>
      <c r="D327" s="291" t="s">
        <v>139</v>
      </c>
      <c r="E327" s="291" t="s">
        <v>140</v>
      </c>
      <c r="F327" s="291" t="s">
        <v>144</v>
      </c>
      <c r="G327" s="291" t="s">
        <v>566</v>
      </c>
      <c r="H327" s="291" t="s">
        <v>142</v>
      </c>
      <c r="I327" s="292"/>
      <c r="J327" s="292">
        <v>205</v>
      </c>
      <c r="K327" s="291">
        <v>694133</v>
      </c>
      <c r="L327" s="293">
        <v>130816.65</v>
      </c>
      <c r="M327" s="292">
        <v>205</v>
      </c>
      <c r="N327" s="292">
        <v>0</v>
      </c>
    </row>
    <row r="328" spans="1:17" x14ac:dyDescent="0.3">
      <c r="A328" s="289">
        <v>78073</v>
      </c>
      <c r="B328" s="290">
        <v>43123</v>
      </c>
      <c r="C328" s="291">
        <v>30975278</v>
      </c>
      <c r="D328" s="291" t="s">
        <v>139</v>
      </c>
      <c r="E328" s="291" t="s">
        <v>140</v>
      </c>
      <c r="F328" s="291" t="s">
        <v>141</v>
      </c>
      <c r="G328" s="291" t="s">
        <v>567</v>
      </c>
      <c r="H328" s="291" t="s">
        <v>142</v>
      </c>
      <c r="I328" s="292"/>
      <c r="J328" s="292">
        <v>185</v>
      </c>
      <c r="K328" s="291">
        <v>79</v>
      </c>
      <c r="L328" s="293">
        <v>118054.05</v>
      </c>
      <c r="M328" s="292">
        <v>185</v>
      </c>
      <c r="N328" s="292">
        <v>0</v>
      </c>
    </row>
    <row r="329" spans="1:17" x14ac:dyDescent="0.3">
      <c r="A329" s="289">
        <v>65469</v>
      </c>
      <c r="B329" s="290">
        <v>43123</v>
      </c>
      <c r="C329" s="291">
        <v>30975278</v>
      </c>
      <c r="D329" s="291" t="s">
        <v>139</v>
      </c>
      <c r="E329" s="291" t="s">
        <v>140</v>
      </c>
      <c r="F329" s="291" t="s">
        <v>141</v>
      </c>
      <c r="G329" s="291" t="s">
        <v>385</v>
      </c>
      <c r="H329" s="291" t="s">
        <v>142</v>
      </c>
      <c r="I329" s="292"/>
      <c r="J329" s="292">
        <v>351</v>
      </c>
      <c r="K329" s="291">
        <v>44</v>
      </c>
      <c r="L329" s="293">
        <v>223983.63</v>
      </c>
      <c r="M329" s="292">
        <v>351</v>
      </c>
      <c r="N329" s="292">
        <v>336294.51</v>
      </c>
    </row>
    <row r="330" spans="1:17" x14ac:dyDescent="0.3">
      <c r="A330" s="289">
        <v>13499</v>
      </c>
      <c r="B330" s="290">
        <v>43124</v>
      </c>
      <c r="C330" s="291">
        <v>30975278</v>
      </c>
      <c r="D330" s="291" t="s">
        <v>139</v>
      </c>
      <c r="E330" s="291" t="s">
        <v>140</v>
      </c>
      <c r="F330" s="291" t="s">
        <v>145</v>
      </c>
      <c r="G330" s="291" t="s">
        <v>568</v>
      </c>
      <c r="H330" s="291" t="s">
        <v>142</v>
      </c>
      <c r="I330" s="292"/>
      <c r="J330" s="292">
        <v>1180</v>
      </c>
      <c r="K330" s="291">
        <v>93074</v>
      </c>
      <c r="L330" s="293">
        <v>752993.4</v>
      </c>
      <c r="M330" s="292">
        <v>1180</v>
      </c>
      <c r="N330" s="292">
        <v>0</v>
      </c>
    </row>
    <row r="331" spans="1:17" x14ac:dyDescent="0.3">
      <c r="A331" s="289">
        <v>55399</v>
      </c>
      <c r="B331" s="290">
        <v>43125</v>
      </c>
      <c r="C331" s="291">
        <v>30905830</v>
      </c>
      <c r="D331" s="291" t="s">
        <v>139</v>
      </c>
      <c r="E331" s="291" t="s">
        <v>143</v>
      </c>
      <c r="F331" s="291" t="s">
        <v>144</v>
      </c>
      <c r="G331" s="291" t="s">
        <v>384</v>
      </c>
      <c r="H331" s="291" t="s">
        <v>143</v>
      </c>
      <c r="I331" s="292">
        <v>266979</v>
      </c>
      <c r="J331" s="292"/>
      <c r="K331" s="291">
        <v>913082</v>
      </c>
      <c r="L331" s="293">
        <v>266979</v>
      </c>
      <c r="M331" s="292">
        <v>418.37713318602795</v>
      </c>
      <c r="N331" s="292">
        <v>403542</v>
      </c>
    </row>
    <row r="332" spans="1:17" x14ac:dyDescent="0.3">
      <c r="A332" s="289">
        <v>86697</v>
      </c>
      <c r="B332" s="290">
        <v>43126</v>
      </c>
      <c r="C332" s="291">
        <v>30975278</v>
      </c>
      <c r="D332" s="291" t="s">
        <v>139</v>
      </c>
      <c r="E332" s="291" t="s">
        <v>140</v>
      </c>
      <c r="F332" s="291" t="s">
        <v>145</v>
      </c>
      <c r="G332" s="291" t="s">
        <v>486</v>
      </c>
      <c r="H332" s="291" t="s">
        <v>142</v>
      </c>
      <c r="I332" s="292"/>
      <c r="J332" s="292">
        <v>176</v>
      </c>
      <c r="K332" s="291">
        <v>232495</v>
      </c>
      <c r="L332" s="293">
        <v>112310.88</v>
      </c>
      <c r="M332" s="292">
        <v>176</v>
      </c>
      <c r="N332" s="292">
        <v>224621.76</v>
      </c>
    </row>
    <row r="333" spans="1:17" x14ac:dyDescent="0.3">
      <c r="A333" s="289">
        <v>57467</v>
      </c>
      <c r="B333" s="290">
        <v>43129</v>
      </c>
      <c r="C333" s="291">
        <v>30975278</v>
      </c>
      <c r="D333" s="291" t="s">
        <v>139</v>
      </c>
      <c r="E333" s="291" t="s">
        <v>140</v>
      </c>
      <c r="F333" s="291" t="s">
        <v>144</v>
      </c>
      <c r="G333" s="291" t="s">
        <v>569</v>
      </c>
      <c r="H333" s="291" t="s">
        <v>142</v>
      </c>
      <c r="I333" s="292"/>
      <c r="J333" s="292">
        <v>410</v>
      </c>
      <c r="K333" s="291">
        <v>339426</v>
      </c>
      <c r="L333" s="293">
        <v>261633.3</v>
      </c>
      <c r="M333" s="292">
        <v>410</v>
      </c>
      <c r="N333" s="292">
        <v>392449.95</v>
      </c>
    </row>
    <row r="334" spans="1:17" x14ac:dyDescent="0.3">
      <c r="A334" s="289">
        <v>57467</v>
      </c>
      <c r="B334" s="290">
        <v>43129</v>
      </c>
      <c r="C334" s="291">
        <v>30975278</v>
      </c>
      <c r="D334" s="291" t="s">
        <v>139</v>
      </c>
      <c r="E334" s="291" t="s">
        <v>140</v>
      </c>
      <c r="F334" s="291" t="s">
        <v>144</v>
      </c>
      <c r="G334" s="291" t="s">
        <v>569</v>
      </c>
      <c r="H334" s="291" t="s">
        <v>142</v>
      </c>
      <c r="I334" s="292"/>
      <c r="J334" s="292">
        <v>15</v>
      </c>
      <c r="K334" s="291">
        <v>339931</v>
      </c>
      <c r="L334" s="293">
        <v>9571.9500000000007</v>
      </c>
      <c r="M334" s="292">
        <v>15.000000000000002</v>
      </c>
      <c r="N334" s="292">
        <v>392449.95</v>
      </c>
    </row>
    <row r="335" spans="1:17" x14ac:dyDescent="0.3">
      <c r="A335" s="289">
        <v>75247</v>
      </c>
      <c r="B335" s="290">
        <v>43129</v>
      </c>
      <c r="C335" s="291">
        <v>30975278</v>
      </c>
      <c r="D335" s="291" t="s">
        <v>139</v>
      </c>
      <c r="E335" s="291" t="s">
        <v>140</v>
      </c>
      <c r="F335" s="291" t="s">
        <v>144</v>
      </c>
      <c r="G335" s="291" t="s">
        <v>500</v>
      </c>
      <c r="H335" s="291" t="s">
        <v>142</v>
      </c>
      <c r="I335" s="292"/>
      <c r="J335" s="292">
        <v>615</v>
      </c>
      <c r="K335" s="291">
        <v>58702</v>
      </c>
      <c r="L335" s="293">
        <v>392449.95</v>
      </c>
      <c r="M335" s="292">
        <v>615</v>
      </c>
      <c r="N335" s="292">
        <v>523266.6</v>
      </c>
    </row>
    <row r="336" spans="1:17" x14ac:dyDescent="0.3">
      <c r="A336" s="289">
        <v>83249</v>
      </c>
      <c r="B336" s="290">
        <v>43129</v>
      </c>
      <c r="C336" s="291">
        <v>30975278</v>
      </c>
      <c r="D336" s="291" t="s">
        <v>139</v>
      </c>
      <c r="E336" s="291" t="s">
        <v>140</v>
      </c>
      <c r="F336" s="291" t="s">
        <v>145</v>
      </c>
      <c r="G336" s="291" t="s">
        <v>570</v>
      </c>
      <c r="H336" s="291" t="s">
        <v>142</v>
      </c>
      <c r="I336" s="292"/>
      <c r="J336" s="292">
        <v>489</v>
      </c>
      <c r="K336" s="291">
        <v>19844</v>
      </c>
      <c r="L336" s="293">
        <v>312045.57</v>
      </c>
      <c r="M336" s="292">
        <v>489</v>
      </c>
      <c r="N336" s="292">
        <v>621538.62</v>
      </c>
    </row>
    <row r="337" spans="1:14" x14ac:dyDescent="0.3">
      <c r="A337" s="289">
        <v>40773</v>
      </c>
      <c r="B337" s="290">
        <v>43130</v>
      </c>
      <c r="C337" s="291">
        <v>30975278</v>
      </c>
      <c r="D337" s="291" t="s">
        <v>139</v>
      </c>
      <c r="E337" s="291" t="s">
        <v>140</v>
      </c>
      <c r="F337" s="291" t="s">
        <v>145</v>
      </c>
      <c r="G337" s="291" t="s">
        <v>571</v>
      </c>
      <c r="H337" s="291" t="s">
        <v>142</v>
      </c>
      <c r="I337" s="292"/>
      <c r="J337" s="292">
        <v>205</v>
      </c>
      <c r="K337" s="291">
        <v>895361</v>
      </c>
      <c r="L337" s="293">
        <v>130816.65</v>
      </c>
      <c r="M337" s="292">
        <v>205</v>
      </c>
      <c r="N337" s="292">
        <v>0</v>
      </c>
    </row>
    <row r="338" spans="1:14" x14ac:dyDescent="0.3">
      <c r="A338" s="289">
        <v>21992</v>
      </c>
      <c r="B338" s="290">
        <v>43130</v>
      </c>
      <c r="C338" s="291">
        <v>30975278</v>
      </c>
      <c r="D338" s="291" t="s">
        <v>139</v>
      </c>
      <c r="E338" s="291" t="s">
        <v>140</v>
      </c>
      <c r="F338" s="291" t="s">
        <v>145</v>
      </c>
      <c r="G338" s="291" t="s">
        <v>572</v>
      </c>
      <c r="H338" s="291" t="s">
        <v>142</v>
      </c>
      <c r="I338" s="292"/>
      <c r="J338" s="292">
        <v>205</v>
      </c>
      <c r="K338" s="291" t="s">
        <v>573</v>
      </c>
      <c r="L338" s="293">
        <v>130816.65</v>
      </c>
      <c r="M338" s="292">
        <v>205</v>
      </c>
      <c r="N338" s="292">
        <v>0</v>
      </c>
    </row>
    <row r="339" spans="1:14" x14ac:dyDescent="0.3">
      <c r="A339" s="289">
        <v>67939</v>
      </c>
      <c r="B339" s="290">
        <v>43130</v>
      </c>
      <c r="C339" s="291">
        <v>30975278</v>
      </c>
      <c r="D339" s="291" t="s">
        <v>139</v>
      </c>
      <c r="E339" s="291" t="s">
        <v>140</v>
      </c>
      <c r="F339" s="291" t="s">
        <v>145</v>
      </c>
      <c r="G339" s="291" t="s">
        <v>574</v>
      </c>
      <c r="H339" s="291" t="s">
        <v>142</v>
      </c>
      <c r="I339" s="292"/>
      <c r="J339" s="292">
        <v>195</v>
      </c>
      <c r="K339" s="291">
        <v>61662</v>
      </c>
      <c r="L339" s="293">
        <v>124435.35</v>
      </c>
      <c r="M339" s="292">
        <v>195</v>
      </c>
      <c r="N339" s="292">
        <v>0</v>
      </c>
    </row>
    <row r="340" spans="1:14" x14ac:dyDescent="0.3">
      <c r="A340" s="289">
        <v>64186</v>
      </c>
      <c r="B340" s="290">
        <v>43130</v>
      </c>
      <c r="C340" s="291">
        <v>30975278</v>
      </c>
      <c r="D340" s="291" t="s">
        <v>139</v>
      </c>
      <c r="E340" s="291" t="s">
        <v>140</v>
      </c>
      <c r="F340" s="291" t="s">
        <v>144</v>
      </c>
      <c r="G340" s="291" t="s">
        <v>575</v>
      </c>
      <c r="H340" s="291" t="s">
        <v>142</v>
      </c>
      <c r="I340" s="292"/>
      <c r="J340" s="292">
        <v>351</v>
      </c>
      <c r="K340" s="291">
        <v>111895</v>
      </c>
      <c r="L340" s="293">
        <v>223983.63</v>
      </c>
      <c r="M340" s="292">
        <v>351</v>
      </c>
      <c r="N340" s="292">
        <v>0</v>
      </c>
    </row>
    <row r="341" spans="1:14" x14ac:dyDescent="0.3">
      <c r="A341" s="289">
        <v>27019</v>
      </c>
      <c r="B341" s="290">
        <v>43130</v>
      </c>
      <c r="C341" s="291">
        <v>30975278</v>
      </c>
      <c r="D341" s="291" t="s">
        <v>139</v>
      </c>
      <c r="E341" s="291" t="s">
        <v>140</v>
      </c>
      <c r="F341" s="291" t="s">
        <v>145</v>
      </c>
      <c r="G341" s="291" t="s">
        <v>576</v>
      </c>
      <c r="H341" s="291" t="s">
        <v>142</v>
      </c>
      <c r="I341" s="292"/>
      <c r="J341" s="292">
        <v>195</v>
      </c>
      <c r="K341" s="291">
        <v>835</v>
      </c>
      <c r="L341" s="293">
        <v>124435.35</v>
      </c>
      <c r="M341" s="292">
        <v>195</v>
      </c>
      <c r="N341" s="292">
        <v>0</v>
      </c>
    </row>
    <row r="342" spans="1:14" x14ac:dyDescent="0.3">
      <c r="A342" s="289">
        <v>54582</v>
      </c>
      <c r="B342" s="290">
        <v>43130</v>
      </c>
      <c r="C342" s="291">
        <v>30975278</v>
      </c>
      <c r="D342" s="291" t="s">
        <v>139</v>
      </c>
      <c r="E342" s="291" t="s">
        <v>140</v>
      </c>
      <c r="F342" s="291" t="s">
        <v>145</v>
      </c>
      <c r="G342" s="291" t="s">
        <v>577</v>
      </c>
      <c r="H342" s="291" t="s">
        <v>142</v>
      </c>
      <c r="I342" s="292"/>
      <c r="J342" s="292">
        <v>205</v>
      </c>
      <c r="K342" s="291">
        <v>74635</v>
      </c>
      <c r="L342" s="293">
        <v>130816.65</v>
      </c>
      <c r="M342" s="292">
        <v>205</v>
      </c>
      <c r="N342" s="292">
        <v>0</v>
      </c>
    </row>
    <row r="343" spans="1:14" x14ac:dyDescent="0.3">
      <c r="A343" s="289">
        <v>2305</v>
      </c>
      <c r="B343" s="290">
        <v>43130</v>
      </c>
      <c r="C343" s="291">
        <v>30975278</v>
      </c>
      <c r="D343" s="291" t="s">
        <v>139</v>
      </c>
      <c r="E343" s="291" t="s">
        <v>140</v>
      </c>
      <c r="F343" s="291" t="s">
        <v>145</v>
      </c>
      <c r="G343" s="291" t="s">
        <v>578</v>
      </c>
      <c r="H343" s="291" t="s">
        <v>142</v>
      </c>
      <c r="I343" s="292"/>
      <c r="J343" s="292">
        <v>205</v>
      </c>
      <c r="K343" s="291" t="s">
        <v>579</v>
      </c>
      <c r="L343" s="293">
        <v>130816.65</v>
      </c>
      <c r="M343" s="292">
        <v>205</v>
      </c>
      <c r="N343" s="292">
        <v>0</v>
      </c>
    </row>
    <row r="344" spans="1:14" x14ac:dyDescent="0.3">
      <c r="A344" s="289">
        <v>81794</v>
      </c>
      <c r="B344" s="290">
        <v>43130</v>
      </c>
      <c r="C344" s="291">
        <v>30975278</v>
      </c>
      <c r="D344" s="291" t="s">
        <v>139</v>
      </c>
      <c r="E344" s="291" t="s">
        <v>140</v>
      </c>
      <c r="F344" s="291" t="s">
        <v>145</v>
      </c>
      <c r="G344" s="291" t="s">
        <v>580</v>
      </c>
      <c r="H344" s="291" t="s">
        <v>142</v>
      </c>
      <c r="I344" s="292"/>
      <c r="J344" s="292">
        <v>205</v>
      </c>
      <c r="K344" s="291">
        <v>44505</v>
      </c>
      <c r="L344" s="293">
        <v>130816.65</v>
      </c>
      <c r="M344" s="292">
        <v>205</v>
      </c>
      <c r="N344" s="292">
        <v>0</v>
      </c>
    </row>
    <row r="345" spans="1:14" x14ac:dyDescent="0.3">
      <c r="A345" s="289">
        <v>1859</v>
      </c>
      <c r="B345" s="290">
        <v>43130</v>
      </c>
      <c r="C345" s="291">
        <v>30975278</v>
      </c>
      <c r="D345" s="291" t="s">
        <v>139</v>
      </c>
      <c r="E345" s="291" t="s">
        <v>140</v>
      </c>
      <c r="F345" s="291" t="s">
        <v>144</v>
      </c>
      <c r="G345" s="291" t="s">
        <v>581</v>
      </c>
      <c r="H345" s="291" t="s">
        <v>142</v>
      </c>
      <c r="I345" s="292"/>
      <c r="J345" s="292">
        <v>195</v>
      </c>
      <c r="K345" s="291" t="s">
        <v>582</v>
      </c>
      <c r="L345" s="293">
        <v>124435.35</v>
      </c>
      <c r="M345" s="292">
        <v>195</v>
      </c>
      <c r="N345" s="292">
        <v>124435.35</v>
      </c>
    </row>
    <row r="346" spans="1:14" x14ac:dyDescent="0.3">
      <c r="A346" s="289">
        <v>44885</v>
      </c>
      <c r="B346" s="290">
        <v>43130</v>
      </c>
      <c r="C346" s="291">
        <v>30975278</v>
      </c>
      <c r="D346" s="291" t="s">
        <v>139</v>
      </c>
      <c r="E346" s="291" t="s">
        <v>140</v>
      </c>
      <c r="F346" s="291" t="s">
        <v>145</v>
      </c>
      <c r="G346" s="291" t="s">
        <v>583</v>
      </c>
      <c r="H346" s="291" t="s">
        <v>142</v>
      </c>
      <c r="I346" s="292"/>
      <c r="J346" s="292">
        <v>410</v>
      </c>
      <c r="K346" s="291">
        <v>142871</v>
      </c>
      <c r="L346" s="293">
        <v>261633.3</v>
      </c>
      <c r="M346" s="292">
        <v>410</v>
      </c>
      <c r="N346" s="292">
        <v>0</v>
      </c>
    </row>
    <row r="347" spans="1:14" x14ac:dyDescent="0.3">
      <c r="A347" s="289">
        <v>72137</v>
      </c>
      <c r="B347" s="290">
        <v>43130</v>
      </c>
      <c r="C347" s="291">
        <v>30975278</v>
      </c>
      <c r="D347" s="291" t="s">
        <v>139</v>
      </c>
      <c r="E347" s="291" t="s">
        <v>140</v>
      </c>
      <c r="F347" s="291" t="s">
        <v>144</v>
      </c>
      <c r="G347" s="291" t="s">
        <v>482</v>
      </c>
      <c r="H347" s="291" t="s">
        <v>142</v>
      </c>
      <c r="I347" s="292"/>
      <c r="J347" s="292">
        <v>975</v>
      </c>
      <c r="K347" s="291">
        <v>772175</v>
      </c>
      <c r="L347" s="293">
        <v>622176.75</v>
      </c>
      <c r="M347" s="292">
        <v>975</v>
      </c>
      <c r="N347" s="292">
        <v>746612.1</v>
      </c>
    </row>
    <row r="348" spans="1:14" x14ac:dyDescent="0.3">
      <c r="A348" s="289">
        <v>30108</v>
      </c>
      <c r="B348" s="290">
        <v>43131</v>
      </c>
      <c r="C348" s="291">
        <v>30975278</v>
      </c>
      <c r="D348" s="291" t="s">
        <v>139</v>
      </c>
      <c r="E348" s="291" t="s">
        <v>140</v>
      </c>
      <c r="F348" s="291" t="s">
        <v>145</v>
      </c>
      <c r="G348" s="291" t="s">
        <v>584</v>
      </c>
      <c r="H348" s="291" t="s">
        <v>142</v>
      </c>
      <c r="I348" s="292"/>
      <c r="J348" s="292">
        <v>195</v>
      </c>
      <c r="K348" s="291">
        <v>431473</v>
      </c>
      <c r="L348" s="293">
        <v>124435.35</v>
      </c>
      <c r="M348" s="292">
        <v>195</v>
      </c>
      <c r="N348" s="292">
        <v>124435.35</v>
      </c>
    </row>
    <row r="349" spans="1:14" x14ac:dyDescent="0.3">
      <c r="A349" s="289">
        <v>87538</v>
      </c>
      <c r="B349" s="290">
        <v>43131</v>
      </c>
      <c r="C349" s="291">
        <v>30975278</v>
      </c>
      <c r="D349" s="291" t="s">
        <v>139</v>
      </c>
      <c r="E349" s="291" t="s">
        <v>140</v>
      </c>
      <c r="F349" s="291" t="s">
        <v>144</v>
      </c>
      <c r="G349" s="291" t="s">
        <v>493</v>
      </c>
      <c r="H349" s="291" t="s">
        <v>142</v>
      </c>
      <c r="I349" s="292"/>
      <c r="J349" s="292">
        <v>410</v>
      </c>
      <c r="K349" s="291" t="s">
        <v>585</v>
      </c>
      <c r="L349" s="293">
        <v>261633.3</v>
      </c>
      <c r="M349" s="292">
        <v>410</v>
      </c>
      <c r="N349" s="292">
        <v>392449.95</v>
      </c>
    </row>
    <row r="350" spans="1:14" x14ac:dyDescent="0.3">
      <c r="A350" s="289">
        <v>81454</v>
      </c>
      <c r="B350" s="290">
        <v>43131</v>
      </c>
      <c r="C350" s="291">
        <v>30975278</v>
      </c>
      <c r="D350" s="291" t="s">
        <v>139</v>
      </c>
      <c r="E350" s="291" t="s">
        <v>140</v>
      </c>
      <c r="F350" s="291" t="s">
        <v>144</v>
      </c>
      <c r="G350" s="291" t="s">
        <v>586</v>
      </c>
      <c r="H350" s="291" t="s">
        <v>142</v>
      </c>
      <c r="I350" s="292"/>
      <c r="J350" s="292">
        <v>554</v>
      </c>
      <c r="K350" s="291">
        <v>205561</v>
      </c>
      <c r="L350" s="293">
        <v>353524.02</v>
      </c>
      <c r="M350" s="292">
        <v>554</v>
      </c>
      <c r="N350" s="292">
        <v>471578.07</v>
      </c>
    </row>
    <row r="351" spans="1:14" x14ac:dyDescent="0.3">
      <c r="A351" s="289">
        <v>31698</v>
      </c>
      <c r="B351" s="290">
        <v>43131</v>
      </c>
      <c r="C351" s="291">
        <v>30975278</v>
      </c>
      <c r="D351" s="291" t="s">
        <v>139</v>
      </c>
      <c r="E351" s="291" t="s">
        <v>140</v>
      </c>
      <c r="F351" s="291" t="s">
        <v>145</v>
      </c>
      <c r="G351" s="291" t="s">
        <v>587</v>
      </c>
      <c r="H351" s="291" t="s">
        <v>142</v>
      </c>
      <c r="I351" s="292"/>
      <c r="J351" s="292">
        <v>554</v>
      </c>
      <c r="K351" s="291" t="s">
        <v>588</v>
      </c>
      <c r="L351" s="293">
        <v>353524.02</v>
      </c>
      <c r="M351" s="292">
        <v>554</v>
      </c>
      <c r="N351" s="292">
        <v>471578.07</v>
      </c>
    </row>
    <row r="352" spans="1:14" x14ac:dyDescent="0.3">
      <c r="A352" s="289">
        <v>91582</v>
      </c>
      <c r="B352" s="290">
        <v>43094</v>
      </c>
      <c r="C352" s="291">
        <v>30975278</v>
      </c>
      <c r="D352" s="291" t="s">
        <v>139</v>
      </c>
      <c r="E352" s="291" t="s">
        <v>331</v>
      </c>
      <c r="F352" s="291" t="s">
        <v>144</v>
      </c>
      <c r="G352" s="291" t="s">
        <v>367</v>
      </c>
      <c r="H352" s="291" t="s">
        <v>142</v>
      </c>
      <c r="I352" s="292"/>
      <c r="J352" s="292">
        <v>300</v>
      </c>
      <c r="K352" s="291" t="s">
        <v>589</v>
      </c>
      <c r="L352" s="293">
        <v>191439</v>
      </c>
      <c r="M352" s="292">
        <v>300</v>
      </c>
      <c r="N352" s="292">
        <v>0</v>
      </c>
    </row>
    <row r="353" spans="1:17" x14ac:dyDescent="0.3">
      <c r="A353" s="289"/>
      <c r="B353" s="290"/>
      <c r="C353" s="291"/>
      <c r="D353" s="291"/>
      <c r="E353" s="291"/>
      <c r="F353" s="291"/>
      <c r="G353" s="291"/>
      <c r="H353" s="291"/>
      <c r="I353" s="292"/>
      <c r="J353" s="292"/>
      <c r="K353" s="291"/>
      <c r="L353" s="293"/>
      <c r="M353" s="292"/>
      <c r="N353" s="292"/>
    </row>
    <row r="354" spans="1:17" x14ac:dyDescent="0.3">
      <c r="A354" s="289"/>
      <c r="B354" s="290"/>
      <c r="C354" s="291"/>
      <c r="D354" s="291"/>
      <c r="E354" s="291"/>
      <c r="F354" s="291"/>
      <c r="G354" s="291"/>
      <c r="H354" s="291"/>
      <c r="I354" s="292"/>
      <c r="J354" s="292"/>
      <c r="K354" s="291"/>
      <c r="L354" s="293"/>
      <c r="M354" s="292"/>
      <c r="N354" s="292"/>
      <c r="Q354" s="252" t="str">
        <f t="shared" ref="Q354:Q358" si="0">CONCATENATE(MID(B354,1,2),"-",MID(B354,4,2),"-",MID(B354,7,4))</f>
        <v>--</v>
      </c>
    </row>
    <row r="355" spans="1:17" x14ac:dyDescent="0.3">
      <c r="A355" s="289"/>
      <c r="B355" s="290"/>
      <c r="C355" s="291"/>
      <c r="D355" s="291"/>
      <c r="E355" s="291"/>
      <c r="F355" s="291"/>
      <c r="G355" s="291"/>
      <c r="H355" s="291"/>
      <c r="I355" s="292"/>
      <c r="J355" s="292"/>
      <c r="K355" s="291"/>
      <c r="L355" s="293"/>
      <c r="M355" s="292"/>
      <c r="N355" s="292"/>
      <c r="Q355" s="252" t="str">
        <f t="shared" si="0"/>
        <v>--</v>
      </c>
    </row>
    <row r="356" spans="1:17" x14ac:dyDescent="0.3">
      <c r="A356" s="289"/>
      <c r="B356" s="290"/>
      <c r="C356" s="291"/>
      <c r="D356" s="291"/>
      <c r="E356" s="291"/>
      <c r="F356" s="291"/>
      <c r="G356" s="291"/>
      <c r="H356" s="291"/>
      <c r="I356" s="292"/>
      <c r="J356" s="292"/>
      <c r="K356" s="291"/>
      <c r="L356" s="293"/>
      <c r="M356" s="292"/>
      <c r="N356" s="292"/>
      <c r="Q356" s="252" t="str">
        <f t="shared" si="0"/>
        <v>--</v>
      </c>
    </row>
    <row r="357" spans="1:17" x14ac:dyDescent="0.3">
      <c r="A357" s="124"/>
      <c r="B357" s="121"/>
      <c r="C357" s="110"/>
      <c r="D357" s="110"/>
      <c r="E357" s="110"/>
      <c r="F357" s="110"/>
      <c r="G357" s="110"/>
      <c r="H357" s="110"/>
      <c r="I357" s="111"/>
      <c r="J357" s="111"/>
      <c r="K357" s="110"/>
      <c r="L357" s="176"/>
      <c r="M357" s="112"/>
      <c r="N357" s="112"/>
      <c r="Q357" s="252" t="str">
        <f t="shared" si="0"/>
        <v>--</v>
      </c>
    </row>
    <row r="358" spans="1:17" x14ac:dyDescent="0.3">
      <c r="A358" s="124"/>
      <c r="B358" s="121"/>
      <c r="C358" s="110"/>
      <c r="D358" s="110"/>
      <c r="E358" s="110"/>
      <c r="F358" s="110"/>
      <c r="G358" s="110"/>
      <c r="H358" s="110"/>
      <c r="I358" s="111"/>
      <c r="J358" s="111"/>
      <c r="K358" s="110"/>
      <c r="L358" s="176"/>
      <c r="M358" s="112"/>
      <c r="N358" s="112"/>
      <c r="Q358" s="252" t="str">
        <f t="shared" si="0"/>
        <v>--</v>
      </c>
    </row>
    <row r="359" spans="1:17" x14ac:dyDescent="0.3">
      <c r="A359" s="124"/>
      <c r="B359" s="121"/>
      <c r="C359" s="110"/>
      <c r="D359" s="110"/>
      <c r="E359" s="110"/>
      <c r="F359" s="110"/>
      <c r="G359" s="110"/>
      <c r="H359" s="110"/>
      <c r="I359" s="111"/>
      <c r="J359" s="111"/>
      <c r="K359" s="110"/>
      <c r="L359" s="176"/>
      <c r="M359" s="112"/>
      <c r="N359" s="112"/>
      <c r="Q359" s="252" t="str">
        <f>CONCATENATE(MID(B359,1,2),"-",MID(B359,4,2),"-",MID(B359,7,4))</f>
        <v>--</v>
      </c>
    </row>
    <row r="360" spans="1:17" x14ac:dyDescent="0.3">
      <c r="A360" s="124"/>
      <c r="B360" s="121"/>
      <c r="C360" s="110"/>
      <c r="D360" s="110"/>
      <c r="E360" s="110"/>
      <c r="F360" s="110"/>
      <c r="G360" s="110"/>
      <c r="H360" s="110"/>
      <c r="I360" s="111"/>
      <c r="J360" s="111"/>
      <c r="K360" s="110"/>
      <c r="L360" s="176"/>
      <c r="M360" s="112"/>
      <c r="N360" s="112"/>
    </row>
    <row r="361" spans="1:17" x14ac:dyDescent="0.3">
      <c r="A361" s="124"/>
      <c r="B361" s="121"/>
      <c r="C361" s="110"/>
      <c r="D361" s="110"/>
      <c r="E361" s="110"/>
      <c r="F361" s="110"/>
      <c r="G361" s="110"/>
      <c r="H361" s="110"/>
      <c r="I361" s="111"/>
      <c r="J361" s="111"/>
      <c r="K361" s="110"/>
      <c r="L361" s="176"/>
      <c r="M361" s="112"/>
      <c r="N361" s="112"/>
    </row>
    <row r="362" spans="1:17" x14ac:dyDescent="0.3">
      <c r="A362" s="124"/>
      <c r="B362" s="121"/>
      <c r="C362" s="110"/>
      <c r="D362" s="110"/>
      <c r="E362" s="110"/>
      <c r="F362" s="110"/>
      <c r="G362" s="110"/>
      <c r="H362" s="110"/>
      <c r="I362" s="111"/>
      <c r="J362" s="111"/>
      <c r="K362" s="110"/>
      <c r="L362" s="176"/>
      <c r="M362" s="112"/>
      <c r="N362" s="112"/>
    </row>
    <row r="363" spans="1:17" x14ac:dyDescent="0.3">
      <c r="A363" s="124"/>
      <c r="B363" s="121"/>
      <c r="C363" s="110"/>
      <c r="D363" s="110"/>
      <c r="E363" s="110"/>
      <c r="F363" s="110"/>
      <c r="G363" s="110"/>
      <c r="H363" s="110"/>
      <c r="I363" s="111"/>
      <c r="J363" s="111"/>
      <c r="K363" s="110"/>
      <c r="L363" s="176"/>
      <c r="M363" s="112"/>
      <c r="N363" s="112"/>
    </row>
    <row r="364" spans="1:17" x14ac:dyDescent="0.3">
      <c r="A364" s="124"/>
      <c r="B364" s="121"/>
      <c r="C364" s="110"/>
      <c r="D364" s="110"/>
      <c r="E364" s="110"/>
      <c r="F364" s="110"/>
      <c r="G364" s="110"/>
      <c r="H364" s="110"/>
      <c r="I364" s="111"/>
      <c r="J364" s="111"/>
      <c r="K364" s="110"/>
      <c r="L364" s="176"/>
      <c r="M364" s="112"/>
      <c r="N364" s="112"/>
    </row>
    <row r="365" spans="1:17" x14ac:dyDescent="0.3">
      <c r="A365" s="124"/>
      <c r="B365" s="121"/>
      <c r="C365" s="110"/>
      <c r="D365" s="110"/>
      <c r="E365" s="110"/>
      <c r="F365" s="110"/>
      <c r="G365" s="110"/>
      <c r="H365" s="110"/>
      <c r="I365" s="111"/>
      <c r="J365" s="111"/>
      <c r="K365" s="110"/>
      <c r="L365" s="176"/>
      <c r="M365" s="112"/>
      <c r="N365" s="112"/>
    </row>
    <row r="366" spans="1:17" x14ac:dyDescent="0.3">
      <c r="A366" s="124"/>
      <c r="B366" s="121"/>
      <c r="C366" s="110"/>
      <c r="D366" s="110"/>
      <c r="E366" s="110"/>
      <c r="F366" s="110"/>
      <c r="G366" s="110"/>
      <c r="H366" s="110"/>
      <c r="I366" s="111"/>
      <c r="J366" s="111"/>
      <c r="K366" s="110"/>
      <c r="L366" s="176"/>
      <c r="M366" s="112"/>
      <c r="N366" s="112"/>
    </row>
    <row r="367" spans="1:17" x14ac:dyDescent="0.3">
      <c r="A367" s="124"/>
      <c r="B367" s="121"/>
      <c r="C367" s="110"/>
      <c r="D367" s="110"/>
      <c r="E367" s="110"/>
      <c r="F367" s="110"/>
      <c r="G367" s="110"/>
      <c r="H367" s="110"/>
      <c r="I367" s="111"/>
      <c r="J367" s="111"/>
      <c r="K367" s="110"/>
      <c r="L367" s="176"/>
      <c r="M367" s="112"/>
      <c r="N367" s="112"/>
    </row>
    <row r="368" spans="1:17" x14ac:dyDescent="0.3">
      <c r="A368" s="124"/>
      <c r="B368" s="121"/>
      <c r="C368" s="110"/>
      <c r="D368" s="110"/>
      <c r="E368" s="110"/>
      <c r="F368" s="110"/>
      <c r="G368" s="110"/>
      <c r="H368" s="110"/>
      <c r="I368" s="111"/>
      <c r="J368" s="111"/>
      <c r="K368" s="110"/>
      <c r="L368" s="176"/>
      <c r="M368" s="112"/>
      <c r="N368" s="112"/>
    </row>
    <row r="369" spans="1:14" x14ac:dyDescent="0.3">
      <c r="A369" s="124"/>
      <c r="B369" s="121"/>
      <c r="C369" s="110"/>
      <c r="D369" s="110"/>
      <c r="E369" s="110"/>
      <c r="F369" s="110"/>
      <c r="G369" s="110"/>
      <c r="H369" s="110"/>
      <c r="I369" s="111"/>
      <c r="J369" s="111"/>
      <c r="K369" s="110"/>
      <c r="L369" s="176"/>
      <c r="M369" s="112"/>
      <c r="N369" s="112"/>
    </row>
    <row r="370" spans="1:14" x14ac:dyDescent="0.3">
      <c r="A370" s="124"/>
      <c r="B370" s="121"/>
      <c r="C370" s="110"/>
      <c r="D370" s="110"/>
      <c r="E370" s="110"/>
      <c r="F370" s="110"/>
      <c r="G370" s="110"/>
      <c r="H370" s="110"/>
      <c r="I370" s="111"/>
      <c r="J370" s="111"/>
      <c r="K370" s="110"/>
      <c r="L370" s="282"/>
      <c r="M370" s="112"/>
      <c r="N370" s="112"/>
    </row>
    <row r="371" spans="1:14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282"/>
      <c r="M371" s="112"/>
      <c r="N371" s="112"/>
    </row>
    <row r="372" spans="1:14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282"/>
      <c r="M372" s="112"/>
      <c r="N372" s="112"/>
    </row>
    <row r="373" spans="1:14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282"/>
      <c r="M373" s="112"/>
      <c r="N373" s="112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282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14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14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14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14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14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14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14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14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14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14" x14ac:dyDescent="0.3">
      <c r="A410" s="124"/>
      <c r="B410" s="121"/>
      <c r="C410" s="110"/>
      <c r="D410" s="110"/>
      <c r="E410" s="110"/>
      <c r="F410" s="110"/>
      <c r="G410" s="110"/>
      <c r="H410" s="110"/>
      <c r="I410" s="111"/>
      <c r="J410" s="111"/>
      <c r="K410" s="110"/>
      <c r="L410" s="176"/>
      <c r="M410" s="112"/>
      <c r="N410" s="112"/>
    </row>
    <row r="411" spans="1:14" x14ac:dyDescent="0.3">
      <c r="A411" s="124"/>
      <c r="B411" s="121"/>
      <c r="C411" s="110"/>
      <c r="D411" s="110"/>
      <c r="E411" s="110"/>
      <c r="F411" s="110"/>
      <c r="G411" s="110"/>
      <c r="H411" s="110"/>
      <c r="I411" s="111"/>
      <c r="J411" s="111"/>
      <c r="K411" s="110"/>
      <c r="L411" s="176"/>
      <c r="M411" s="112"/>
      <c r="N411" s="112"/>
    </row>
    <row r="412" spans="1:14" x14ac:dyDescent="0.3">
      <c r="A412" s="124"/>
      <c r="B412" s="121"/>
      <c r="C412" s="110"/>
      <c r="D412" s="110"/>
      <c r="E412" s="110"/>
      <c r="F412" s="110"/>
      <c r="G412" s="110"/>
      <c r="H412" s="110"/>
      <c r="I412" s="111"/>
      <c r="J412" s="111"/>
      <c r="K412" s="110"/>
      <c r="L412" s="176"/>
      <c r="M412" s="112"/>
      <c r="N412" s="112"/>
    </row>
    <row r="413" spans="1:14" x14ac:dyDescent="0.3">
      <c r="A413" s="124"/>
      <c r="B413" s="121"/>
      <c r="C413" s="110"/>
      <c r="D413" s="110"/>
      <c r="E413" s="110"/>
      <c r="F413" s="110"/>
      <c r="G413" s="110"/>
      <c r="H413" s="110"/>
      <c r="I413" s="111"/>
      <c r="J413" s="111"/>
      <c r="K413" s="110"/>
      <c r="L413" s="176"/>
      <c r="M413" s="112"/>
      <c r="N413" s="112"/>
    </row>
    <row r="414" spans="1:14" x14ac:dyDescent="0.3">
      <c r="A414" s="224"/>
      <c r="B414" s="225"/>
      <c r="C414" s="226"/>
      <c r="D414" s="226"/>
      <c r="E414" s="226"/>
      <c r="F414" s="226"/>
      <c r="G414" s="226"/>
      <c r="H414" s="226"/>
      <c r="I414" s="227"/>
      <c r="J414" s="227"/>
      <c r="K414" s="226"/>
      <c r="L414" s="176"/>
      <c r="M414" s="112"/>
      <c r="N414" s="112"/>
    </row>
    <row r="415" spans="1:14" x14ac:dyDescent="0.3">
      <c r="A415" s="224"/>
      <c r="B415" s="225"/>
      <c r="C415" s="226"/>
      <c r="D415" s="226"/>
      <c r="E415" s="226"/>
      <c r="F415" s="226"/>
      <c r="G415" s="226"/>
      <c r="H415" s="226"/>
      <c r="I415" s="227"/>
      <c r="J415" s="227"/>
      <c r="K415" s="226"/>
      <c r="L415" s="176"/>
      <c r="M415" s="112"/>
      <c r="N415" s="112"/>
    </row>
    <row r="416" spans="1:14" x14ac:dyDescent="0.3">
      <c r="A416" s="224"/>
      <c r="B416" s="225"/>
      <c r="C416" s="226"/>
      <c r="D416" s="226"/>
      <c r="E416" s="226"/>
      <c r="F416" s="226"/>
      <c r="G416" s="226"/>
      <c r="H416" s="226"/>
      <c r="I416" s="227"/>
      <c r="J416" s="227"/>
      <c r="K416" s="226"/>
      <c r="L416" s="176"/>
      <c r="M416" s="112"/>
      <c r="N416" s="112"/>
    </row>
    <row r="417" spans="1:21" x14ac:dyDescent="0.3">
      <c r="A417" s="224"/>
      <c r="B417" s="225"/>
      <c r="C417" s="226"/>
      <c r="D417" s="226"/>
      <c r="E417" s="226"/>
      <c r="F417" s="226"/>
      <c r="G417" s="226"/>
      <c r="H417" s="226"/>
      <c r="I417" s="227"/>
      <c r="J417" s="227"/>
      <c r="K417" s="226"/>
      <c r="L417" s="176"/>
      <c r="M417" s="112"/>
      <c r="N417" s="112"/>
      <c r="U417" s="58" t="s">
        <v>240</v>
      </c>
    </row>
    <row r="418" spans="1:21" x14ac:dyDescent="0.3">
      <c r="A418" s="124"/>
      <c r="B418" s="121"/>
      <c r="C418" s="110"/>
      <c r="D418" s="110"/>
      <c r="E418" s="110"/>
      <c r="F418" s="110"/>
      <c r="G418" s="110"/>
      <c r="H418" s="110"/>
      <c r="I418" s="111"/>
      <c r="J418" s="111"/>
      <c r="K418" s="110"/>
      <c r="L418" s="176">
        <f>I418+J418*EERR!$D$2</f>
        <v>0</v>
      </c>
      <c r="M418" s="112">
        <f>L418/EERR!$D$2</f>
        <v>0</v>
      </c>
      <c r="N418" s="112" t="e">
        <f>SUMIF(Feb!#REF!,A418,Feb!$R$3:$R$101)+SUMIF(Feb!$B$3:$B$101,A418,Feb!$R$3:$R$101)</f>
        <v>#REF!</v>
      </c>
    </row>
    <row r="419" spans="1:21" x14ac:dyDescent="0.3">
      <c r="A419" s="124"/>
      <c r="B419" s="121"/>
      <c r="C419" s="110"/>
      <c r="D419" s="110"/>
      <c r="E419" s="110"/>
      <c r="F419" s="110"/>
      <c r="G419" s="110"/>
      <c r="H419" s="110"/>
      <c r="I419" s="111"/>
      <c r="J419" s="111"/>
      <c r="K419" s="110"/>
      <c r="L419" s="176">
        <f>I419+J419*EERR!$D$2</f>
        <v>0</v>
      </c>
      <c r="M419" s="112">
        <f>L419/EERR!$D$2</f>
        <v>0</v>
      </c>
      <c r="N419" s="112" t="e">
        <f>SUMIF(Feb!#REF!,A419,Feb!$R$3:$R$101)+SUMIF(Feb!$B$3:$B$101,A419,Feb!$R$3:$R$101)</f>
        <v>#REF!</v>
      </c>
    </row>
    <row r="420" spans="1:21" x14ac:dyDescent="0.3">
      <c r="A420" s="124"/>
      <c r="B420" s="121"/>
      <c r="C420" s="110"/>
      <c r="D420" s="110"/>
      <c r="E420" s="110"/>
      <c r="F420" s="110"/>
      <c r="G420" s="110"/>
      <c r="H420" s="110"/>
      <c r="I420" s="111"/>
      <c r="J420" s="111"/>
      <c r="K420" s="110"/>
      <c r="L420" s="176">
        <f>I420+J420*EERR!$D$2</f>
        <v>0</v>
      </c>
      <c r="M420" s="112">
        <f>L420/EERR!$D$2</f>
        <v>0</v>
      </c>
      <c r="N420" s="112" t="e">
        <f>SUMIF(Feb!#REF!,A420,Feb!$R$3:$R$101)+SUMIF(Feb!$B$3:$B$101,A420,Feb!$R$3:$R$101)</f>
        <v>#REF!</v>
      </c>
    </row>
    <row r="421" spans="1:21" x14ac:dyDescent="0.3">
      <c r="A421" s="124"/>
      <c r="B421" s="121"/>
      <c r="C421" s="110"/>
      <c r="D421" s="110"/>
      <c r="E421" s="110"/>
      <c r="F421" s="110"/>
      <c r="G421" s="110"/>
      <c r="H421" s="110"/>
      <c r="I421" s="111"/>
      <c r="J421" s="111"/>
      <c r="K421" s="110"/>
      <c r="L421" s="176">
        <f>I421+J421*EERR!$D$2</f>
        <v>0</v>
      </c>
      <c r="M421" s="112">
        <f>L421/EERR!$D$2</f>
        <v>0</v>
      </c>
      <c r="N421" s="112" t="e">
        <f>SUMIF(Feb!#REF!,A421,Feb!$R$3:$R$101)+SUMIF(Feb!$B$3:$B$101,A421,Feb!$R$3:$R$101)</f>
        <v>#REF!</v>
      </c>
    </row>
    <row r="422" spans="1:21" x14ac:dyDescent="0.3">
      <c r="A422" s="124"/>
      <c r="B422" s="121"/>
      <c r="C422" s="110"/>
      <c r="D422" s="110"/>
      <c r="E422" s="110"/>
      <c r="F422" s="110"/>
      <c r="G422" s="110"/>
      <c r="H422" s="110"/>
      <c r="I422" s="111">
        <f>SUM(I222:I421)</f>
        <v>2803303</v>
      </c>
      <c r="J422" s="111">
        <f>SUM(J222:J421)</f>
        <v>40711</v>
      </c>
      <c r="K422" s="110"/>
      <c r="L422" s="176">
        <f>I422+J422*EERR!$D$2</f>
        <v>27099627.799999997</v>
      </c>
      <c r="M422" s="112">
        <f>L422/EERR!$D$2</f>
        <v>45408.22352546917</v>
      </c>
      <c r="N422" s="112" t="e">
        <f>SUMIF(Feb!#REF!,A422,Feb!$R$3:$R$101)+SUMIF(Feb!$B$3:$B$101,A422,Feb!$R$3:$R$101)</f>
        <v>#REF!</v>
      </c>
    </row>
    <row r="426" spans="1:21" x14ac:dyDescent="0.3">
      <c r="A426" s="167"/>
      <c r="B426" s="167"/>
      <c r="C426" s="167"/>
      <c r="D426" s="167"/>
      <c r="E426" s="167"/>
      <c r="F426" s="167"/>
      <c r="G426" s="167"/>
      <c r="H426" s="167"/>
      <c r="I426" s="194"/>
      <c r="J426" s="194"/>
      <c r="K426" s="167"/>
      <c r="L426" s="194">
        <f>Feb!J102</f>
        <v>0</v>
      </c>
      <c r="M426" s="167"/>
      <c r="N426" s="167"/>
    </row>
    <row r="427" spans="1:21" x14ac:dyDescent="0.3">
      <c r="A427" s="167"/>
      <c r="B427" s="195"/>
      <c r="C427" s="167"/>
      <c r="D427" s="167"/>
      <c r="E427" s="167"/>
      <c r="F427" s="167"/>
      <c r="G427" s="167"/>
      <c r="H427" s="167"/>
      <c r="I427" s="194"/>
      <c r="J427" s="194"/>
      <c r="K427" s="167"/>
      <c r="L427" s="168" t="e">
        <f>SUM(L215:L426)</f>
        <v>#VALUE!</v>
      </c>
    </row>
    <row r="428" spans="1:21" x14ac:dyDescent="0.3">
      <c r="A428" s="167"/>
      <c r="B428" s="195"/>
      <c r="C428" s="167"/>
      <c r="D428" s="167"/>
      <c r="E428" s="167"/>
      <c r="F428" s="167"/>
      <c r="G428" s="167"/>
      <c r="H428" s="167"/>
      <c r="I428" s="194"/>
      <c r="J428" s="194"/>
      <c r="K428" s="167"/>
    </row>
    <row r="429" spans="1:21" x14ac:dyDescent="0.3">
      <c r="A429" s="196"/>
      <c r="B429" s="196"/>
      <c r="C429" s="196"/>
      <c r="D429" s="196"/>
      <c r="E429" s="196"/>
      <c r="F429" s="196"/>
      <c r="G429" s="196" t="s">
        <v>123</v>
      </c>
      <c r="H429" s="196"/>
      <c r="I429" s="197">
        <f>I215</f>
        <v>8595408</v>
      </c>
      <c r="J429" s="197">
        <f>J215</f>
        <v>31583.88</v>
      </c>
      <c r="K429" s="196"/>
      <c r="L429" s="168">
        <v>51431551.622000001</v>
      </c>
    </row>
    <row r="430" spans="1:21" x14ac:dyDescent="0.3">
      <c r="A430" s="196"/>
      <c r="B430" s="196"/>
      <c r="C430" s="196"/>
      <c r="D430" s="196"/>
      <c r="E430" s="196"/>
      <c r="F430" s="196"/>
      <c r="G430" s="196" t="s">
        <v>124</v>
      </c>
      <c r="H430" s="196"/>
      <c r="I430" s="198"/>
      <c r="J430" s="198"/>
      <c r="K430" s="196"/>
    </row>
    <row r="431" spans="1:21" x14ac:dyDescent="0.3">
      <c r="A431" s="196"/>
      <c r="B431" s="196"/>
      <c r="C431" s="196"/>
      <c r="D431" s="196"/>
      <c r="E431" s="196"/>
      <c r="F431" s="196"/>
      <c r="G431" s="196"/>
      <c r="H431" s="196"/>
      <c r="K431" s="168"/>
    </row>
    <row r="432" spans="1:21" x14ac:dyDescent="0.3">
      <c r="A432" s="196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54" t="s">
        <v>112</v>
      </c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  <c r="B434" s="196"/>
      <c r="C434" s="196"/>
      <c r="D434" s="196"/>
      <c r="E434" s="196"/>
      <c r="F434" s="196"/>
      <c r="G434" s="196"/>
      <c r="H434" s="196"/>
      <c r="I434" s="199"/>
      <c r="J434" s="199"/>
      <c r="K434" s="196"/>
    </row>
    <row r="435" spans="1:11" x14ac:dyDescent="0.3">
      <c r="A435" s="110"/>
      <c r="B435" s="196"/>
      <c r="C435" s="196"/>
      <c r="D435" s="196"/>
      <c r="E435" s="196"/>
      <c r="F435" s="196"/>
      <c r="G435" s="196"/>
      <c r="H435" s="196"/>
      <c r="I435" s="199"/>
      <c r="J435" s="199"/>
      <c r="K435" s="196"/>
    </row>
    <row r="436" spans="1:11" x14ac:dyDescent="0.3">
      <c r="A436" s="110"/>
      <c r="B436" s="196"/>
      <c r="C436" s="196"/>
      <c r="D436" s="196"/>
      <c r="E436" s="196"/>
      <c r="F436" s="196"/>
      <c r="G436" s="196"/>
      <c r="H436" s="196"/>
      <c r="I436" s="199"/>
      <c r="J436" s="199"/>
      <c r="K436" s="196"/>
    </row>
    <row r="437" spans="1:11" x14ac:dyDescent="0.3">
      <c r="A437" s="110"/>
      <c r="B437" s="196"/>
      <c r="C437" s="196"/>
      <c r="D437" s="196"/>
      <c r="E437" s="196"/>
      <c r="F437" s="196"/>
      <c r="G437" s="196"/>
      <c r="H437" s="196"/>
      <c r="I437" s="199"/>
      <c r="J437" s="199"/>
      <c r="K437" s="196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  <row r="445" spans="1:11" x14ac:dyDescent="0.3">
      <c r="A445" s="110"/>
    </row>
    <row r="446" spans="1:11" x14ac:dyDescent="0.3">
      <c r="A446" s="110"/>
    </row>
    <row r="447" spans="1:11" x14ac:dyDescent="0.3">
      <c r="A447" s="110"/>
    </row>
    <row r="448" spans="1:11" x14ac:dyDescent="0.3">
      <c r="A448" s="110"/>
    </row>
  </sheetData>
  <autoFilter ref="A1:N422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abSelected="1" topLeftCell="E1" zoomScale="55" zoomScaleNormal="55" workbookViewId="0">
      <selection activeCell="O2" sqref="O2:W29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192</v>
      </c>
      <c r="K2" s="60" t="s">
        <v>128</v>
      </c>
      <c r="L2" s="119"/>
      <c r="M2" s="151"/>
      <c r="N2" s="113"/>
      <c r="O2" s="213" t="s">
        <v>5</v>
      </c>
      <c r="P2" s="213" t="s">
        <v>220</v>
      </c>
      <c r="Q2" s="213" t="s">
        <v>221</v>
      </c>
      <c r="R2" s="213" t="s">
        <v>222</v>
      </c>
      <c r="S2" s="213" t="s">
        <v>223</v>
      </c>
      <c r="T2" s="213" t="s">
        <v>125</v>
      </c>
      <c r="U2" s="213" t="s">
        <v>68</v>
      </c>
      <c r="V2" s="213" t="s">
        <v>224</v>
      </c>
      <c r="W2" s="213" t="s">
        <v>225</v>
      </c>
    </row>
    <row r="3" spans="1:25" ht="18" customHeight="1" x14ac:dyDescent="0.3">
      <c r="A3" s="26"/>
      <c r="B3" s="165" t="s">
        <v>1168</v>
      </c>
      <c r="C3" s="166" t="s">
        <v>249</v>
      </c>
      <c r="D3" s="166" t="s">
        <v>299</v>
      </c>
      <c r="E3" s="166" t="s">
        <v>184</v>
      </c>
      <c r="F3" s="319">
        <v>0</v>
      </c>
      <c r="G3" s="166">
        <v>26000</v>
      </c>
      <c r="H3" s="166">
        <v>1116514</v>
      </c>
      <c r="I3" s="200" t="s">
        <v>217</v>
      </c>
      <c r="J3" s="150" t="str">
        <f>IFERROR(VLOOKUP(F3,$T$3:$W$41,4,FALSE),"")</f>
        <v/>
      </c>
      <c r="K3" s="150" t="str">
        <f>IFERROR(VLOOKUP(F3,$T$3:$W$41,3,FALSE),"")</f>
        <v/>
      </c>
      <c r="L3" s="179"/>
      <c r="M3" s="113"/>
      <c r="N3" s="113"/>
      <c r="O3" s="238" t="s">
        <v>1168</v>
      </c>
      <c r="P3" s="239" t="s">
        <v>1196</v>
      </c>
      <c r="Q3" s="239" t="s">
        <v>271</v>
      </c>
      <c r="R3" s="239" t="s">
        <v>176</v>
      </c>
      <c r="S3" s="240" t="s">
        <v>279</v>
      </c>
      <c r="T3" s="321">
        <v>337086</v>
      </c>
      <c r="U3" s="239" t="s">
        <v>175</v>
      </c>
      <c r="V3" s="239" t="s">
        <v>272</v>
      </c>
      <c r="W3" s="241" t="s">
        <v>1197</v>
      </c>
    </row>
    <row r="4" spans="1:25" ht="18" customHeight="1" x14ac:dyDescent="0.3">
      <c r="A4" s="26"/>
      <c r="B4" s="165" t="s">
        <v>1168</v>
      </c>
      <c r="C4" s="166" t="s">
        <v>152</v>
      </c>
      <c r="D4" s="166" t="s">
        <v>156</v>
      </c>
      <c r="E4" s="166" t="s">
        <v>184</v>
      </c>
      <c r="F4" s="319">
        <v>961121</v>
      </c>
      <c r="G4" s="166">
        <v>0</v>
      </c>
      <c r="H4" s="166">
        <v>1090514</v>
      </c>
      <c r="I4" s="200" t="s">
        <v>216</v>
      </c>
      <c r="J4" s="150" t="str">
        <f t="shared" ref="J4:J53" si="0">IFERROR(VLOOKUP(F4,$T$3:$W$41,4,FALSE),"")</f>
        <v>fact 5203</v>
      </c>
      <c r="K4" s="150" t="str">
        <f t="shared" ref="K4:K53" si="1">IFERROR(VLOOKUP(F4,$T$3:$W$41,3,FALSE),"")</f>
        <v xml:space="preserve">CESPA Ltda                                   </v>
      </c>
      <c r="L4" s="179"/>
      <c r="M4" s="113"/>
      <c r="N4" s="113"/>
      <c r="O4" s="242" t="s">
        <v>1168</v>
      </c>
      <c r="P4" s="239" t="s">
        <v>1198</v>
      </c>
      <c r="Q4" s="239" t="s">
        <v>253</v>
      </c>
      <c r="R4" s="239" t="s">
        <v>178</v>
      </c>
      <c r="S4" s="240" t="s">
        <v>283</v>
      </c>
      <c r="T4" s="321">
        <v>999849</v>
      </c>
      <c r="U4" s="239" t="s">
        <v>175</v>
      </c>
      <c r="V4" s="239" t="s">
        <v>254</v>
      </c>
      <c r="W4" s="241" t="s">
        <v>1199</v>
      </c>
      <c r="Y4" s="217"/>
    </row>
    <row r="5" spans="1:25" ht="18" customHeight="1" x14ac:dyDescent="0.3">
      <c r="A5" s="26"/>
      <c r="B5" s="165" t="s">
        <v>1168</v>
      </c>
      <c r="C5" s="166" t="s">
        <v>152</v>
      </c>
      <c r="D5" s="166" t="s">
        <v>156</v>
      </c>
      <c r="E5" s="166" t="s">
        <v>184</v>
      </c>
      <c r="F5" s="319">
        <v>999849</v>
      </c>
      <c r="G5" s="166">
        <v>0</v>
      </c>
      <c r="H5" s="166">
        <v>2051635</v>
      </c>
      <c r="I5" s="200" t="s">
        <v>216</v>
      </c>
      <c r="J5" s="150" t="str">
        <f t="shared" si="0"/>
        <v>Fact 12795</v>
      </c>
      <c r="K5" s="150" t="str">
        <f t="shared" si="1"/>
        <v xml:space="preserve">Comite de Agua San Pedro de Atacama          </v>
      </c>
      <c r="L5" s="179"/>
      <c r="M5" s="113"/>
      <c r="N5" s="113"/>
      <c r="O5" s="242" t="s">
        <v>1168</v>
      </c>
      <c r="P5" s="239" t="s">
        <v>1200</v>
      </c>
      <c r="Q5" s="239" t="s">
        <v>601</v>
      </c>
      <c r="R5" s="239" t="s">
        <v>178</v>
      </c>
      <c r="S5" s="240" t="s">
        <v>602</v>
      </c>
      <c r="T5" s="321">
        <v>961121</v>
      </c>
      <c r="U5" s="239" t="s">
        <v>175</v>
      </c>
      <c r="V5" s="239" t="s">
        <v>603</v>
      </c>
      <c r="W5" s="241" t="s">
        <v>1201</v>
      </c>
      <c r="Y5" s="217"/>
    </row>
    <row r="6" spans="1:25" ht="18" customHeight="1" x14ac:dyDescent="0.3">
      <c r="A6" s="26"/>
      <c r="B6" s="165" t="s">
        <v>1168</v>
      </c>
      <c r="C6" s="166" t="s">
        <v>152</v>
      </c>
      <c r="D6" s="166" t="s">
        <v>153</v>
      </c>
      <c r="E6" s="166" t="s">
        <v>184</v>
      </c>
      <c r="F6" s="319">
        <v>136947</v>
      </c>
      <c r="G6" s="166">
        <v>0</v>
      </c>
      <c r="H6" s="166">
        <v>3051484</v>
      </c>
      <c r="I6" s="200" t="s">
        <v>9</v>
      </c>
      <c r="J6" s="150" t="str">
        <f t="shared" si="0"/>
        <v>Fact 400565, 402413</v>
      </c>
      <c r="K6" s="150" t="str">
        <f t="shared" si="1"/>
        <v xml:space="preserve">Leonprodal SA                                </v>
      </c>
      <c r="L6" s="179"/>
      <c r="M6" s="113"/>
      <c r="N6" s="113"/>
      <c r="O6" s="242" t="s">
        <v>1168</v>
      </c>
      <c r="P6" s="239" t="s">
        <v>1202</v>
      </c>
      <c r="Q6" s="239" t="s">
        <v>295</v>
      </c>
      <c r="R6" s="239" t="s">
        <v>176</v>
      </c>
      <c r="S6" s="240" t="s">
        <v>296</v>
      </c>
      <c r="T6" s="321">
        <v>136947</v>
      </c>
      <c r="U6" s="239" t="s">
        <v>175</v>
      </c>
      <c r="V6" s="239" t="s">
        <v>297</v>
      </c>
      <c r="W6" s="241" t="s">
        <v>1203</v>
      </c>
      <c r="Y6" s="217"/>
    </row>
    <row r="7" spans="1:25" s="100" customFormat="1" ht="18" customHeight="1" x14ac:dyDescent="0.3">
      <c r="A7" s="26"/>
      <c r="B7" s="165" t="s">
        <v>1168</v>
      </c>
      <c r="C7" s="166" t="s">
        <v>152</v>
      </c>
      <c r="D7" s="166" t="s">
        <v>153</v>
      </c>
      <c r="E7" s="166" t="s">
        <v>184</v>
      </c>
      <c r="F7" s="319">
        <v>337086</v>
      </c>
      <c r="G7" s="166">
        <v>0</v>
      </c>
      <c r="H7" s="166">
        <v>3188431</v>
      </c>
      <c r="I7" s="200" t="s">
        <v>9</v>
      </c>
      <c r="J7" s="150" t="str">
        <f t="shared" si="0"/>
        <v>Fact 7511, 7362, 7476</v>
      </c>
      <c r="K7" s="150" t="str">
        <f t="shared" si="1"/>
        <v xml:space="preserve">Nieva Soft EIRL                              </v>
      </c>
      <c r="L7" s="179"/>
      <c r="M7" s="113"/>
      <c r="N7" s="113"/>
      <c r="O7" s="242" t="s">
        <v>1168</v>
      </c>
      <c r="P7" s="239" t="s">
        <v>1204</v>
      </c>
      <c r="Q7" s="239" t="s">
        <v>1205</v>
      </c>
      <c r="R7" s="239" t="s">
        <v>174</v>
      </c>
      <c r="S7" s="240" t="s">
        <v>1206</v>
      </c>
      <c r="T7" s="321">
        <v>128777</v>
      </c>
      <c r="U7" s="239" t="s">
        <v>175</v>
      </c>
      <c r="V7" s="239" t="s">
        <v>1207</v>
      </c>
      <c r="W7" s="241" t="s">
        <v>1208</v>
      </c>
      <c r="Y7" s="217"/>
    </row>
    <row r="8" spans="1:25" ht="18" customHeight="1" x14ac:dyDescent="0.35">
      <c r="A8" s="26"/>
      <c r="B8" s="165" t="s">
        <v>1168</v>
      </c>
      <c r="C8" s="166" t="s">
        <v>152</v>
      </c>
      <c r="D8" s="166" t="s">
        <v>153</v>
      </c>
      <c r="E8" s="166" t="s">
        <v>184</v>
      </c>
      <c r="F8" s="319">
        <v>128777</v>
      </c>
      <c r="G8" s="166">
        <v>0</v>
      </c>
      <c r="H8" s="166">
        <v>3525517</v>
      </c>
      <c r="I8" s="200" t="s">
        <v>9</v>
      </c>
      <c r="J8" s="150" t="str">
        <f t="shared" si="0"/>
        <v>Cotizacion 103280</v>
      </c>
      <c r="K8" s="150" t="str">
        <f t="shared" si="1"/>
        <v xml:space="preserve">JOSE RIVEROS LLAMAZALES Y CIA LTDA           </v>
      </c>
      <c r="L8" s="179" t="s">
        <v>1246</v>
      </c>
      <c r="M8" s="113"/>
      <c r="N8" s="113"/>
      <c r="O8" s="238" t="s">
        <v>1169</v>
      </c>
      <c r="P8" s="239" t="s">
        <v>1209</v>
      </c>
      <c r="Q8" s="239" t="s">
        <v>284</v>
      </c>
      <c r="R8" s="239" t="s">
        <v>177</v>
      </c>
      <c r="S8" s="240" t="s">
        <v>285</v>
      </c>
      <c r="T8" s="321">
        <v>1257927</v>
      </c>
      <c r="U8" s="239" t="s">
        <v>175</v>
      </c>
      <c r="V8" s="239" t="s">
        <v>286</v>
      </c>
      <c r="W8" s="241" t="s">
        <v>1210</v>
      </c>
      <c r="Y8" s="217"/>
    </row>
    <row r="9" spans="1:25" ht="18" customHeight="1" x14ac:dyDescent="0.3">
      <c r="A9" s="26"/>
      <c r="B9" s="165" t="s">
        <v>1168</v>
      </c>
      <c r="C9" s="166" t="s">
        <v>152</v>
      </c>
      <c r="D9" s="166" t="s">
        <v>153</v>
      </c>
      <c r="E9" s="166" t="s">
        <v>184</v>
      </c>
      <c r="F9" s="319">
        <v>75000</v>
      </c>
      <c r="G9" s="166">
        <v>0</v>
      </c>
      <c r="H9" s="166">
        <v>3654294</v>
      </c>
      <c r="I9" s="200" t="s">
        <v>33</v>
      </c>
      <c r="J9" s="150" t="str">
        <f t="shared" si="0"/>
        <v>Sueldo Feb18</v>
      </c>
      <c r="K9" s="150" t="str">
        <f t="shared" si="1"/>
        <v xml:space="preserve">Lucia Choque                                 </v>
      </c>
      <c r="L9" s="179"/>
      <c r="M9" s="113"/>
      <c r="N9" s="113"/>
      <c r="O9" s="238" t="s">
        <v>1169</v>
      </c>
      <c r="P9" s="239" t="s">
        <v>1211</v>
      </c>
      <c r="Q9" s="239" t="s">
        <v>1212</v>
      </c>
      <c r="R9" s="239" t="s">
        <v>177</v>
      </c>
      <c r="S9" s="240" t="s">
        <v>1213</v>
      </c>
      <c r="T9" s="321">
        <v>552565</v>
      </c>
      <c r="U9" s="239" t="s">
        <v>175</v>
      </c>
      <c r="V9" s="239" t="s">
        <v>1214</v>
      </c>
      <c r="W9" s="241" t="s">
        <v>1210</v>
      </c>
      <c r="Y9" s="217"/>
    </row>
    <row r="10" spans="1:25" ht="18" customHeight="1" x14ac:dyDescent="0.3">
      <c r="A10" s="26"/>
      <c r="B10" s="165" t="s">
        <v>1168</v>
      </c>
      <c r="C10" s="166" t="s">
        <v>152</v>
      </c>
      <c r="D10" s="166" t="s">
        <v>153</v>
      </c>
      <c r="E10" s="166" t="s">
        <v>184</v>
      </c>
      <c r="F10" s="319">
        <v>1257927</v>
      </c>
      <c r="G10" s="166">
        <v>0</v>
      </c>
      <c r="H10" s="166">
        <v>3729294</v>
      </c>
      <c r="I10" s="200" t="s">
        <v>33</v>
      </c>
      <c r="J10" s="150" t="str">
        <f t="shared" si="0"/>
        <v>Sueldo Feb18</v>
      </c>
      <c r="K10" s="150" t="str">
        <f t="shared" si="1"/>
        <v xml:space="preserve">Angelica Ramirez Muñoz                       </v>
      </c>
      <c r="L10" s="179"/>
      <c r="M10" s="113"/>
      <c r="N10" s="113"/>
      <c r="O10" s="238" t="s">
        <v>1169</v>
      </c>
      <c r="P10" s="239" t="s">
        <v>1215</v>
      </c>
      <c r="Q10" s="239" t="s">
        <v>181</v>
      </c>
      <c r="R10" s="239" t="s">
        <v>176</v>
      </c>
      <c r="S10" s="240" t="s">
        <v>300</v>
      </c>
      <c r="T10" s="321">
        <v>1125483</v>
      </c>
      <c r="U10" s="239" t="s">
        <v>175</v>
      </c>
      <c r="V10" s="239" t="s">
        <v>301</v>
      </c>
      <c r="W10" s="241" t="s">
        <v>1210</v>
      </c>
      <c r="Y10" s="217"/>
    </row>
    <row r="11" spans="1:25" ht="18" customHeight="1" x14ac:dyDescent="0.3">
      <c r="A11" s="26"/>
      <c r="B11" s="165" t="s">
        <v>1168</v>
      </c>
      <c r="C11" s="166" t="s">
        <v>152</v>
      </c>
      <c r="D11" s="166" t="s">
        <v>153</v>
      </c>
      <c r="E11" s="166" t="s">
        <v>184</v>
      </c>
      <c r="F11" s="319">
        <v>485971</v>
      </c>
      <c r="G11" s="166">
        <v>0</v>
      </c>
      <c r="H11" s="166">
        <v>4987221</v>
      </c>
      <c r="I11" s="200" t="s">
        <v>33</v>
      </c>
      <c r="J11" s="150" t="str">
        <f t="shared" si="0"/>
        <v xml:space="preserve"> </v>
      </c>
      <c r="K11" s="150" t="str">
        <f t="shared" si="1"/>
        <v xml:space="preserve">Luis Arias                                   </v>
      </c>
      <c r="L11" s="179"/>
      <c r="M11" s="113"/>
      <c r="N11" s="113"/>
      <c r="O11" s="238" t="s">
        <v>1169</v>
      </c>
      <c r="P11" s="239" t="s">
        <v>1216</v>
      </c>
      <c r="Q11" s="239" t="s">
        <v>179</v>
      </c>
      <c r="R11" s="239" t="s">
        <v>177</v>
      </c>
      <c r="S11" s="240" t="s">
        <v>289</v>
      </c>
      <c r="T11" s="321">
        <v>535162</v>
      </c>
      <c r="U11" s="239" t="s">
        <v>175</v>
      </c>
      <c r="V11" s="239" t="s">
        <v>187</v>
      </c>
      <c r="W11" s="241" t="s">
        <v>219</v>
      </c>
      <c r="Y11" s="217"/>
    </row>
    <row r="12" spans="1:25" ht="18" customHeight="1" x14ac:dyDescent="0.3">
      <c r="A12" s="26"/>
      <c r="B12" s="165" t="s">
        <v>1168</v>
      </c>
      <c r="C12" s="166" t="s">
        <v>152</v>
      </c>
      <c r="D12" s="166" t="s">
        <v>153</v>
      </c>
      <c r="E12" s="166" t="s">
        <v>184</v>
      </c>
      <c r="F12" s="319">
        <v>504439</v>
      </c>
      <c r="G12" s="166">
        <v>0</v>
      </c>
      <c r="H12" s="166">
        <v>5473192</v>
      </c>
      <c r="I12" s="200" t="s">
        <v>33</v>
      </c>
      <c r="J12" s="150" t="str">
        <f t="shared" si="0"/>
        <v>Sueldo Feb18</v>
      </c>
      <c r="K12" s="150" t="str">
        <f t="shared" si="1"/>
        <v xml:space="preserve">Carlos Moscoso bertinelli                    </v>
      </c>
      <c r="L12" s="179"/>
      <c r="M12" s="113"/>
      <c r="N12" s="113"/>
      <c r="O12" s="238" t="s">
        <v>1169</v>
      </c>
      <c r="P12" s="239" t="s">
        <v>1217</v>
      </c>
      <c r="Q12" s="239" t="s">
        <v>241</v>
      </c>
      <c r="R12" s="239" t="s">
        <v>177</v>
      </c>
      <c r="S12" s="240" t="s">
        <v>282</v>
      </c>
      <c r="T12" s="321">
        <v>485971</v>
      </c>
      <c r="U12" s="239" t="s">
        <v>175</v>
      </c>
      <c r="V12" s="239" t="s">
        <v>336</v>
      </c>
      <c r="W12" s="241" t="s">
        <v>219</v>
      </c>
      <c r="Y12" s="217"/>
    </row>
    <row r="13" spans="1:25" ht="18" customHeight="1" x14ac:dyDescent="0.3">
      <c r="A13" s="26"/>
      <c r="B13" s="165" t="s">
        <v>1168</v>
      </c>
      <c r="C13" s="166" t="s">
        <v>152</v>
      </c>
      <c r="D13" s="166" t="s">
        <v>153</v>
      </c>
      <c r="E13" s="166" t="s">
        <v>184</v>
      </c>
      <c r="F13" s="319">
        <v>552565</v>
      </c>
      <c r="G13" s="166">
        <v>0</v>
      </c>
      <c r="H13" s="166">
        <v>5977631</v>
      </c>
      <c r="I13" s="200" t="s">
        <v>33</v>
      </c>
      <c r="J13" s="150" t="str">
        <f t="shared" si="0"/>
        <v>Sueldo Feb18</v>
      </c>
      <c r="K13" s="150" t="str">
        <f t="shared" si="1"/>
        <v xml:space="preserve">Claudio Caballero                            </v>
      </c>
      <c r="L13" s="179"/>
      <c r="M13" s="113"/>
      <c r="N13" s="113"/>
      <c r="O13" s="238" t="s">
        <v>1169</v>
      </c>
      <c r="P13" s="239" t="s">
        <v>1218</v>
      </c>
      <c r="Q13" s="239" t="s">
        <v>188</v>
      </c>
      <c r="R13" s="239" t="s">
        <v>177</v>
      </c>
      <c r="S13" s="240" t="s">
        <v>294</v>
      </c>
      <c r="T13" s="321">
        <v>445119</v>
      </c>
      <c r="U13" s="239" t="s">
        <v>175</v>
      </c>
      <c r="V13" s="239" t="s">
        <v>189</v>
      </c>
      <c r="W13" s="241" t="s">
        <v>1210</v>
      </c>
      <c r="Y13" s="217"/>
    </row>
    <row r="14" spans="1:25" ht="18" customHeight="1" x14ac:dyDescent="0.3">
      <c r="A14" s="26"/>
      <c r="B14" s="165" t="s">
        <v>1168</v>
      </c>
      <c r="C14" s="166" t="s">
        <v>152</v>
      </c>
      <c r="D14" s="166" t="s">
        <v>153</v>
      </c>
      <c r="E14" s="166" t="s">
        <v>184</v>
      </c>
      <c r="F14" s="319">
        <v>1125483</v>
      </c>
      <c r="G14" s="166">
        <v>0</v>
      </c>
      <c r="H14" s="166">
        <v>6530196</v>
      </c>
      <c r="I14" s="200" t="s">
        <v>33</v>
      </c>
      <c r="J14" s="150" t="str">
        <f t="shared" si="0"/>
        <v>Sueldo Feb18</v>
      </c>
      <c r="K14" s="150" t="str">
        <f t="shared" si="1"/>
        <v xml:space="preserve">Mara Jose Paez Zumaran                       </v>
      </c>
      <c r="L14" s="179"/>
      <c r="M14" s="113"/>
      <c r="N14" s="113"/>
      <c r="O14" s="238" t="s">
        <v>1169</v>
      </c>
      <c r="P14" s="239" t="s">
        <v>1219</v>
      </c>
      <c r="Q14" s="239" t="s">
        <v>257</v>
      </c>
      <c r="R14" s="239" t="s">
        <v>177</v>
      </c>
      <c r="S14" s="240" t="s">
        <v>287</v>
      </c>
      <c r="T14" s="321">
        <v>512178</v>
      </c>
      <c r="U14" s="239" t="s">
        <v>175</v>
      </c>
      <c r="V14" s="239" t="s">
        <v>258</v>
      </c>
      <c r="W14" s="241" t="s">
        <v>1210</v>
      </c>
      <c r="Y14" s="217"/>
    </row>
    <row r="15" spans="1:25" ht="18" customHeight="1" x14ac:dyDescent="0.3">
      <c r="A15" s="26"/>
      <c r="B15" s="165" t="s">
        <v>1168</v>
      </c>
      <c r="C15" s="166" t="s">
        <v>152</v>
      </c>
      <c r="D15" s="166" t="s">
        <v>153</v>
      </c>
      <c r="E15" s="166" t="s">
        <v>184</v>
      </c>
      <c r="F15" s="319">
        <v>508078</v>
      </c>
      <c r="G15" s="166">
        <v>0</v>
      </c>
      <c r="H15" s="166">
        <v>7655679</v>
      </c>
      <c r="I15" s="200" t="s">
        <v>33</v>
      </c>
      <c r="J15" s="150" t="str">
        <f t="shared" si="0"/>
        <v>Sueldo Feb18</v>
      </c>
      <c r="K15" s="150" t="str">
        <f t="shared" si="1"/>
        <v xml:space="preserve">Leticia Alessi                               </v>
      </c>
      <c r="L15" s="179"/>
      <c r="M15" s="113"/>
      <c r="N15" s="113"/>
      <c r="O15" s="238" t="s">
        <v>1169</v>
      </c>
      <c r="P15" s="239" t="s">
        <v>1220</v>
      </c>
      <c r="Q15" s="239" t="s">
        <v>343</v>
      </c>
      <c r="R15" s="239" t="s">
        <v>177</v>
      </c>
      <c r="S15" s="240" t="s">
        <v>344</v>
      </c>
      <c r="T15" s="321">
        <v>508078</v>
      </c>
      <c r="U15" s="239" t="s">
        <v>175</v>
      </c>
      <c r="V15" s="239" t="s">
        <v>345</v>
      </c>
      <c r="W15" s="241" t="s">
        <v>1210</v>
      </c>
      <c r="Y15" s="217"/>
    </row>
    <row r="16" spans="1:25" ht="18" customHeight="1" x14ac:dyDescent="0.3">
      <c r="A16" s="26"/>
      <c r="B16" s="165" t="s">
        <v>1168</v>
      </c>
      <c r="C16" s="166" t="s">
        <v>152</v>
      </c>
      <c r="D16" s="166" t="s">
        <v>153</v>
      </c>
      <c r="E16" s="166" t="s">
        <v>184</v>
      </c>
      <c r="F16" s="319">
        <v>255000</v>
      </c>
      <c r="G16" s="166">
        <v>0</v>
      </c>
      <c r="H16" s="166">
        <v>8163757</v>
      </c>
      <c r="I16" s="200" t="s">
        <v>33</v>
      </c>
      <c r="J16" s="150" t="str">
        <f t="shared" si="0"/>
        <v>Sueldo Feb18</v>
      </c>
      <c r="K16" s="150" t="str">
        <f t="shared" si="1"/>
        <v xml:space="preserve">Ana Cruz Varas                               </v>
      </c>
      <c r="L16" s="179"/>
      <c r="M16" s="113"/>
      <c r="N16" s="113"/>
      <c r="O16" s="238" t="s">
        <v>1169</v>
      </c>
      <c r="P16" s="239" t="s">
        <v>1221</v>
      </c>
      <c r="Q16" s="239" t="s">
        <v>248</v>
      </c>
      <c r="R16" s="239" t="s">
        <v>302</v>
      </c>
      <c r="S16" s="240" t="s">
        <v>303</v>
      </c>
      <c r="T16" s="321">
        <v>504439</v>
      </c>
      <c r="U16" s="239" t="s">
        <v>175</v>
      </c>
      <c r="V16" s="239" t="s">
        <v>304</v>
      </c>
      <c r="W16" s="241" t="s">
        <v>1210</v>
      </c>
      <c r="Y16" s="217"/>
    </row>
    <row r="17" spans="1:25" ht="18" customHeight="1" x14ac:dyDescent="0.3">
      <c r="A17" s="26"/>
      <c r="B17" s="165" t="s">
        <v>1168</v>
      </c>
      <c r="C17" s="166" t="s">
        <v>152</v>
      </c>
      <c r="D17" s="166" t="s">
        <v>153</v>
      </c>
      <c r="E17" s="166" t="s">
        <v>184</v>
      </c>
      <c r="F17" s="319">
        <v>512178</v>
      </c>
      <c r="G17" s="166">
        <v>0</v>
      </c>
      <c r="H17" s="166">
        <v>8418757</v>
      </c>
      <c r="I17" s="200" t="s">
        <v>33</v>
      </c>
      <c r="J17" s="150" t="str">
        <f t="shared" si="0"/>
        <v>Sueldo Feb18</v>
      </c>
      <c r="K17" s="150" t="str">
        <f t="shared" si="1"/>
        <v xml:space="preserve">Juany Estelo Cruz                            </v>
      </c>
      <c r="L17" s="179"/>
      <c r="M17" s="113"/>
      <c r="N17" s="113"/>
      <c r="O17" s="238" t="s">
        <v>1169</v>
      </c>
      <c r="P17" s="239" t="s">
        <v>1222</v>
      </c>
      <c r="Q17" s="239" t="s">
        <v>291</v>
      </c>
      <c r="R17" s="239" t="s">
        <v>177</v>
      </c>
      <c r="S17" s="240" t="s">
        <v>292</v>
      </c>
      <c r="T17" s="321">
        <v>75000</v>
      </c>
      <c r="U17" s="239" t="s">
        <v>175</v>
      </c>
      <c r="V17" s="239" t="s">
        <v>293</v>
      </c>
      <c r="W17" s="241" t="s">
        <v>1210</v>
      </c>
      <c r="Y17" s="217"/>
    </row>
    <row r="18" spans="1:25" ht="18" customHeight="1" x14ac:dyDescent="0.3">
      <c r="A18" s="26"/>
      <c r="B18" s="165" t="s">
        <v>1168</v>
      </c>
      <c r="C18" s="166" t="s">
        <v>152</v>
      </c>
      <c r="D18" s="166" t="s">
        <v>153</v>
      </c>
      <c r="E18" s="166" t="s">
        <v>184</v>
      </c>
      <c r="F18" s="319">
        <v>445119</v>
      </c>
      <c r="G18" s="166">
        <v>0</v>
      </c>
      <c r="H18" s="166">
        <v>8930935</v>
      </c>
      <c r="I18" s="200" t="s">
        <v>33</v>
      </c>
      <c r="J18" s="150" t="str">
        <f t="shared" si="0"/>
        <v>Sueldo Feb18</v>
      </c>
      <c r="K18" s="150" t="str">
        <f t="shared" si="1"/>
        <v xml:space="preserve">Silvia Perez Ibarra                          </v>
      </c>
      <c r="L18" s="179"/>
      <c r="M18" s="113"/>
      <c r="N18" s="113"/>
      <c r="O18" s="238" t="s">
        <v>1169</v>
      </c>
      <c r="P18" s="239" t="s">
        <v>1223</v>
      </c>
      <c r="Q18" s="239" t="s">
        <v>337</v>
      </c>
      <c r="R18" s="239" t="s">
        <v>177</v>
      </c>
      <c r="S18" s="240" t="s">
        <v>338</v>
      </c>
      <c r="T18" s="321">
        <v>255000</v>
      </c>
      <c r="U18" s="239" t="s">
        <v>175</v>
      </c>
      <c r="V18" s="239" t="s">
        <v>339</v>
      </c>
      <c r="W18" s="241" t="s">
        <v>1210</v>
      </c>
      <c r="Y18" s="217"/>
    </row>
    <row r="19" spans="1:25" ht="18" customHeight="1" x14ac:dyDescent="0.3">
      <c r="A19" s="26"/>
      <c r="B19" s="165" t="s">
        <v>1168</v>
      </c>
      <c r="C19" s="166" t="s">
        <v>152</v>
      </c>
      <c r="D19" s="166" t="s">
        <v>153</v>
      </c>
      <c r="E19" s="166" t="s">
        <v>184</v>
      </c>
      <c r="F19" s="319">
        <v>535162</v>
      </c>
      <c r="G19" s="166">
        <v>0</v>
      </c>
      <c r="H19" s="166">
        <v>9376054</v>
      </c>
      <c r="I19" s="200" t="s">
        <v>33</v>
      </c>
      <c r="J19" s="150" t="str">
        <f t="shared" si="0"/>
        <v xml:space="preserve"> </v>
      </c>
      <c r="K19" s="150" t="str">
        <f t="shared" si="1"/>
        <v xml:space="preserve">Cristina Casanovas                           </v>
      </c>
      <c r="L19" s="179"/>
      <c r="M19" s="113"/>
      <c r="N19" s="113"/>
      <c r="O19" s="238" t="s">
        <v>1169</v>
      </c>
      <c r="P19" s="239" t="s">
        <v>1224</v>
      </c>
      <c r="Q19" s="239" t="s">
        <v>340</v>
      </c>
      <c r="R19" s="239" t="s">
        <v>177</v>
      </c>
      <c r="S19" s="240" t="s">
        <v>341</v>
      </c>
      <c r="T19" s="321">
        <v>180000</v>
      </c>
      <c r="U19" s="239" t="s">
        <v>175</v>
      </c>
      <c r="V19" s="239" t="s">
        <v>342</v>
      </c>
      <c r="W19" s="241" t="s">
        <v>1210</v>
      </c>
      <c r="Y19" s="217"/>
    </row>
    <row r="20" spans="1:25" ht="18" customHeight="1" x14ac:dyDescent="0.3">
      <c r="A20" s="26"/>
      <c r="B20" s="165" t="s">
        <v>1168</v>
      </c>
      <c r="C20" s="166" t="s">
        <v>152</v>
      </c>
      <c r="D20" s="166" t="s">
        <v>153</v>
      </c>
      <c r="E20" s="166" t="s">
        <v>184</v>
      </c>
      <c r="F20" s="319">
        <v>180000</v>
      </c>
      <c r="G20" s="166">
        <v>0</v>
      </c>
      <c r="H20" s="166">
        <v>9911216</v>
      </c>
      <c r="I20" s="200" t="s">
        <v>33</v>
      </c>
      <c r="J20" s="150" t="str">
        <f t="shared" si="0"/>
        <v>Sueldo Feb18</v>
      </c>
      <c r="K20" s="150" t="str">
        <f t="shared" si="1"/>
        <v xml:space="preserve">Diego Maldonado                              </v>
      </c>
      <c r="L20" s="179"/>
      <c r="M20" s="254"/>
      <c r="N20" s="113"/>
      <c r="O20" s="238" t="s">
        <v>1173</v>
      </c>
      <c r="P20" s="239" t="s">
        <v>1225</v>
      </c>
      <c r="Q20" s="239" t="s">
        <v>1226</v>
      </c>
      <c r="R20" s="239" t="s">
        <v>177</v>
      </c>
      <c r="S20" s="240" t="s">
        <v>1227</v>
      </c>
      <c r="T20" s="321">
        <v>1213453</v>
      </c>
      <c r="U20" s="239" t="s">
        <v>175</v>
      </c>
      <c r="V20" s="239" t="s">
        <v>1228</v>
      </c>
      <c r="W20" s="241" t="s">
        <v>1229</v>
      </c>
      <c r="Y20" s="217"/>
    </row>
    <row r="21" spans="1:25" ht="18" customHeight="1" x14ac:dyDescent="0.3">
      <c r="A21" s="26"/>
      <c r="B21" s="165" t="s">
        <v>1169</v>
      </c>
      <c r="C21" s="166" t="s">
        <v>152</v>
      </c>
      <c r="D21" s="166" t="s">
        <v>157</v>
      </c>
      <c r="E21" s="166" t="s">
        <v>184</v>
      </c>
      <c r="F21" s="319">
        <v>0</v>
      </c>
      <c r="G21" s="166">
        <v>3447461</v>
      </c>
      <c r="H21" s="166">
        <v>10091216</v>
      </c>
      <c r="I21" s="200" t="s">
        <v>165</v>
      </c>
      <c r="J21" s="150" t="str">
        <f t="shared" si="0"/>
        <v/>
      </c>
      <c r="K21" s="150" t="str">
        <f t="shared" si="1"/>
        <v/>
      </c>
      <c r="L21" s="179"/>
      <c r="M21" s="113"/>
      <c r="N21" s="113"/>
      <c r="O21" s="238" t="s">
        <v>1173</v>
      </c>
      <c r="P21" s="239" t="s">
        <v>1230</v>
      </c>
      <c r="Q21" s="239" t="s">
        <v>180</v>
      </c>
      <c r="R21" s="239" t="s">
        <v>177</v>
      </c>
      <c r="S21" s="240" t="s">
        <v>290</v>
      </c>
      <c r="T21" s="321">
        <v>2000000</v>
      </c>
      <c r="U21" s="239" t="s">
        <v>175</v>
      </c>
      <c r="V21" s="239" t="s">
        <v>186</v>
      </c>
      <c r="W21" s="241" t="s">
        <v>1229</v>
      </c>
      <c r="Y21" s="217"/>
    </row>
    <row r="22" spans="1:25" ht="18" customHeight="1" x14ac:dyDescent="0.3">
      <c r="A22" s="26"/>
      <c r="B22" s="165" t="s">
        <v>1170</v>
      </c>
      <c r="C22" s="166" t="s">
        <v>249</v>
      </c>
      <c r="D22" s="166" t="s">
        <v>299</v>
      </c>
      <c r="E22" s="166" t="s">
        <v>184</v>
      </c>
      <c r="F22" s="319">
        <v>0</v>
      </c>
      <c r="G22" s="166">
        <v>20000</v>
      </c>
      <c r="H22" s="166">
        <v>6643755</v>
      </c>
      <c r="I22" s="200" t="s">
        <v>217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1176</v>
      </c>
      <c r="P22" s="239" t="s">
        <v>1231</v>
      </c>
      <c r="Q22" s="239" t="s">
        <v>255</v>
      </c>
      <c r="R22" s="239" t="s">
        <v>174</v>
      </c>
      <c r="S22" s="240" t="s">
        <v>288</v>
      </c>
      <c r="T22" s="321">
        <v>15000</v>
      </c>
      <c r="U22" s="239" t="s">
        <v>175</v>
      </c>
      <c r="V22" s="239" t="s">
        <v>256</v>
      </c>
      <c r="W22" s="241" t="s">
        <v>1229</v>
      </c>
      <c r="Y22" s="217"/>
    </row>
    <row r="23" spans="1:25" ht="18" customHeight="1" x14ac:dyDescent="0.3">
      <c r="A23" s="26"/>
      <c r="B23" s="165" t="s">
        <v>1171</v>
      </c>
      <c r="C23" s="166" t="s">
        <v>249</v>
      </c>
      <c r="D23" s="166" t="s">
        <v>299</v>
      </c>
      <c r="E23" s="166" t="s">
        <v>184</v>
      </c>
      <c r="F23" s="319">
        <v>0</v>
      </c>
      <c r="G23" s="166">
        <v>20000</v>
      </c>
      <c r="H23" s="166">
        <v>6623755</v>
      </c>
      <c r="I23" s="200" t="s">
        <v>217</v>
      </c>
      <c r="J23" s="150" t="str">
        <f t="shared" si="0"/>
        <v/>
      </c>
      <c r="K23" s="150" t="str">
        <f t="shared" si="1"/>
        <v/>
      </c>
      <c r="L23" s="179"/>
      <c r="M23" s="113"/>
      <c r="N23" s="113"/>
      <c r="O23" s="238" t="s">
        <v>1178</v>
      </c>
      <c r="P23" s="239" t="s">
        <v>1232</v>
      </c>
      <c r="Q23" s="239" t="s">
        <v>263</v>
      </c>
      <c r="R23" s="239" t="s">
        <v>174</v>
      </c>
      <c r="S23" s="240" t="s">
        <v>298</v>
      </c>
      <c r="T23" s="321">
        <v>144177</v>
      </c>
      <c r="U23" s="239" t="s">
        <v>175</v>
      </c>
      <c r="V23" s="239" t="s">
        <v>264</v>
      </c>
      <c r="W23" s="241" t="s">
        <v>1233</v>
      </c>
      <c r="Y23" s="217"/>
    </row>
    <row r="24" spans="1:25" s="131" customFormat="1" ht="18" customHeight="1" x14ac:dyDescent="0.35">
      <c r="A24" s="26"/>
      <c r="B24" s="280" t="s">
        <v>1172</v>
      </c>
      <c r="C24" s="281" t="s">
        <v>152</v>
      </c>
      <c r="D24" s="281" t="s">
        <v>163</v>
      </c>
      <c r="E24" s="281" t="s">
        <v>184</v>
      </c>
      <c r="F24" s="320">
        <v>440775</v>
      </c>
      <c r="G24" s="281">
        <v>0</v>
      </c>
      <c r="H24" s="281">
        <v>6603755</v>
      </c>
      <c r="I24" s="283"/>
      <c r="J24" s="150" t="str">
        <f t="shared" si="0"/>
        <v/>
      </c>
      <c r="K24" s="150" t="str">
        <f t="shared" si="1"/>
        <v/>
      </c>
      <c r="L24" s="179"/>
      <c r="M24" s="113"/>
      <c r="N24" s="113"/>
      <c r="O24" s="238" t="s">
        <v>1181</v>
      </c>
      <c r="P24" s="239" t="s">
        <v>1234</v>
      </c>
      <c r="Q24" s="239" t="s">
        <v>188</v>
      </c>
      <c r="R24" s="239" t="s">
        <v>177</v>
      </c>
      <c r="S24" s="240" t="s">
        <v>294</v>
      </c>
      <c r="T24" s="321">
        <v>100000</v>
      </c>
      <c r="U24" s="239" t="s">
        <v>175</v>
      </c>
      <c r="V24" s="239" t="s">
        <v>189</v>
      </c>
      <c r="W24" s="241" t="s">
        <v>1210</v>
      </c>
      <c r="Y24" s="217"/>
    </row>
    <row r="25" spans="1:25" s="131" customFormat="1" ht="18" customHeight="1" x14ac:dyDescent="0.3">
      <c r="A25" s="26"/>
      <c r="B25" s="165" t="s">
        <v>1173</v>
      </c>
      <c r="C25" s="166" t="s">
        <v>152</v>
      </c>
      <c r="D25" s="166" t="s">
        <v>594</v>
      </c>
      <c r="E25" s="166" t="s">
        <v>1174</v>
      </c>
      <c r="F25" s="319">
        <v>61002</v>
      </c>
      <c r="G25" s="166">
        <v>0</v>
      </c>
      <c r="H25" s="166">
        <v>7044530</v>
      </c>
      <c r="I25" s="200" t="s">
        <v>216</v>
      </c>
      <c r="J25" s="150" t="str">
        <f t="shared" si="0"/>
        <v/>
      </c>
      <c r="K25" s="150" t="s">
        <v>391</v>
      </c>
      <c r="L25" s="179"/>
      <c r="M25" s="113"/>
      <c r="N25" s="113"/>
      <c r="O25" s="238" t="s">
        <v>1181</v>
      </c>
      <c r="P25" s="239" t="s">
        <v>1235</v>
      </c>
      <c r="Q25" s="239" t="s">
        <v>241</v>
      </c>
      <c r="R25" s="239" t="s">
        <v>177</v>
      </c>
      <c r="S25" s="240" t="s">
        <v>282</v>
      </c>
      <c r="T25" s="321">
        <v>100000</v>
      </c>
      <c r="U25" s="239" t="s">
        <v>175</v>
      </c>
      <c r="V25" s="239" t="s">
        <v>336</v>
      </c>
      <c r="W25" s="241" t="s">
        <v>1210</v>
      </c>
      <c r="Y25" s="217"/>
    </row>
    <row r="26" spans="1:25" s="131" customFormat="1" ht="18" customHeight="1" x14ac:dyDescent="0.3">
      <c r="A26" s="26"/>
      <c r="B26" s="165" t="s">
        <v>1173</v>
      </c>
      <c r="C26" s="166" t="s">
        <v>152</v>
      </c>
      <c r="D26" s="166" t="s">
        <v>594</v>
      </c>
      <c r="E26" s="166" t="s">
        <v>1175</v>
      </c>
      <c r="F26" s="319">
        <v>189112</v>
      </c>
      <c r="G26" s="166">
        <v>0</v>
      </c>
      <c r="H26" s="166">
        <v>7105532</v>
      </c>
      <c r="I26" s="200" t="s">
        <v>216</v>
      </c>
      <c r="J26" s="150" t="str">
        <f t="shared" si="0"/>
        <v/>
      </c>
      <c r="K26" s="150" t="s">
        <v>391</v>
      </c>
      <c r="L26" s="179"/>
      <c r="M26" s="113"/>
      <c r="N26" s="113"/>
      <c r="O26" s="238" t="s">
        <v>1245</v>
      </c>
      <c r="P26" s="239" t="s">
        <v>1236</v>
      </c>
      <c r="Q26" s="239" t="s">
        <v>595</v>
      </c>
      <c r="R26" s="239" t="s">
        <v>596</v>
      </c>
      <c r="S26" s="240" t="s">
        <v>597</v>
      </c>
      <c r="T26" s="321">
        <v>200000</v>
      </c>
      <c r="U26" s="239" t="s">
        <v>175</v>
      </c>
      <c r="V26" s="239" t="s">
        <v>598</v>
      </c>
      <c r="W26" s="241" t="s">
        <v>1237</v>
      </c>
      <c r="Y26" s="217"/>
    </row>
    <row r="27" spans="1:25" s="131" customFormat="1" ht="18" customHeight="1" x14ac:dyDescent="0.3">
      <c r="A27" s="26"/>
      <c r="B27" s="165" t="s">
        <v>1173</v>
      </c>
      <c r="C27" s="166" t="s">
        <v>152</v>
      </c>
      <c r="D27" s="166" t="s">
        <v>153</v>
      </c>
      <c r="E27" s="166" t="s">
        <v>184</v>
      </c>
      <c r="F27" s="319">
        <v>2000000</v>
      </c>
      <c r="G27" s="166">
        <v>0</v>
      </c>
      <c r="H27" s="166">
        <v>7294644</v>
      </c>
      <c r="I27" s="200" t="s">
        <v>33</v>
      </c>
      <c r="J27" s="150" t="str">
        <f t="shared" si="0"/>
        <v>Finiquito</v>
      </c>
      <c r="K27" s="150" t="str">
        <f t="shared" si="1"/>
        <v xml:space="preserve">Nilda Ccama Ayma                             </v>
      </c>
      <c r="L27" s="179"/>
      <c r="M27" s="113"/>
      <c r="N27" s="113"/>
      <c r="O27" s="238" t="s">
        <v>605</v>
      </c>
      <c r="P27" s="239" t="s">
        <v>1238</v>
      </c>
      <c r="Q27" s="239" t="s">
        <v>1239</v>
      </c>
      <c r="R27" s="239" t="s">
        <v>177</v>
      </c>
      <c r="S27" s="240" t="s">
        <v>1240</v>
      </c>
      <c r="T27" s="321">
        <v>15000</v>
      </c>
      <c r="U27" s="239" t="s">
        <v>175</v>
      </c>
      <c r="V27" s="239" t="s">
        <v>1241</v>
      </c>
      <c r="W27" s="241" t="s">
        <v>599</v>
      </c>
      <c r="Y27" s="217"/>
    </row>
    <row r="28" spans="1:25" s="131" customFormat="1" ht="18" customHeight="1" x14ac:dyDescent="0.3">
      <c r="A28" s="26"/>
      <c r="B28" s="165" t="s">
        <v>1173</v>
      </c>
      <c r="C28" s="166" t="s">
        <v>152</v>
      </c>
      <c r="D28" s="166" t="s">
        <v>153</v>
      </c>
      <c r="E28" s="166" t="s">
        <v>184</v>
      </c>
      <c r="F28" s="319">
        <v>1213453</v>
      </c>
      <c r="G28" s="166">
        <v>0</v>
      </c>
      <c r="H28" s="166">
        <v>9294644</v>
      </c>
      <c r="I28" s="200" t="s">
        <v>33</v>
      </c>
      <c r="J28" s="150" t="str">
        <f t="shared" si="0"/>
        <v>Finiquito</v>
      </c>
      <c r="K28" s="150" t="str">
        <f t="shared" si="1"/>
        <v xml:space="preserve">Diana Paez ruiz                              </v>
      </c>
      <c r="L28" s="179"/>
      <c r="M28" s="113"/>
      <c r="N28" s="113"/>
      <c r="O28" s="238" t="s">
        <v>605</v>
      </c>
      <c r="P28" s="239" t="s">
        <v>1242</v>
      </c>
      <c r="Q28" s="239" t="s">
        <v>203</v>
      </c>
      <c r="R28" s="239" t="s">
        <v>178</v>
      </c>
      <c r="S28" s="240" t="s">
        <v>280</v>
      </c>
      <c r="T28" s="321">
        <v>2500000</v>
      </c>
      <c r="U28" s="239" t="s">
        <v>175</v>
      </c>
      <c r="V28" s="239" t="s">
        <v>204</v>
      </c>
      <c r="W28" s="241" t="s">
        <v>219</v>
      </c>
      <c r="Y28" s="217"/>
    </row>
    <row r="29" spans="1:25" s="131" customFormat="1" ht="18" customHeight="1" x14ac:dyDescent="0.3">
      <c r="A29" s="26"/>
      <c r="B29" s="165" t="s">
        <v>1173</v>
      </c>
      <c r="C29" s="166" t="s">
        <v>249</v>
      </c>
      <c r="D29" s="166" t="s">
        <v>299</v>
      </c>
      <c r="E29" s="166" t="s">
        <v>184</v>
      </c>
      <c r="F29" s="319">
        <v>0</v>
      </c>
      <c r="G29" s="166">
        <v>11000</v>
      </c>
      <c r="H29" s="166">
        <v>10508097</v>
      </c>
      <c r="I29" s="200" t="s">
        <v>217</v>
      </c>
      <c r="J29" s="150" t="str">
        <f t="shared" si="0"/>
        <v/>
      </c>
      <c r="K29" s="150" t="str">
        <f t="shared" si="1"/>
        <v/>
      </c>
      <c r="L29" s="179"/>
      <c r="M29" s="113"/>
      <c r="N29" s="113"/>
      <c r="O29" s="238" t="s">
        <v>605</v>
      </c>
      <c r="P29" s="239" t="s">
        <v>1243</v>
      </c>
      <c r="Q29" s="239" t="s">
        <v>199</v>
      </c>
      <c r="R29" s="239" t="s">
        <v>176</v>
      </c>
      <c r="S29" s="240" t="s">
        <v>281</v>
      </c>
      <c r="T29" s="321">
        <v>127687</v>
      </c>
      <c r="U29" s="239" t="s">
        <v>175</v>
      </c>
      <c r="V29" s="239" t="s">
        <v>200</v>
      </c>
      <c r="W29" s="241" t="s">
        <v>1244</v>
      </c>
      <c r="Y29" s="217"/>
    </row>
    <row r="30" spans="1:25" s="131" customFormat="1" ht="18" customHeight="1" x14ac:dyDescent="0.35">
      <c r="A30" s="26"/>
      <c r="B30" s="165" t="s">
        <v>1173</v>
      </c>
      <c r="C30" s="166" t="s">
        <v>160</v>
      </c>
      <c r="D30" s="166" t="s">
        <v>161</v>
      </c>
      <c r="E30" s="166" t="s">
        <v>184</v>
      </c>
      <c r="F30" s="319">
        <v>5440</v>
      </c>
      <c r="G30" s="166">
        <v>0</v>
      </c>
      <c r="H30" s="166">
        <v>10497097</v>
      </c>
      <c r="I30" s="200" t="s">
        <v>214</v>
      </c>
      <c r="J30" s="150" t="str">
        <f t="shared" si="0"/>
        <v/>
      </c>
      <c r="K30" s="150" t="str">
        <f t="shared" si="1"/>
        <v/>
      </c>
      <c r="L30" s="179"/>
      <c r="M30" s="113"/>
      <c r="N30" s="113"/>
      <c r="O30" s="238"/>
      <c r="P30" s="239"/>
      <c r="Q30" s="239"/>
      <c r="R30" s="239"/>
      <c r="S30" s="240"/>
      <c r="T30" s="243"/>
      <c r="U30" s="239"/>
      <c r="V30" s="239"/>
      <c r="W30" s="241"/>
      <c r="Y30" s="217"/>
    </row>
    <row r="31" spans="1:25" s="131" customFormat="1" ht="18" customHeight="1" x14ac:dyDescent="0.3">
      <c r="A31" s="26"/>
      <c r="B31" s="165" t="s">
        <v>1176</v>
      </c>
      <c r="C31" s="166" t="s">
        <v>152</v>
      </c>
      <c r="D31" s="166" t="s">
        <v>153</v>
      </c>
      <c r="E31" s="166" t="s">
        <v>184</v>
      </c>
      <c r="F31" s="319">
        <v>15000</v>
      </c>
      <c r="G31" s="166">
        <v>0</v>
      </c>
      <c r="H31" s="166">
        <v>10502537</v>
      </c>
      <c r="I31" s="200" t="s">
        <v>33</v>
      </c>
      <c r="J31" s="150" t="str">
        <f t="shared" si="0"/>
        <v>Finiquito</v>
      </c>
      <c r="K31" s="150" t="str">
        <f t="shared" si="1"/>
        <v xml:space="preserve">Abrahan Delgado Vega                         </v>
      </c>
      <c r="L31" s="179"/>
      <c r="M31" s="113"/>
      <c r="N31" s="113"/>
      <c r="O31" s="238"/>
      <c r="P31" s="239"/>
      <c r="Q31" s="239"/>
      <c r="R31" s="239"/>
      <c r="S31" s="240"/>
      <c r="T31" s="243"/>
      <c r="U31" s="239"/>
      <c r="V31" s="239"/>
      <c r="W31" s="241"/>
      <c r="Y31" s="217"/>
    </row>
    <row r="32" spans="1:25" s="131" customFormat="1" ht="18" customHeight="1" x14ac:dyDescent="0.35">
      <c r="A32" s="26"/>
      <c r="B32" s="165" t="s">
        <v>1176</v>
      </c>
      <c r="C32" s="166" t="s">
        <v>152</v>
      </c>
      <c r="D32" s="166" t="s">
        <v>162</v>
      </c>
      <c r="E32" s="166" t="s">
        <v>1177</v>
      </c>
      <c r="F32" s="319">
        <v>3527558</v>
      </c>
      <c r="G32" s="166">
        <v>0</v>
      </c>
      <c r="H32" s="166">
        <v>10517537</v>
      </c>
      <c r="I32" s="200" t="s">
        <v>34</v>
      </c>
      <c r="J32" s="150" t="str">
        <f t="shared" si="0"/>
        <v/>
      </c>
      <c r="K32" s="150" t="str">
        <f t="shared" si="1"/>
        <v/>
      </c>
      <c r="L32" s="179"/>
      <c r="M32" s="113"/>
      <c r="N32" s="113"/>
      <c r="O32" s="238"/>
      <c r="P32" s="239"/>
      <c r="Q32" s="239"/>
      <c r="R32" s="239"/>
      <c r="S32" s="240"/>
      <c r="T32" s="243"/>
      <c r="U32" s="239"/>
      <c r="V32" s="239"/>
      <c r="W32" s="241"/>
      <c r="Y32" s="217"/>
    </row>
    <row r="33" spans="1:25" s="131" customFormat="1" ht="18" customHeight="1" x14ac:dyDescent="0.35">
      <c r="A33" s="26"/>
      <c r="B33" s="165" t="s">
        <v>1178</v>
      </c>
      <c r="C33" s="166" t="s">
        <v>160</v>
      </c>
      <c r="D33" s="166" t="s">
        <v>161</v>
      </c>
      <c r="E33" s="166" t="s">
        <v>184</v>
      </c>
      <c r="F33" s="319">
        <v>22150</v>
      </c>
      <c r="G33" s="166">
        <v>0</v>
      </c>
      <c r="H33" s="166">
        <v>14045095</v>
      </c>
      <c r="I33" s="200" t="s">
        <v>214</v>
      </c>
      <c r="J33" s="150" t="str">
        <f t="shared" si="0"/>
        <v/>
      </c>
      <c r="K33" s="150" t="str">
        <f t="shared" si="1"/>
        <v/>
      </c>
      <c r="L33" s="179"/>
      <c r="M33" s="113"/>
      <c r="N33" s="113"/>
      <c r="O33" s="238"/>
      <c r="P33" s="239"/>
      <c r="Q33" s="239"/>
      <c r="R33" s="239"/>
      <c r="S33" s="240"/>
      <c r="T33" s="243"/>
      <c r="U33" s="239"/>
      <c r="V33" s="239"/>
      <c r="W33" s="241"/>
      <c r="Y33" s="217"/>
    </row>
    <row r="34" spans="1:25" s="131" customFormat="1" ht="18" customHeight="1" x14ac:dyDescent="0.3">
      <c r="A34" s="26"/>
      <c r="B34" s="165" t="s">
        <v>1178</v>
      </c>
      <c r="C34" s="166" t="s">
        <v>1179</v>
      </c>
      <c r="D34" s="166" t="s">
        <v>1180</v>
      </c>
      <c r="E34" s="166" t="s">
        <v>184</v>
      </c>
      <c r="F34" s="319">
        <v>0</v>
      </c>
      <c r="G34" s="166">
        <v>1462500</v>
      </c>
      <c r="H34" s="166">
        <v>14067245</v>
      </c>
      <c r="I34" s="200" t="s">
        <v>165</v>
      </c>
      <c r="J34" s="150" t="str">
        <f t="shared" si="0"/>
        <v/>
      </c>
      <c r="K34" s="150" t="str">
        <f t="shared" si="1"/>
        <v/>
      </c>
      <c r="L34" s="179"/>
      <c r="M34" s="113"/>
      <c r="N34" s="113"/>
      <c r="O34" s="238"/>
      <c r="P34" s="239"/>
      <c r="Q34" s="239"/>
      <c r="R34" s="239"/>
      <c r="S34" s="240"/>
      <c r="T34" s="243"/>
      <c r="U34" s="239"/>
      <c r="V34" s="239"/>
      <c r="W34" s="241"/>
      <c r="Y34" s="217"/>
    </row>
    <row r="35" spans="1:25" s="131" customFormat="1" ht="18" customHeight="1" x14ac:dyDescent="0.35">
      <c r="A35" s="26"/>
      <c r="B35" s="165" t="s">
        <v>1178</v>
      </c>
      <c r="C35" s="166" t="s">
        <v>152</v>
      </c>
      <c r="D35" s="166" t="s">
        <v>153</v>
      </c>
      <c r="E35" s="166" t="s">
        <v>184</v>
      </c>
      <c r="F35" s="319">
        <v>144177</v>
      </c>
      <c r="G35" s="166">
        <v>0</v>
      </c>
      <c r="H35" s="166">
        <v>12604745</v>
      </c>
      <c r="I35" s="200" t="s">
        <v>214</v>
      </c>
      <c r="J35" s="150" t="str">
        <f t="shared" si="0"/>
        <v>Fact 159964</v>
      </c>
      <c r="K35" s="150" t="str">
        <f t="shared" si="1"/>
        <v xml:space="preserve">Truly Nolen Chile SA                         </v>
      </c>
      <c r="L35" s="179"/>
      <c r="M35" s="113"/>
      <c r="N35" s="113"/>
      <c r="O35" s="238"/>
      <c r="P35" s="239"/>
      <c r="Q35" s="239"/>
      <c r="R35" s="239"/>
      <c r="S35" s="240"/>
      <c r="T35" s="243"/>
      <c r="U35" s="239"/>
      <c r="V35" s="239"/>
      <c r="W35" s="241"/>
      <c r="Y35" s="217"/>
    </row>
    <row r="36" spans="1:25" s="131" customFormat="1" ht="18" customHeight="1" x14ac:dyDescent="0.35">
      <c r="A36" s="26"/>
      <c r="B36" s="165" t="s">
        <v>1181</v>
      </c>
      <c r="C36" s="166" t="s">
        <v>152</v>
      </c>
      <c r="D36" s="166" t="s">
        <v>592</v>
      </c>
      <c r="E36" s="166" t="s">
        <v>184</v>
      </c>
      <c r="F36" s="319">
        <v>343724</v>
      </c>
      <c r="G36" s="166">
        <v>0</v>
      </c>
      <c r="H36" s="166">
        <v>12748922</v>
      </c>
      <c r="I36" s="200" t="s">
        <v>126</v>
      </c>
      <c r="J36" s="150" t="str">
        <f t="shared" si="0"/>
        <v/>
      </c>
      <c r="K36" s="150" t="str">
        <f t="shared" si="1"/>
        <v/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">
      <c r="A37" s="26"/>
      <c r="B37" s="165" t="s">
        <v>1181</v>
      </c>
      <c r="C37" s="166" t="s">
        <v>152</v>
      </c>
      <c r="D37" s="166" t="s">
        <v>153</v>
      </c>
      <c r="E37" s="166" t="s">
        <v>184</v>
      </c>
      <c r="F37" s="319">
        <v>100000</v>
      </c>
      <c r="G37" s="166">
        <v>0</v>
      </c>
      <c r="H37" s="166">
        <v>13092646</v>
      </c>
      <c r="I37" s="200" t="s">
        <v>33</v>
      </c>
      <c r="J37" s="150" t="str">
        <f t="shared" si="0"/>
        <v>Sueldo Feb18</v>
      </c>
      <c r="K37" s="150" t="str">
        <f t="shared" si="1"/>
        <v xml:space="preserve">Silvia Perez Ibarra                          </v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">
      <c r="A38" s="26"/>
      <c r="B38" s="165" t="s">
        <v>1181</v>
      </c>
      <c r="C38" s="166" t="s">
        <v>152</v>
      </c>
      <c r="D38" s="166" t="s">
        <v>153</v>
      </c>
      <c r="E38" s="166" t="s">
        <v>184</v>
      </c>
      <c r="F38" s="319">
        <v>100000</v>
      </c>
      <c r="G38" s="166">
        <v>0</v>
      </c>
      <c r="H38" s="166">
        <v>13192646</v>
      </c>
      <c r="I38" s="200" t="s">
        <v>33</v>
      </c>
      <c r="J38" s="150" t="str">
        <f t="shared" si="0"/>
        <v>Sueldo Feb18</v>
      </c>
      <c r="K38" s="150" t="s">
        <v>336</v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">
      <c r="A39" s="26"/>
      <c r="B39" s="165" t="s">
        <v>1181</v>
      </c>
      <c r="C39" s="166" t="s">
        <v>152</v>
      </c>
      <c r="D39" s="166" t="s">
        <v>157</v>
      </c>
      <c r="E39" s="166" t="s">
        <v>184</v>
      </c>
      <c r="F39" s="319">
        <v>0</v>
      </c>
      <c r="G39" s="166">
        <v>5000000</v>
      </c>
      <c r="H39" s="166">
        <v>13292646</v>
      </c>
      <c r="I39" s="200" t="s">
        <v>165</v>
      </c>
      <c r="J39" s="150" t="str">
        <f t="shared" si="0"/>
        <v/>
      </c>
      <c r="K39" s="150" t="str">
        <f t="shared" si="1"/>
        <v/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">
      <c r="A40" s="26"/>
      <c r="B40" s="165" t="s">
        <v>1181</v>
      </c>
      <c r="C40" s="166" t="s">
        <v>152</v>
      </c>
      <c r="D40" s="166" t="s">
        <v>157</v>
      </c>
      <c r="E40" s="166" t="s">
        <v>184</v>
      </c>
      <c r="F40" s="319">
        <v>0</v>
      </c>
      <c r="G40" s="166">
        <v>5000000</v>
      </c>
      <c r="H40" s="166">
        <v>8292646</v>
      </c>
      <c r="I40" s="200" t="s">
        <v>165</v>
      </c>
      <c r="J40" s="150" t="str">
        <f t="shared" si="0"/>
        <v/>
      </c>
      <c r="K40" s="150" t="str">
        <f t="shared" si="1"/>
        <v/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1182</v>
      </c>
      <c r="C41" s="166" t="s">
        <v>152</v>
      </c>
      <c r="D41" s="166" t="s">
        <v>1183</v>
      </c>
      <c r="E41" s="166" t="s">
        <v>184</v>
      </c>
      <c r="F41" s="319">
        <v>80772</v>
      </c>
      <c r="G41" s="166">
        <v>0</v>
      </c>
      <c r="H41" s="166">
        <v>3292646</v>
      </c>
      <c r="I41" s="200" t="s">
        <v>164</v>
      </c>
      <c r="J41" s="150" t="str">
        <f t="shared" si="0"/>
        <v/>
      </c>
      <c r="K41" s="150" t="str">
        <f t="shared" si="1"/>
        <v/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1182</v>
      </c>
      <c r="C42" s="166" t="s">
        <v>152</v>
      </c>
      <c r="D42" s="166" t="s">
        <v>153</v>
      </c>
      <c r="E42" s="166" t="s">
        <v>184</v>
      </c>
      <c r="F42" s="319">
        <v>200000</v>
      </c>
      <c r="G42" s="166">
        <v>0</v>
      </c>
      <c r="H42" s="166">
        <v>3373418</v>
      </c>
      <c r="I42" s="200" t="s">
        <v>215</v>
      </c>
      <c r="J42" s="150" t="str">
        <f t="shared" si="0"/>
        <v>Contable Enero18</v>
      </c>
      <c r="K42" s="150" t="str">
        <f t="shared" si="1"/>
        <v xml:space="preserve">SERVICIOS CONTABLES JABR EIRL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">
      <c r="A43" s="26"/>
      <c r="B43" s="165" t="s">
        <v>1182</v>
      </c>
      <c r="C43" s="166" t="s">
        <v>152</v>
      </c>
      <c r="D43" s="166" t="s">
        <v>157</v>
      </c>
      <c r="E43" s="166" t="s">
        <v>184</v>
      </c>
      <c r="F43" s="319">
        <v>0</v>
      </c>
      <c r="G43" s="166">
        <v>146613</v>
      </c>
      <c r="H43" s="166">
        <v>3573418</v>
      </c>
      <c r="I43" s="200" t="s">
        <v>217</v>
      </c>
      <c r="J43" s="150" t="str">
        <f t="shared" si="0"/>
        <v/>
      </c>
      <c r="K43" s="150" t="str">
        <f t="shared" si="1"/>
        <v/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1184</v>
      </c>
      <c r="C44" s="166" t="s">
        <v>154</v>
      </c>
      <c r="D44" s="166" t="s">
        <v>155</v>
      </c>
      <c r="E44" s="166" t="s">
        <v>184</v>
      </c>
      <c r="F44" s="319">
        <v>11282</v>
      </c>
      <c r="G44" s="166">
        <v>0</v>
      </c>
      <c r="H44" s="166">
        <v>3426805</v>
      </c>
      <c r="I44" s="200" t="s">
        <v>212</v>
      </c>
      <c r="J44" s="150" t="str">
        <f t="shared" si="0"/>
        <v/>
      </c>
      <c r="K44" s="150" t="str">
        <f t="shared" si="1"/>
        <v/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">
      <c r="A45" s="26"/>
      <c r="B45" s="165" t="s">
        <v>1185</v>
      </c>
      <c r="C45" s="166" t="s">
        <v>152</v>
      </c>
      <c r="D45" s="166" t="s">
        <v>157</v>
      </c>
      <c r="E45" s="166" t="s">
        <v>184</v>
      </c>
      <c r="F45" s="319">
        <v>0</v>
      </c>
      <c r="G45" s="166">
        <v>1438087</v>
      </c>
      <c r="H45" s="166">
        <v>3438087</v>
      </c>
      <c r="I45" s="200" t="s">
        <v>165</v>
      </c>
      <c r="J45" s="150" t="str">
        <f t="shared" si="0"/>
        <v/>
      </c>
      <c r="K45" s="150" t="str">
        <f t="shared" si="1"/>
        <v/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">
      <c r="A46" s="26"/>
      <c r="B46" s="165" t="s">
        <v>1185</v>
      </c>
      <c r="C46" s="166" t="s">
        <v>152</v>
      </c>
      <c r="D46" s="166" t="s">
        <v>157</v>
      </c>
      <c r="E46" s="166" t="s">
        <v>184</v>
      </c>
      <c r="F46" s="319">
        <v>0</v>
      </c>
      <c r="G46" s="166">
        <v>2000000</v>
      </c>
      <c r="H46" s="166">
        <v>2000000</v>
      </c>
      <c r="I46" s="200" t="s">
        <v>165</v>
      </c>
      <c r="J46" s="150" t="str">
        <f t="shared" si="0"/>
        <v/>
      </c>
      <c r="K46" s="150" t="str">
        <f t="shared" si="1"/>
        <v/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1186</v>
      </c>
      <c r="C47" s="166" t="s">
        <v>154</v>
      </c>
      <c r="D47" s="166" t="s">
        <v>1187</v>
      </c>
      <c r="E47" s="166" t="s">
        <v>184</v>
      </c>
      <c r="F47" s="319">
        <v>0</v>
      </c>
      <c r="G47" s="166">
        <v>80327</v>
      </c>
      <c r="H47" s="166">
        <v>0</v>
      </c>
      <c r="I47" s="200" t="s">
        <v>165</v>
      </c>
      <c r="J47" s="150" t="str">
        <f t="shared" si="0"/>
        <v/>
      </c>
      <c r="K47" s="150" t="str">
        <f t="shared" si="1"/>
        <v/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1186</v>
      </c>
      <c r="C48" s="166" t="s">
        <v>158</v>
      </c>
      <c r="D48" s="166" t="s">
        <v>159</v>
      </c>
      <c r="E48" s="166" t="s">
        <v>184</v>
      </c>
      <c r="F48" s="319">
        <v>4174516</v>
      </c>
      <c r="G48" s="166">
        <v>0</v>
      </c>
      <c r="H48" s="166">
        <v>-80327</v>
      </c>
      <c r="I48" s="200" t="s">
        <v>22</v>
      </c>
      <c r="J48" s="150" t="str">
        <f t="shared" si="0"/>
        <v/>
      </c>
      <c r="K48" s="150" t="str">
        <f t="shared" si="1"/>
        <v/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">
      <c r="A49" s="26"/>
      <c r="B49" s="165" t="s">
        <v>606</v>
      </c>
      <c r="C49" s="166" t="s">
        <v>152</v>
      </c>
      <c r="D49" s="166" t="s">
        <v>157</v>
      </c>
      <c r="E49" s="166" t="s">
        <v>184</v>
      </c>
      <c r="F49" s="319">
        <v>0</v>
      </c>
      <c r="G49" s="166">
        <v>4000000</v>
      </c>
      <c r="H49" s="166">
        <v>4094189</v>
      </c>
      <c r="I49" s="200" t="s">
        <v>165</v>
      </c>
      <c r="J49" s="150" t="str">
        <f t="shared" si="0"/>
        <v/>
      </c>
      <c r="K49" s="150" t="str">
        <f t="shared" si="1"/>
        <v/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">
      <c r="A50" s="26"/>
      <c r="B50" s="165" t="s">
        <v>606</v>
      </c>
      <c r="C50" s="166" t="s">
        <v>152</v>
      </c>
      <c r="D50" s="166" t="s">
        <v>153</v>
      </c>
      <c r="E50" s="166" t="s">
        <v>184</v>
      </c>
      <c r="F50" s="319">
        <v>15000</v>
      </c>
      <c r="G50" s="166">
        <v>0</v>
      </c>
      <c r="H50" s="166">
        <v>94189</v>
      </c>
      <c r="I50" s="200" t="s">
        <v>33</v>
      </c>
      <c r="J50" s="150" t="str">
        <f t="shared" si="0"/>
        <v>Finiquito</v>
      </c>
      <c r="K50" s="150" t="str">
        <f t="shared" si="1"/>
        <v xml:space="preserve">Abrahan Delgado Vega                         </v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606</v>
      </c>
      <c r="C51" s="166" t="s">
        <v>152</v>
      </c>
      <c r="D51" s="166" t="s">
        <v>153</v>
      </c>
      <c r="E51" s="166" t="s">
        <v>184</v>
      </c>
      <c r="F51" s="319">
        <v>127687</v>
      </c>
      <c r="G51" s="166">
        <v>0</v>
      </c>
      <c r="H51" s="166">
        <v>109189</v>
      </c>
      <c r="I51" s="200" t="s">
        <v>214</v>
      </c>
      <c r="J51" s="150" t="str">
        <f t="shared" si="0"/>
        <v>factura 367491</v>
      </c>
      <c r="K51" s="150" t="str">
        <f t="shared" si="1"/>
        <v xml:space="preserve">Acepta.com                         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">
      <c r="A52" s="26"/>
      <c r="B52" s="165"/>
      <c r="C52" s="166"/>
      <c r="D52" s="166"/>
      <c r="E52" s="166"/>
      <c r="F52" s="319"/>
      <c r="G52" s="166"/>
      <c r="H52" s="166"/>
      <c r="I52" s="200"/>
      <c r="J52" s="150"/>
      <c r="K52" s="150"/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/>
      <c r="C53" s="166"/>
      <c r="D53" s="166"/>
      <c r="E53" s="166"/>
      <c r="F53" s="319"/>
      <c r="G53" s="166"/>
      <c r="H53" s="166"/>
      <c r="I53" s="200"/>
      <c r="J53" s="150" t="str">
        <f t="shared" si="0"/>
        <v/>
      </c>
      <c r="K53" s="150" t="str">
        <f t="shared" si="1"/>
        <v/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/>
      <c r="C54" s="166"/>
      <c r="D54" s="166"/>
      <c r="E54" s="166"/>
      <c r="F54" s="166"/>
      <c r="G54" s="166"/>
      <c r="H54" s="166"/>
      <c r="I54" s="200"/>
      <c r="J54" s="150" t="str">
        <f t="shared" ref="J54:J62" si="2">IFERROR(VLOOKUP(-F54,$T$3:$W$41,4,FALSE),"")</f>
        <v/>
      </c>
      <c r="K54" s="150" t="str">
        <f t="shared" ref="K54" si="3">IFERROR(VLOOKUP(-F54,$T$3:$W$41,3,FALSE),"")</f>
        <v/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/>
      <c r="C55" s="166"/>
      <c r="D55" s="166"/>
      <c r="E55" s="166"/>
      <c r="F55" s="166"/>
      <c r="G55" s="166"/>
      <c r="H55" s="166"/>
      <c r="I55" s="200"/>
      <c r="J55" s="150" t="str">
        <f t="shared" si="2"/>
        <v/>
      </c>
      <c r="K55" s="150" t="str">
        <f t="shared" ref="K55:K62" si="4">IFERROR(VLOOKUP(-F55,$T$3:$W$41,3,FALSE),"")</f>
        <v/>
      </c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 t="str">
        <f t="shared" si="2"/>
        <v/>
      </c>
      <c r="K56" s="150" t="str">
        <f t="shared" si="4"/>
        <v/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 t="str">
        <f t="shared" si="2"/>
        <v/>
      </c>
      <c r="K57" s="150" t="str">
        <f t="shared" si="4"/>
        <v/>
      </c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si="2"/>
        <v/>
      </c>
      <c r="K58" s="150" t="str">
        <f t="shared" si="4"/>
        <v/>
      </c>
      <c r="L58" s="179" t="s">
        <v>607</v>
      </c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2"/>
        <v/>
      </c>
      <c r="K59" s="150" t="str">
        <f t="shared" si="4"/>
        <v/>
      </c>
      <c r="L59" s="179"/>
      <c r="M59" s="179"/>
      <c r="N59" s="113"/>
    </row>
    <row r="60" spans="1:23" s="217" customFormat="1" ht="18" customHeight="1" x14ac:dyDescent="0.3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2"/>
        <v/>
      </c>
      <c r="K60" s="150" t="str">
        <f t="shared" si="4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2"/>
        <v/>
      </c>
      <c r="K61" s="150" t="s">
        <v>608</v>
      </c>
      <c r="L61" s="179" t="s">
        <v>609</v>
      </c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2"/>
        <v/>
      </c>
      <c r="K62" s="150" t="str">
        <f t="shared" si="4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ref="J63" si="5">IFERROR(VLOOKUP(-F63,$T$3:$W$41,4,FALSE),"")</f>
        <v/>
      </c>
      <c r="K63" s="150" t="str">
        <f t="shared" ref="K63" si="6">IFERROR(VLOOKUP(-F63,$T$3:$W$41,3,FALSE),"")</f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/>
      <c r="K64" s="150"/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7">IFERROR(VLOOKUP(-F80,$T$3:$W$50,4,FALSE),"")</f>
        <v/>
      </c>
      <c r="K80" s="150" t="str">
        <f t="shared" ref="K80" si="8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1136</v>
      </c>
      <c r="C107" s="117" t="s">
        <v>250</v>
      </c>
      <c r="D107" s="117" t="s">
        <v>278</v>
      </c>
      <c r="E107" s="117" t="s">
        <v>1137</v>
      </c>
      <c r="F107" s="253">
        <v>-2435</v>
      </c>
      <c r="G107" s="253"/>
      <c r="H107" s="253"/>
      <c r="I107" s="200"/>
      <c r="J107" s="206"/>
      <c r="K107" s="50"/>
      <c r="L107" s="120">
        <f>+F107*620</f>
        <v>-1509700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1138</v>
      </c>
      <c r="C108" s="166" t="s">
        <v>101</v>
      </c>
      <c r="D108" s="166" t="s">
        <v>277</v>
      </c>
      <c r="E108" s="166" t="s">
        <v>1139</v>
      </c>
      <c r="F108" s="253"/>
      <c r="G108" s="253">
        <v>4109</v>
      </c>
      <c r="H108" s="253"/>
      <c r="I108" s="200"/>
      <c r="J108" s="206"/>
      <c r="K108" s="150"/>
      <c r="L108" s="120">
        <f t="shared" ref="L108:L116" si="9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1140</v>
      </c>
      <c r="C109" s="166" t="s">
        <v>1141</v>
      </c>
      <c r="D109" s="166" t="s">
        <v>1142</v>
      </c>
      <c r="E109" s="166" t="s">
        <v>1143</v>
      </c>
      <c r="F109" s="253">
        <v>-2500</v>
      </c>
      <c r="G109" s="253"/>
      <c r="H109" s="253"/>
      <c r="I109" s="200"/>
      <c r="J109" s="206"/>
      <c r="K109" s="150"/>
      <c r="L109" s="120">
        <f t="shared" si="9"/>
        <v>-1550000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1144</v>
      </c>
      <c r="C110" s="166" t="s">
        <v>101</v>
      </c>
      <c r="D110" s="166" t="s">
        <v>277</v>
      </c>
      <c r="E110" s="166" t="s">
        <v>1145</v>
      </c>
      <c r="F110" s="253"/>
      <c r="G110" s="253">
        <v>1765</v>
      </c>
      <c r="H110" s="253"/>
      <c r="I110" s="200"/>
      <c r="J110" s="206"/>
      <c r="K110" s="150"/>
      <c r="L110" s="120"/>
      <c r="M110" s="44"/>
    </row>
    <row r="111" spans="1:23" s="217" customFormat="1" ht="18" customHeight="1" x14ac:dyDescent="0.35">
      <c r="B111" s="165" t="s">
        <v>1146</v>
      </c>
      <c r="C111" s="166" t="s">
        <v>101</v>
      </c>
      <c r="D111" s="166" t="s">
        <v>277</v>
      </c>
      <c r="E111" s="166" t="s">
        <v>1147</v>
      </c>
      <c r="F111" s="253"/>
      <c r="G111" s="253">
        <v>605</v>
      </c>
      <c r="H111" s="253"/>
      <c r="I111" s="200"/>
      <c r="J111" s="206"/>
      <c r="K111" s="150"/>
      <c r="L111" s="120"/>
      <c r="M111" s="44"/>
    </row>
    <row r="112" spans="1:23" s="217" customFormat="1" ht="18" customHeight="1" x14ac:dyDescent="0.35">
      <c r="B112" s="165" t="s">
        <v>1148</v>
      </c>
      <c r="C112" s="166" t="s">
        <v>101</v>
      </c>
      <c r="D112" s="166" t="s">
        <v>277</v>
      </c>
      <c r="E112" s="166" t="s">
        <v>1149</v>
      </c>
      <c r="F112" s="253"/>
      <c r="G112" s="253">
        <v>1946</v>
      </c>
      <c r="H112" s="253"/>
      <c r="I112" s="200"/>
      <c r="J112" s="206"/>
      <c r="K112" s="150"/>
      <c r="L112" s="120"/>
      <c r="M112" s="44"/>
    </row>
    <row r="113" spans="1:35" s="151" customFormat="1" ht="18" customHeight="1" x14ac:dyDescent="0.35">
      <c r="B113" s="165" t="s">
        <v>1150</v>
      </c>
      <c r="C113" s="166" t="s">
        <v>250</v>
      </c>
      <c r="D113" s="166" t="s">
        <v>278</v>
      </c>
      <c r="E113" s="166" t="s">
        <v>1151</v>
      </c>
      <c r="F113" s="253">
        <v>-5925</v>
      </c>
      <c r="G113" s="253"/>
      <c r="H113" s="253"/>
      <c r="I113" s="200"/>
      <c r="J113" s="206"/>
      <c r="K113" s="150"/>
      <c r="L113" s="120">
        <f t="shared" si="9"/>
        <v>-3673500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 t="s">
        <v>1152</v>
      </c>
      <c r="C114" s="166" t="s">
        <v>101</v>
      </c>
      <c r="D114" s="166" t="s">
        <v>277</v>
      </c>
      <c r="E114" s="166" t="s">
        <v>1153</v>
      </c>
      <c r="F114" s="253"/>
      <c r="G114" s="253">
        <v>702</v>
      </c>
      <c r="H114" s="253"/>
      <c r="I114" s="200"/>
      <c r="J114" s="206"/>
      <c r="K114" s="150"/>
      <c r="L114" s="120">
        <f t="shared" si="9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9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9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1154</v>
      </c>
      <c r="C120" s="216" t="s">
        <v>600</v>
      </c>
      <c r="D120" s="166" t="s">
        <v>1155</v>
      </c>
      <c r="E120" s="166"/>
      <c r="F120" s="166">
        <v>26072</v>
      </c>
      <c r="G120" s="166"/>
      <c r="H120" s="166"/>
      <c r="I120" s="200" t="s">
        <v>214</v>
      </c>
      <c r="J120" s="204"/>
      <c r="K120" s="150"/>
      <c r="L120" s="14"/>
      <c r="M120" s="151" t="s">
        <v>274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1156</v>
      </c>
      <c r="C121" s="216" t="s">
        <v>600</v>
      </c>
      <c r="D121" s="166" t="s">
        <v>346</v>
      </c>
      <c r="E121" s="166"/>
      <c r="F121" s="166">
        <v>72130</v>
      </c>
      <c r="G121" s="166"/>
      <c r="H121" s="166"/>
      <c r="I121" s="200" t="s">
        <v>214</v>
      </c>
      <c r="J121" s="204"/>
      <c r="K121" s="150" t="s">
        <v>611</v>
      </c>
      <c r="L121" s="14"/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1157</v>
      </c>
      <c r="C122" s="216" t="s">
        <v>600</v>
      </c>
      <c r="D122" s="166" t="s">
        <v>346</v>
      </c>
      <c r="E122" s="166"/>
      <c r="F122" s="166">
        <v>283760</v>
      </c>
      <c r="G122" s="166"/>
      <c r="H122" s="166"/>
      <c r="I122" s="200" t="s">
        <v>214</v>
      </c>
      <c r="J122" s="204"/>
      <c r="K122" s="150" t="s">
        <v>611</v>
      </c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1158</v>
      </c>
      <c r="C123" s="216" t="s">
        <v>1159</v>
      </c>
      <c r="D123" s="166" t="s">
        <v>1160</v>
      </c>
      <c r="E123" s="166"/>
      <c r="F123" s="166">
        <v>25190</v>
      </c>
      <c r="G123" s="166"/>
      <c r="H123" s="166"/>
      <c r="I123" s="200" t="s">
        <v>215</v>
      </c>
      <c r="J123" s="204"/>
      <c r="K123" s="150" t="s">
        <v>610</v>
      </c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1161</v>
      </c>
      <c r="C124" s="216" t="s">
        <v>591</v>
      </c>
      <c r="D124" s="166" t="s">
        <v>201</v>
      </c>
      <c r="E124" s="166"/>
      <c r="F124" s="166">
        <v>24168</v>
      </c>
      <c r="G124" s="166"/>
      <c r="H124" s="166"/>
      <c r="I124" s="200" t="s">
        <v>212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1162</v>
      </c>
      <c r="C125" s="216" t="s">
        <v>1163</v>
      </c>
      <c r="D125" s="166" t="s">
        <v>201</v>
      </c>
      <c r="E125" s="166"/>
      <c r="F125" s="166">
        <v>1684</v>
      </c>
      <c r="G125" s="166"/>
      <c r="H125" s="166"/>
      <c r="I125" s="200" t="s">
        <v>212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1164</v>
      </c>
      <c r="C126" s="216" t="s">
        <v>593</v>
      </c>
      <c r="D126" s="166" t="s">
        <v>201</v>
      </c>
      <c r="E126" s="166"/>
      <c r="F126" s="166">
        <v>1382</v>
      </c>
      <c r="G126" s="166"/>
      <c r="H126" s="166"/>
      <c r="I126" s="200" t="s">
        <v>212</v>
      </c>
      <c r="J126" s="204"/>
      <c r="K126" s="150"/>
      <c r="L126" s="14"/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1165</v>
      </c>
      <c r="C127" s="216" t="s">
        <v>606</v>
      </c>
      <c r="D127" s="166" t="s">
        <v>201</v>
      </c>
      <c r="E127" s="166"/>
      <c r="F127" s="166">
        <v>765</v>
      </c>
      <c r="G127" s="166"/>
      <c r="H127" s="166"/>
      <c r="I127" s="200" t="s">
        <v>212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1166</v>
      </c>
      <c r="C128" s="216" t="s">
        <v>1167</v>
      </c>
      <c r="D128" s="166" t="s">
        <v>202</v>
      </c>
      <c r="E128" s="166"/>
      <c r="F128" s="166">
        <v>1610</v>
      </c>
      <c r="G128" s="166"/>
      <c r="H128" s="166"/>
      <c r="I128" s="200" t="s">
        <v>212</v>
      </c>
      <c r="J128" s="204"/>
      <c r="K128" s="150"/>
      <c r="L128" s="14"/>
      <c r="M128" s="113" t="s">
        <v>275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1166</v>
      </c>
      <c r="C129" s="216" t="s">
        <v>1167</v>
      </c>
      <c r="D129" s="166" t="s">
        <v>201</v>
      </c>
      <c r="E129" s="166"/>
      <c r="F129" s="166">
        <v>4014</v>
      </c>
      <c r="G129" s="166"/>
      <c r="H129" s="166"/>
      <c r="I129" s="200" t="s">
        <v>212</v>
      </c>
      <c r="J129" s="204"/>
      <c r="K129" s="150" t="s">
        <v>612</v>
      </c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">
      <c r="B130" s="165"/>
      <c r="C130" s="216"/>
      <c r="D130" s="166"/>
      <c r="E130" s="166"/>
      <c r="F130" s="166"/>
      <c r="G130" s="166"/>
      <c r="H130" s="166"/>
      <c r="I130" s="200"/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/>
      <c r="C131" s="216"/>
      <c r="D131" s="166"/>
      <c r="E131" s="166"/>
      <c r="F131" s="166"/>
      <c r="G131" s="166"/>
      <c r="H131" s="166"/>
      <c r="I131" s="200"/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/>
      <c r="C132" s="216"/>
      <c r="D132" s="166"/>
      <c r="E132" s="166"/>
      <c r="F132" s="166"/>
      <c r="G132" s="166"/>
      <c r="H132" s="166"/>
      <c r="I132" s="200"/>
      <c r="J132" s="204"/>
      <c r="K132" s="150"/>
      <c r="L132" s="14"/>
      <c r="N132" s="114"/>
      <c r="O132" s="114" t="s">
        <v>308</v>
      </c>
      <c r="P132" s="114" t="s">
        <v>250</v>
      </c>
      <c r="Q132" s="114" t="s">
        <v>278</v>
      </c>
      <c r="R132" s="114" t="s">
        <v>309</v>
      </c>
      <c r="S132" s="114" t="s">
        <v>310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/>
      <c r="C133" s="216"/>
      <c r="D133" s="166"/>
      <c r="E133" s="166"/>
      <c r="F133" s="166"/>
      <c r="G133" s="166"/>
      <c r="H133" s="166"/>
      <c r="I133" s="200"/>
      <c r="J133" s="204"/>
      <c r="K133" s="150"/>
      <c r="L133" s="14"/>
      <c r="N133" s="114"/>
      <c r="O133" s="114" t="s">
        <v>311</v>
      </c>
      <c r="P133" s="114" t="s">
        <v>101</v>
      </c>
      <c r="Q133" s="114" t="s">
        <v>277</v>
      </c>
      <c r="R133" s="114" t="s">
        <v>312</v>
      </c>
      <c r="S133" s="114" t="s">
        <v>313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/>
      <c r="C134" s="216"/>
      <c r="D134" s="166"/>
      <c r="E134" s="166"/>
      <c r="F134" s="253"/>
      <c r="G134" s="166"/>
      <c r="H134" s="166"/>
      <c r="I134" s="200"/>
      <c r="J134" s="204"/>
      <c r="K134" s="150"/>
      <c r="L134" s="14"/>
      <c r="N134" s="114"/>
      <c r="O134" s="114" t="s">
        <v>314</v>
      </c>
      <c r="P134" s="114" t="s">
        <v>101</v>
      </c>
      <c r="Q134" s="114" t="s">
        <v>277</v>
      </c>
      <c r="R134" s="114" t="s">
        <v>315</v>
      </c>
      <c r="S134" s="114" t="s">
        <v>316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/>
      <c r="C135" s="216"/>
      <c r="D135" s="166"/>
      <c r="E135" s="166"/>
      <c r="F135" s="253"/>
      <c r="G135" s="166"/>
      <c r="H135" s="166"/>
      <c r="I135" s="200"/>
      <c r="J135" s="204"/>
      <c r="K135" s="150"/>
      <c r="L135" s="14"/>
      <c r="N135" s="114"/>
      <c r="O135" s="114" t="s">
        <v>317</v>
      </c>
      <c r="P135" s="114" t="s">
        <v>250</v>
      </c>
      <c r="Q135" s="114" t="s">
        <v>278</v>
      </c>
      <c r="R135" s="114" t="s">
        <v>318</v>
      </c>
      <c r="S135" s="114" t="s">
        <v>319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/>
      <c r="C136" s="216"/>
      <c r="D136" s="166"/>
      <c r="E136" s="166"/>
      <c r="F136" s="166"/>
      <c r="G136" s="166"/>
      <c r="H136" s="166"/>
      <c r="I136" s="200"/>
      <c r="J136" s="204"/>
      <c r="K136" s="150"/>
      <c r="L136" s="14"/>
      <c r="N136" s="114"/>
      <c r="O136" s="114" t="s">
        <v>320</v>
      </c>
      <c r="P136" s="114" t="s">
        <v>101</v>
      </c>
      <c r="Q136" s="114" t="s">
        <v>277</v>
      </c>
      <c r="R136" s="114" t="s">
        <v>321</v>
      </c>
      <c r="S136" s="114" t="s">
        <v>322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323</v>
      </c>
      <c r="P137" s="114" t="s">
        <v>101</v>
      </c>
      <c r="Q137" s="114" t="s">
        <v>277</v>
      </c>
      <c r="R137" s="114" t="s">
        <v>324</v>
      </c>
      <c r="S137" s="114" t="s">
        <v>325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1188</v>
      </c>
      <c r="C149" s="216" t="s">
        <v>1181</v>
      </c>
      <c r="D149" s="166" t="s">
        <v>604</v>
      </c>
      <c r="E149" s="166">
        <v>-562.55999999999995</v>
      </c>
      <c r="F149" s="170">
        <f>+E149*EERR!$D$2</f>
        <v>-335735.80799999996</v>
      </c>
      <c r="G149" s="170"/>
      <c r="H149" s="170"/>
      <c r="I149" s="200"/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1189</v>
      </c>
      <c r="C150" s="216" t="s">
        <v>1178</v>
      </c>
      <c r="D150" s="166" t="s">
        <v>251</v>
      </c>
      <c r="E150" s="166">
        <v>462.75</v>
      </c>
      <c r="F150" s="170">
        <f>+E150*EERR!$D$2</f>
        <v>276169.19999999995</v>
      </c>
      <c r="G150" s="170"/>
      <c r="H150" s="170"/>
      <c r="I150" s="200"/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1190</v>
      </c>
      <c r="C151" s="216" t="s">
        <v>1191</v>
      </c>
      <c r="D151" s="166" t="s">
        <v>252</v>
      </c>
      <c r="E151" s="166">
        <v>90</v>
      </c>
      <c r="F151" s="170">
        <f>+E151*EERR!$D$2</f>
        <v>53711.999999999993</v>
      </c>
      <c r="G151" s="170"/>
      <c r="H151" s="170"/>
      <c r="I151" s="200"/>
      <c r="J151" s="208"/>
      <c r="K151" s="150"/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1192</v>
      </c>
      <c r="C152" s="216" t="s">
        <v>1193</v>
      </c>
      <c r="D152" s="166" t="s">
        <v>392</v>
      </c>
      <c r="E152" s="166">
        <v>206.2</v>
      </c>
      <c r="F152" s="170">
        <f>+E152*EERR!$D$2</f>
        <v>123060.15999999999</v>
      </c>
      <c r="G152" s="170"/>
      <c r="H152" s="170"/>
      <c r="I152" s="200"/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 t="s">
        <v>1194</v>
      </c>
      <c r="C153" s="216" t="s">
        <v>1195</v>
      </c>
      <c r="D153" s="166" t="s">
        <v>270</v>
      </c>
      <c r="E153" s="166">
        <v>50</v>
      </c>
      <c r="F153" s="170">
        <f>+E153*EERR!$D$2</f>
        <v>29839.999999999996</v>
      </c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22349310.552000001</v>
      </c>
      <c r="G159" s="178">
        <f>SUBTOTAL(9,G3:G156)</f>
        <v>22661115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7" si="10">SUMIF($I$3:$I$156,I161,$F$3:$F$156)-SUMIF($I$3:$I$156,I161,$G$3:$G$156)</f>
        <v>44905</v>
      </c>
      <c r="I161" s="200" t="s">
        <v>212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10"/>
        <v>3527558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10"/>
        <v>343724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10"/>
        <v>0</v>
      </c>
      <c r="I164" s="201" t="s">
        <v>211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10"/>
        <v>602810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10"/>
        <v>0</v>
      </c>
      <c r="I166" s="202" t="s">
        <v>213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10"/>
        <v>225190</v>
      </c>
      <c r="I167" s="200" t="s">
        <v>215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10"/>
        <v>681416</v>
      </c>
      <c r="I168" s="200" t="s">
        <v>214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10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10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10"/>
        <v>4174516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10"/>
        <v>2211084</v>
      </c>
      <c r="I172" s="201" t="s">
        <v>216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10"/>
        <v>9880375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10"/>
        <v>80772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10"/>
        <v>-22428375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10"/>
        <v>-223613</v>
      </c>
      <c r="I176" s="200" t="s">
        <v>217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 t="shared" si="10"/>
        <v>0</v>
      </c>
      <c r="I177" s="200" t="s">
        <v>218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-879638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autoFilter ref="O2:W29"/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Clases de Costos">
          <x14:formula1>
            <xm:f>'1'!$A$2:$A$18</xm:f>
          </x14:formula1>
          <xm:sqref>I80:I105 I107:I118 I149:I156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7" zoomScale="85" zoomScaleNormal="85" workbookViewId="0">
      <selection activeCell="B15" sqref="B15:G16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1031460</v>
      </c>
      <c r="J1" t="s">
        <v>42</v>
      </c>
    </row>
    <row r="2" spans="1:17" ht="18" x14ac:dyDescent="0.35">
      <c r="A2" s="65">
        <v>43133</v>
      </c>
      <c r="B2" s="66" t="s">
        <v>237</v>
      </c>
      <c r="C2" s="231">
        <v>39211832</v>
      </c>
      <c r="D2" s="67">
        <v>4000000</v>
      </c>
      <c r="E2" s="67">
        <v>0</v>
      </c>
      <c r="F2" s="232">
        <v>1031460</v>
      </c>
      <c r="G2" s="200" t="s">
        <v>164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43137</v>
      </c>
      <c r="B3" s="66" t="s">
        <v>235</v>
      </c>
      <c r="C3" s="231">
        <v>0</v>
      </c>
      <c r="D3" s="67">
        <v>1690</v>
      </c>
      <c r="E3" s="67">
        <v>0</v>
      </c>
      <c r="F3" s="232">
        <v>1029770</v>
      </c>
      <c r="G3" s="200" t="s">
        <v>212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43137</v>
      </c>
      <c r="B4" s="66" t="s">
        <v>236</v>
      </c>
      <c r="C4" s="231">
        <v>0</v>
      </c>
      <c r="D4" s="67">
        <v>321</v>
      </c>
      <c r="E4" s="67">
        <v>0</v>
      </c>
      <c r="F4" s="232">
        <v>1029449</v>
      </c>
      <c r="G4" s="200" t="s">
        <v>212</v>
      </c>
      <c r="J4" s="139"/>
      <c r="K4" s="137"/>
      <c r="L4" s="137"/>
      <c r="M4" s="137"/>
      <c r="N4" s="137"/>
      <c r="O4" s="137"/>
      <c r="P4" s="138"/>
    </row>
    <row r="5" spans="1:17" ht="18.75" x14ac:dyDescent="0.3">
      <c r="A5" s="65">
        <v>43138</v>
      </c>
      <c r="B5" s="66" t="s">
        <v>234</v>
      </c>
      <c r="C5" s="231">
        <v>0</v>
      </c>
      <c r="D5" s="67">
        <v>0</v>
      </c>
      <c r="E5" s="67">
        <v>1370169</v>
      </c>
      <c r="F5" s="232">
        <v>2399618</v>
      </c>
      <c r="G5" s="200" t="s">
        <v>165</v>
      </c>
      <c r="J5" s="139"/>
      <c r="K5" s="137"/>
      <c r="L5" s="137"/>
      <c r="M5" s="137"/>
      <c r="N5" s="137"/>
      <c r="O5" s="137"/>
      <c r="P5" s="138"/>
    </row>
    <row r="6" spans="1:17" ht="18.75" x14ac:dyDescent="0.3">
      <c r="A6" s="65">
        <v>43138</v>
      </c>
      <c r="B6" s="66" t="s">
        <v>237</v>
      </c>
      <c r="C6" s="231">
        <v>39667272</v>
      </c>
      <c r="D6" s="67">
        <v>2000000</v>
      </c>
      <c r="E6" s="67">
        <v>0</v>
      </c>
      <c r="F6" s="232">
        <v>399618</v>
      </c>
      <c r="G6" s="200" t="s">
        <v>164</v>
      </c>
      <c r="J6" s="139"/>
      <c r="K6" s="137"/>
      <c r="L6" s="137"/>
      <c r="M6" s="137"/>
      <c r="N6" s="137"/>
      <c r="O6" s="137"/>
      <c r="P6" s="138"/>
    </row>
    <row r="7" spans="1:17" ht="18.75" x14ac:dyDescent="0.3">
      <c r="A7" s="65">
        <v>43138</v>
      </c>
      <c r="B7" s="66" t="s">
        <v>1247</v>
      </c>
      <c r="C7" s="231">
        <v>39686306</v>
      </c>
      <c r="D7" s="67">
        <v>0</v>
      </c>
      <c r="E7" s="67">
        <v>12457200</v>
      </c>
      <c r="F7" s="232">
        <v>12856818</v>
      </c>
      <c r="G7" s="200" t="s">
        <v>165</v>
      </c>
      <c r="J7" s="139"/>
      <c r="K7" s="137"/>
      <c r="L7" s="137"/>
      <c r="M7" s="137"/>
      <c r="N7" s="137"/>
      <c r="O7" s="137"/>
      <c r="P7" s="138"/>
      <c r="Q7" s="142"/>
    </row>
    <row r="8" spans="1:17" ht="18.75" x14ac:dyDescent="0.3">
      <c r="A8" s="65">
        <v>43139</v>
      </c>
      <c r="B8" s="66" t="s">
        <v>234</v>
      </c>
      <c r="C8" s="231">
        <v>0</v>
      </c>
      <c r="D8" s="67">
        <v>0</v>
      </c>
      <c r="E8" s="67">
        <v>136330</v>
      </c>
      <c r="F8" s="232">
        <v>12993148</v>
      </c>
      <c r="G8" s="200" t="s">
        <v>165</v>
      </c>
      <c r="J8" s="139"/>
      <c r="K8" s="137"/>
      <c r="L8" s="137"/>
      <c r="M8" s="137"/>
      <c r="N8" s="137"/>
      <c r="O8" s="137"/>
      <c r="P8" s="138"/>
    </row>
    <row r="9" spans="1:17" ht="18.75" x14ac:dyDescent="0.3">
      <c r="A9" s="65">
        <v>43139</v>
      </c>
      <c r="B9" s="66" t="s">
        <v>393</v>
      </c>
      <c r="C9" s="231">
        <v>0</v>
      </c>
      <c r="D9" s="67">
        <v>0</v>
      </c>
      <c r="E9" s="67">
        <v>288987</v>
      </c>
      <c r="F9" s="232">
        <v>13282135</v>
      </c>
      <c r="G9" s="200" t="s">
        <v>165</v>
      </c>
      <c r="J9" s="139"/>
      <c r="K9" s="137"/>
      <c r="L9" s="137"/>
      <c r="M9" s="137"/>
      <c r="N9" s="137"/>
      <c r="O9" s="137"/>
      <c r="P9" s="138"/>
      <c r="Q9" s="142"/>
    </row>
    <row r="10" spans="1:17" ht="18.75" x14ac:dyDescent="0.3">
      <c r="A10" s="65">
        <v>43140</v>
      </c>
      <c r="B10" s="66" t="s">
        <v>234</v>
      </c>
      <c r="C10" s="231">
        <v>0</v>
      </c>
      <c r="D10" s="67">
        <v>0</v>
      </c>
      <c r="E10" s="67">
        <v>521800</v>
      </c>
      <c r="F10" s="232">
        <v>13803935</v>
      </c>
      <c r="G10" s="200" t="s">
        <v>165</v>
      </c>
      <c r="J10" s="139"/>
      <c r="K10" s="137"/>
      <c r="L10" s="137"/>
      <c r="M10" s="137"/>
      <c r="N10" s="137"/>
      <c r="O10" s="137"/>
      <c r="P10" s="138"/>
    </row>
    <row r="11" spans="1:17" ht="18.75" x14ac:dyDescent="0.3">
      <c r="A11" s="65">
        <v>43143</v>
      </c>
      <c r="B11" s="66" t="s">
        <v>190</v>
      </c>
      <c r="C11" s="231">
        <v>39875978</v>
      </c>
      <c r="D11" s="67">
        <v>1352242</v>
      </c>
      <c r="E11" s="67">
        <v>0</v>
      </c>
      <c r="F11" s="232">
        <v>12451693</v>
      </c>
      <c r="G11" s="200" t="s">
        <v>33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43143</v>
      </c>
      <c r="B12" s="66" t="s">
        <v>1248</v>
      </c>
      <c r="C12" s="231">
        <v>39933577</v>
      </c>
      <c r="D12" s="67">
        <v>25117</v>
      </c>
      <c r="E12" s="67">
        <v>0</v>
      </c>
      <c r="F12" s="232">
        <v>12426576</v>
      </c>
      <c r="G12" s="200" t="s">
        <v>212</v>
      </c>
      <c r="H12" s="218"/>
      <c r="J12" s="139"/>
      <c r="K12" s="137"/>
      <c r="L12" s="137"/>
      <c r="M12" s="137"/>
      <c r="N12" s="137"/>
      <c r="O12" s="137"/>
      <c r="P12" s="138"/>
    </row>
    <row r="13" spans="1:17" ht="18.75" x14ac:dyDescent="0.3">
      <c r="A13" s="65">
        <v>43143</v>
      </c>
      <c r="B13" s="66" t="s">
        <v>335</v>
      </c>
      <c r="C13" s="231">
        <v>0</v>
      </c>
      <c r="D13" s="67">
        <v>906768</v>
      </c>
      <c r="E13" s="67">
        <v>0</v>
      </c>
      <c r="F13" s="232">
        <v>11519808</v>
      </c>
      <c r="G13" s="200" t="s">
        <v>22</v>
      </c>
      <c r="H13" s="218"/>
      <c r="J13" s="139"/>
      <c r="K13" s="137"/>
      <c r="L13" s="137"/>
      <c r="M13" s="137"/>
      <c r="N13" s="137"/>
      <c r="O13" s="137"/>
      <c r="P13" s="138"/>
    </row>
    <row r="14" spans="1:17" ht="18.75" x14ac:dyDescent="0.3">
      <c r="A14" s="65">
        <v>43145</v>
      </c>
      <c r="B14" s="66" t="s">
        <v>234</v>
      </c>
      <c r="C14" s="231">
        <v>0</v>
      </c>
      <c r="D14" s="67">
        <v>0</v>
      </c>
      <c r="E14" s="67">
        <v>1117603</v>
      </c>
      <c r="F14" s="232">
        <v>12637411</v>
      </c>
      <c r="G14" s="200" t="s">
        <v>165</v>
      </c>
      <c r="H14" s="148"/>
      <c r="J14" s="139"/>
      <c r="K14" s="137"/>
      <c r="L14" s="137"/>
      <c r="M14" s="137"/>
      <c r="N14" s="137"/>
      <c r="O14" s="137"/>
      <c r="P14" s="138"/>
    </row>
    <row r="15" spans="1:17" ht="18.75" x14ac:dyDescent="0.3">
      <c r="A15" s="65">
        <v>43145</v>
      </c>
      <c r="B15" s="66" t="s">
        <v>237</v>
      </c>
      <c r="C15" s="231">
        <v>40077739</v>
      </c>
      <c r="D15" s="67">
        <v>5000000</v>
      </c>
      <c r="E15" s="67">
        <v>0</v>
      </c>
      <c r="F15" s="232">
        <v>7637411</v>
      </c>
      <c r="G15" s="200" t="s">
        <v>164</v>
      </c>
      <c r="H15" s="171"/>
      <c r="J15" s="139"/>
      <c r="K15" s="137"/>
      <c r="L15" s="137"/>
      <c r="M15" s="137"/>
      <c r="N15" s="137"/>
      <c r="O15" s="137"/>
      <c r="P15" s="138"/>
    </row>
    <row r="16" spans="1:17" ht="18.75" x14ac:dyDescent="0.3">
      <c r="A16" s="65">
        <v>43145</v>
      </c>
      <c r="B16" s="66" t="s">
        <v>237</v>
      </c>
      <c r="C16" s="231">
        <v>40077799</v>
      </c>
      <c r="D16" s="67">
        <v>5000000</v>
      </c>
      <c r="E16" s="67">
        <v>0</v>
      </c>
      <c r="F16" s="232">
        <v>2637411</v>
      </c>
      <c r="G16" s="200" t="s">
        <v>164</v>
      </c>
      <c r="I16" s="218"/>
      <c r="J16" s="139"/>
      <c r="K16" s="137"/>
      <c r="L16" s="137"/>
      <c r="M16" s="137"/>
      <c r="N16" s="137"/>
      <c r="O16" s="137"/>
      <c r="P16" s="138"/>
    </row>
    <row r="17" spans="1:16" ht="18.75" x14ac:dyDescent="0.3">
      <c r="A17" s="65">
        <v>43146</v>
      </c>
      <c r="B17" s="66" t="s">
        <v>234</v>
      </c>
      <c r="C17" s="231">
        <v>0</v>
      </c>
      <c r="D17" s="67">
        <v>0</v>
      </c>
      <c r="E17" s="67">
        <v>706082</v>
      </c>
      <c r="F17" s="232">
        <v>3343493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43146</v>
      </c>
      <c r="B18" s="66" t="s">
        <v>1249</v>
      </c>
      <c r="C18" s="231">
        <v>40159459</v>
      </c>
      <c r="D18" s="67">
        <v>24851</v>
      </c>
      <c r="E18" s="67">
        <v>0</v>
      </c>
      <c r="F18" s="232">
        <v>3318642</v>
      </c>
      <c r="G18" s="200" t="s">
        <v>212</v>
      </c>
      <c r="H18" s="171"/>
      <c r="J18" s="139"/>
      <c r="K18" s="137"/>
      <c r="L18" s="137"/>
      <c r="M18" s="137"/>
      <c r="N18" s="137"/>
      <c r="O18" s="137"/>
      <c r="P18" s="138"/>
    </row>
    <row r="19" spans="1:16" ht="18.75" x14ac:dyDescent="0.3">
      <c r="A19" s="65">
        <v>43147</v>
      </c>
      <c r="B19" s="66" t="s">
        <v>234</v>
      </c>
      <c r="C19" s="231">
        <v>0</v>
      </c>
      <c r="D19" s="67">
        <v>0</v>
      </c>
      <c r="E19" s="67">
        <v>142607</v>
      </c>
      <c r="F19" s="232">
        <v>3461249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.75" x14ac:dyDescent="0.3">
      <c r="A20" s="65">
        <v>43151</v>
      </c>
      <c r="B20" s="66" t="s">
        <v>259</v>
      </c>
      <c r="C20" s="231">
        <v>40296728</v>
      </c>
      <c r="D20" s="67">
        <v>2406390</v>
      </c>
      <c r="E20" s="67">
        <v>0</v>
      </c>
      <c r="F20" s="232">
        <v>1054859</v>
      </c>
      <c r="G20" s="200" t="s">
        <v>27</v>
      </c>
      <c r="H20" s="218"/>
      <c r="J20" s="139"/>
      <c r="K20" s="137"/>
      <c r="L20" s="137"/>
      <c r="M20" s="137"/>
      <c r="N20" s="137"/>
      <c r="O20" s="137"/>
      <c r="P20" s="138"/>
    </row>
    <row r="21" spans="1:16" ht="18.75" x14ac:dyDescent="0.3">
      <c r="A21" s="65">
        <v>43151</v>
      </c>
      <c r="B21" s="66" t="s">
        <v>234</v>
      </c>
      <c r="C21" s="231">
        <v>0</v>
      </c>
      <c r="D21" s="67">
        <v>0</v>
      </c>
      <c r="E21" s="67">
        <v>1214757</v>
      </c>
      <c r="F21" s="232">
        <v>2269616</v>
      </c>
      <c r="G21" s="200" t="s">
        <v>165</v>
      </c>
      <c r="J21" s="139"/>
      <c r="K21" s="137"/>
      <c r="L21" s="137"/>
      <c r="M21" s="137"/>
      <c r="N21" s="137"/>
      <c r="O21" s="137"/>
      <c r="P21" s="138"/>
    </row>
    <row r="22" spans="1:16" ht="18.75" x14ac:dyDescent="0.3">
      <c r="A22" s="65">
        <v>43152</v>
      </c>
      <c r="B22" s="66" t="s">
        <v>234</v>
      </c>
      <c r="C22" s="231">
        <v>0</v>
      </c>
      <c r="D22" s="67">
        <v>0</v>
      </c>
      <c r="E22" s="67">
        <v>296907</v>
      </c>
      <c r="F22" s="232">
        <v>2566523</v>
      </c>
      <c r="G22" s="200" t="s">
        <v>165</v>
      </c>
    </row>
    <row r="23" spans="1:16" ht="18.75" x14ac:dyDescent="0.3">
      <c r="A23" s="65">
        <v>43153</v>
      </c>
      <c r="B23" s="66" t="s">
        <v>234</v>
      </c>
      <c r="C23" s="231">
        <v>0</v>
      </c>
      <c r="D23" s="67">
        <v>0</v>
      </c>
      <c r="E23" s="67">
        <v>707097</v>
      </c>
      <c r="F23" s="232">
        <v>3273620</v>
      </c>
      <c r="G23" s="200" t="s">
        <v>165</v>
      </c>
      <c r="H23" s="171"/>
    </row>
    <row r="24" spans="1:16" ht="18.75" x14ac:dyDescent="0.3">
      <c r="A24" s="65">
        <v>43157</v>
      </c>
      <c r="B24" s="66" t="s">
        <v>234</v>
      </c>
      <c r="C24" s="231">
        <v>0</v>
      </c>
      <c r="D24" s="67">
        <v>0</v>
      </c>
      <c r="E24" s="67">
        <v>792638</v>
      </c>
      <c r="F24" s="232">
        <v>4066258</v>
      </c>
      <c r="G24" s="200" t="s">
        <v>165</v>
      </c>
      <c r="H24" s="218"/>
    </row>
    <row r="25" spans="1:16" ht="18" x14ac:dyDescent="0.35">
      <c r="A25" s="322">
        <v>43157</v>
      </c>
      <c r="B25" s="323" t="s">
        <v>1250</v>
      </c>
      <c r="C25" s="324">
        <v>0</v>
      </c>
      <c r="D25" s="325">
        <v>40371</v>
      </c>
      <c r="E25" s="325">
        <v>0</v>
      </c>
      <c r="F25" s="326">
        <v>4025887</v>
      </c>
      <c r="G25" s="327" t="s">
        <v>212</v>
      </c>
      <c r="H25" s="218"/>
    </row>
    <row r="26" spans="1:16" ht="18" x14ac:dyDescent="0.35">
      <c r="A26" s="65">
        <v>43157</v>
      </c>
      <c r="B26" s="66" t="s">
        <v>236</v>
      </c>
      <c r="C26" s="231">
        <v>0</v>
      </c>
      <c r="D26" s="67">
        <v>7670</v>
      </c>
      <c r="E26" s="67">
        <v>0</v>
      </c>
      <c r="F26" s="232">
        <v>4018217</v>
      </c>
      <c r="G26" s="200" t="s">
        <v>212</v>
      </c>
      <c r="H26" s="218"/>
    </row>
    <row r="27" spans="1:16" ht="18.75" x14ac:dyDescent="0.3">
      <c r="A27" s="65">
        <v>43159</v>
      </c>
      <c r="B27" s="66" t="s">
        <v>234</v>
      </c>
      <c r="C27" s="231">
        <v>0</v>
      </c>
      <c r="D27" s="67">
        <v>0</v>
      </c>
      <c r="E27" s="67">
        <v>127795</v>
      </c>
      <c r="F27" s="232">
        <v>4146012</v>
      </c>
      <c r="G27" s="200" t="s">
        <v>165</v>
      </c>
      <c r="H27" s="218"/>
    </row>
    <row r="28" spans="1:16" ht="18.75" x14ac:dyDescent="0.3">
      <c r="A28" s="65">
        <v>43159</v>
      </c>
      <c r="B28" s="66" t="s">
        <v>1251</v>
      </c>
      <c r="C28" s="231">
        <v>40896405</v>
      </c>
      <c r="D28" s="67">
        <v>0</v>
      </c>
      <c r="E28" s="67">
        <v>9456000</v>
      </c>
      <c r="F28" s="232">
        <v>13602012</v>
      </c>
      <c r="G28" s="200" t="s">
        <v>165</v>
      </c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7" s="128" customFormat="1" x14ac:dyDescent="0.3">
      <c r="A49" s="65"/>
      <c r="B49" s="66"/>
      <c r="C49" s="66"/>
      <c r="D49" s="67"/>
      <c r="E49" s="67"/>
      <c r="F49" s="62"/>
      <c r="G49" s="49"/>
    </row>
    <row r="50" spans="1:7" s="128" customFormat="1" x14ac:dyDescent="0.3">
      <c r="A50" s="65"/>
      <c r="B50" s="66"/>
      <c r="C50" s="66"/>
      <c r="D50" s="67"/>
      <c r="E50" s="67"/>
      <c r="F50" s="62"/>
      <c r="G50" s="49"/>
    </row>
    <row r="51" spans="1:7" x14ac:dyDescent="0.3">
      <c r="A51" s="65"/>
      <c r="B51" s="66"/>
      <c r="C51" s="66"/>
      <c r="D51" s="67"/>
      <c r="E51" s="67"/>
      <c r="F51" s="62"/>
      <c r="G51" s="64"/>
    </row>
    <row r="52" spans="1:7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7" ht="15" customHeight="1" x14ac:dyDescent="0.35">
      <c r="A53" s="65">
        <v>43133</v>
      </c>
      <c r="B53" s="66" t="s">
        <v>1252</v>
      </c>
      <c r="C53" s="66">
        <v>39378118</v>
      </c>
      <c r="D53" s="67">
        <v>0</v>
      </c>
      <c r="E53" s="67">
        <v>13304.77</v>
      </c>
      <c r="F53" s="156">
        <v>21168.11</v>
      </c>
      <c r="G53" s="200" t="s">
        <v>165</v>
      </c>
    </row>
    <row r="54" spans="1:7" ht="15" customHeight="1" x14ac:dyDescent="0.35">
      <c r="A54" s="65">
        <v>43138</v>
      </c>
      <c r="B54" s="66" t="s">
        <v>1253</v>
      </c>
      <c r="C54" s="66">
        <v>39686293</v>
      </c>
      <c r="D54" s="67">
        <v>21000</v>
      </c>
      <c r="E54" s="67">
        <v>0</v>
      </c>
      <c r="F54" s="156">
        <v>168.11</v>
      </c>
      <c r="G54" s="200" t="s">
        <v>164</v>
      </c>
    </row>
    <row r="55" spans="1:7" ht="15" customHeight="1" x14ac:dyDescent="0.35">
      <c r="A55" s="65">
        <v>43140</v>
      </c>
      <c r="B55" s="66" t="s">
        <v>1254</v>
      </c>
      <c r="C55" s="66">
        <v>39834642</v>
      </c>
      <c r="D55" s="67">
        <v>0</v>
      </c>
      <c r="E55" s="67">
        <v>7020.07</v>
      </c>
      <c r="F55" s="156">
        <v>7188.18</v>
      </c>
      <c r="G55" s="200" t="s">
        <v>165</v>
      </c>
    </row>
    <row r="56" spans="1:7" ht="15" customHeight="1" x14ac:dyDescent="0.35">
      <c r="A56" s="65">
        <v>43143</v>
      </c>
      <c r="B56" s="66" t="s">
        <v>1248</v>
      </c>
      <c r="C56" s="66">
        <v>39933576</v>
      </c>
      <c r="D56" s="67">
        <v>0</v>
      </c>
      <c r="E56" s="67">
        <v>670.58</v>
      </c>
      <c r="F56" s="156">
        <v>7858.76</v>
      </c>
      <c r="G56" s="200" t="s">
        <v>165</v>
      </c>
    </row>
    <row r="57" spans="1:7" ht="15" customHeight="1" x14ac:dyDescent="0.35">
      <c r="A57" s="65">
        <v>43146</v>
      </c>
      <c r="B57" s="66" t="s">
        <v>1249</v>
      </c>
      <c r="C57" s="66">
        <v>40159458</v>
      </c>
      <c r="D57" s="67">
        <v>0</v>
      </c>
      <c r="E57" s="67">
        <v>4255.76</v>
      </c>
      <c r="F57" s="156">
        <v>12114.52</v>
      </c>
      <c r="G57" s="200" t="s">
        <v>165</v>
      </c>
    </row>
    <row r="58" spans="1:7" ht="15" customHeight="1" x14ac:dyDescent="0.35">
      <c r="A58" s="65">
        <v>43150</v>
      </c>
      <c r="B58" s="66" t="s">
        <v>1255</v>
      </c>
      <c r="C58" s="66">
        <v>40298936</v>
      </c>
      <c r="D58" s="67">
        <v>0</v>
      </c>
      <c r="E58" s="67">
        <v>6927.8</v>
      </c>
      <c r="F58" s="156">
        <v>19042.32</v>
      </c>
      <c r="G58" s="200" t="s">
        <v>165</v>
      </c>
    </row>
    <row r="59" spans="1:7" ht="15" customHeight="1" x14ac:dyDescent="0.35">
      <c r="A59" s="65">
        <v>43152</v>
      </c>
      <c r="B59" s="66" t="s">
        <v>1256</v>
      </c>
      <c r="C59" s="66">
        <v>40405972</v>
      </c>
      <c r="D59" s="67">
        <v>0</v>
      </c>
      <c r="E59" s="67">
        <v>10565.65</v>
      </c>
      <c r="F59" s="156">
        <v>29607.97</v>
      </c>
      <c r="G59" s="200" t="s">
        <v>165</v>
      </c>
    </row>
    <row r="60" spans="1:7" ht="15" customHeight="1" x14ac:dyDescent="0.35">
      <c r="A60" s="65">
        <v>43157</v>
      </c>
      <c r="B60" s="66" t="s">
        <v>1257</v>
      </c>
      <c r="C60" s="66">
        <v>40673327</v>
      </c>
      <c r="D60" s="67">
        <v>0</v>
      </c>
      <c r="E60" s="67">
        <v>7068.04</v>
      </c>
      <c r="F60" s="62">
        <v>36676.01</v>
      </c>
      <c r="G60" s="200" t="s">
        <v>165</v>
      </c>
    </row>
    <row r="61" spans="1:7" ht="15" customHeight="1" x14ac:dyDescent="0.35">
      <c r="A61" s="92">
        <v>43159</v>
      </c>
      <c r="B61" s="93" t="s">
        <v>1258</v>
      </c>
      <c r="C61" s="93">
        <v>40896370</v>
      </c>
      <c r="D61" s="94">
        <v>16000</v>
      </c>
      <c r="E61" s="94">
        <v>0</v>
      </c>
      <c r="F61" s="94">
        <v>20676.009999999998</v>
      </c>
      <c r="G61" s="200" t="s">
        <v>164</v>
      </c>
    </row>
    <row r="64" spans="1:7" x14ac:dyDescent="0.3">
      <c r="D64" s="1">
        <f>SUBTOTAL(9,D2:D61)</f>
        <v>20802420</v>
      </c>
      <c r="E64" s="1">
        <f>SUBTOTAL(9,E2:E61)</f>
        <v>29385784.669999998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100020</v>
      </c>
      <c r="G67" s="200" t="s">
        <v>212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211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213</v>
      </c>
      <c r="H72" s="98"/>
    </row>
    <row r="73" spans="1:10" ht="18" x14ac:dyDescent="0.35">
      <c r="F73" s="62">
        <f t="shared" si="0"/>
        <v>0</v>
      </c>
      <c r="G73" s="200" t="s">
        <v>215</v>
      </c>
    </row>
    <row r="74" spans="1:10" ht="18" x14ac:dyDescent="0.35">
      <c r="F74" s="62">
        <f t="shared" si="0"/>
        <v>0</v>
      </c>
      <c r="G74" s="200" t="s">
        <v>214</v>
      </c>
    </row>
    <row r="75" spans="1:10" ht="18" x14ac:dyDescent="0.35">
      <c r="F75" s="62">
        <f t="shared" si="0"/>
        <v>2406390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216</v>
      </c>
      <c r="I78" s="128"/>
    </row>
    <row r="79" spans="1:10" ht="18" x14ac:dyDescent="0.35">
      <c r="F79" s="62">
        <f t="shared" si="0"/>
        <v>1352242</v>
      </c>
      <c r="G79" s="200" t="s">
        <v>33</v>
      </c>
      <c r="I79" s="128"/>
      <c r="J79" s="128"/>
    </row>
    <row r="80" spans="1:10" ht="18" x14ac:dyDescent="0.35">
      <c r="F80" s="62">
        <f t="shared" si="0"/>
        <v>16037000</v>
      </c>
      <c r="G80" s="201" t="s">
        <v>164</v>
      </c>
      <c r="I80" s="128"/>
      <c r="J80" s="128"/>
    </row>
    <row r="81" spans="4:10" ht="18" x14ac:dyDescent="0.35">
      <c r="F81" s="62">
        <f t="shared" si="0"/>
        <v>-29385784.669999998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217</v>
      </c>
      <c r="I82" s="128"/>
      <c r="J82" s="128"/>
    </row>
    <row r="83" spans="4:10" ht="18" x14ac:dyDescent="0.35">
      <c r="F83" s="62">
        <f t="shared" si="0"/>
        <v>0</v>
      </c>
      <c r="G83" s="200" t="s">
        <v>218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243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zoomScale="70" zoomScaleNormal="70" workbookViewId="0">
      <selection activeCell="J165" sqref="J165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193</v>
      </c>
      <c r="D1" s="47" t="s">
        <v>194</v>
      </c>
      <c r="E1" s="47" t="s">
        <v>195</v>
      </c>
      <c r="F1" s="47" t="s">
        <v>196</v>
      </c>
      <c r="G1" s="88" t="s">
        <v>99</v>
      </c>
      <c r="H1" s="47" t="s">
        <v>197</v>
      </c>
      <c r="I1" s="47" t="s">
        <v>198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1186</v>
      </c>
      <c r="B2" s="183" t="s">
        <v>160</v>
      </c>
      <c r="C2" s="183" t="s">
        <v>161</v>
      </c>
      <c r="D2" s="183" t="s">
        <v>184</v>
      </c>
      <c r="E2" s="184">
        <v>22590</v>
      </c>
      <c r="F2" s="183">
        <v>0</v>
      </c>
      <c r="G2" s="228" t="s">
        <v>1259</v>
      </c>
      <c r="H2" s="228">
        <v>66907558</v>
      </c>
      <c r="I2" s="228" t="s">
        <v>227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1186</v>
      </c>
      <c r="B3" s="183" t="s">
        <v>160</v>
      </c>
      <c r="C3" s="183" t="s">
        <v>161</v>
      </c>
      <c r="D3" s="184" t="s">
        <v>184</v>
      </c>
      <c r="E3" s="184">
        <v>13960</v>
      </c>
      <c r="F3" s="183">
        <v>0</v>
      </c>
      <c r="G3" s="228" t="s">
        <v>1259</v>
      </c>
      <c r="H3" s="228">
        <v>66907559</v>
      </c>
      <c r="I3" s="228" t="s">
        <v>65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1186</v>
      </c>
      <c r="B4" s="183" t="s">
        <v>160</v>
      </c>
      <c r="C4" s="183" t="s">
        <v>161</v>
      </c>
      <c r="D4" s="184" t="s">
        <v>184</v>
      </c>
      <c r="E4" s="184">
        <v>33750</v>
      </c>
      <c r="F4" s="183">
        <v>0</v>
      </c>
      <c r="G4" s="228" t="s">
        <v>1259</v>
      </c>
      <c r="H4" s="228">
        <v>66907557</v>
      </c>
      <c r="I4" s="228" t="s">
        <v>229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260</v>
      </c>
      <c r="AQ4" s="56" t="s">
        <v>260</v>
      </c>
      <c r="AR4" s="56" t="s">
        <v>260</v>
      </c>
      <c r="AS4" s="56" t="s">
        <v>260</v>
      </c>
      <c r="AT4" s="56" t="s">
        <v>260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1186</v>
      </c>
      <c r="B5" s="183" t="s">
        <v>160</v>
      </c>
      <c r="C5" s="183" t="s">
        <v>161</v>
      </c>
      <c r="D5" s="184" t="s">
        <v>184</v>
      </c>
      <c r="E5" s="184">
        <v>196215</v>
      </c>
      <c r="F5" s="183">
        <v>0</v>
      </c>
      <c r="G5" s="228" t="s">
        <v>1259</v>
      </c>
      <c r="H5" s="228">
        <v>66907556</v>
      </c>
      <c r="I5" s="228" t="s">
        <v>228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1186</v>
      </c>
      <c r="B6" s="183" t="s">
        <v>160</v>
      </c>
      <c r="C6" s="183" t="s">
        <v>161</v>
      </c>
      <c r="D6" s="183" t="s">
        <v>184</v>
      </c>
      <c r="E6" s="184">
        <v>6810</v>
      </c>
      <c r="F6" s="183">
        <v>0</v>
      </c>
      <c r="G6" s="228" t="s">
        <v>1260</v>
      </c>
      <c r="H6" s="228">
        <v>6510</v>
      </c>
      <c r="I6" s="228" t="s">
        <v>65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1186</v>
      </c>
      <c r="B7" s="183" t="s">
        <v>160</v>
      </c>
      <c r="C7" s="183" t="s">
        <v>161</v>
      </c>
      <c r="D7" s="183" t="s">
        <v>184</v>
      </c>
      <c r="E7" s="184">
        <v>9400</v>
      </c>
      <c r="F7" s="183">
        <v>0</v>
      </c>
      <c r="G7" s="228" t="s">
        <v>613</v>
      </c>
      <c r="H7" s="228">
        <v>16337</v>
      </c>
      <c r="I7" s="228" t="s">
        <v>228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261</v>
      </c>
      <c r="AQ7" s="22" t="s">
        <v>261</v>
      </c>
      <c r="AR7" s="22" t="s">
        <v>261</v>
      </c>
      <c r="AS7" s="22" t="s">
        <v>261</v>
      </c>
      <c r="AT7" s="22" t="s">
        <v>261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1186</v>
      </c>
      <c r="B8" s="183" t="s">
        <v>160</v>
      </c>
      <c r="C8" s="183" t="s">
        <v>161</v>
      </c>
      <c r="D8" s="184" t="s">
        <v>184</v>
      </c>
      <c r="E8" s="184">
        <v>19800</v>
      </c>
      <c r="F8" s="183">
        <v>0</v>
      </c>
      <c r="G8" s="228" t="s">
        <v>613</v>
      </c>
      <c r="H8" s="228">
        <v>16336</v>
      </c>
      <c r="I8" s="228" t="s">
        <v>229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1186</v>
      </c>
      <c r="B9" s="183" t="s">
        <v>160</v>
      </c>
      <c r="C9" s="183" t="s">
        <v>161</v>
      </c>
      <c r="D9" s="184" t="s">
        <v>184</v>
      </c>
      <c r="E9" s="184">
        <v>61540</v>
      </c>
      <c r="F9" s="183">
        <v>0</v>
      </c>
      <c r="G9" s="228" t="s">
        <v>613</v>
      </c>
      <c r="H9" s="228">
        <v>16335</v>
      </c>
      <c r="I9" s="228" t="s">
        <v>228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1185</v>
      </c>
      <c r="B10" s="183" t="s">
        <v>160</v>
      </c>
      <c r="C10" s="183" t="s">
        <v>161</v>
      </c>
      <c r="D10" s="184" t="s">
        <v>184</v>
      </c>
      <c r="E10" s="184">
        <v>45046</v>
      </c>
      <c r="F10" s="183">
        <v>0</v>
      </c>
      <c r="G10" s="228" t="s">
        <v>230</v>
      </c>
      <c r="H10" s="228">
        <v>7596209</v>
      </c>
      <c r="I10" s="228" t="s">
        <v>182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1185</v>
      </c>
      <c r="B11" s="183" t="s">
        <v>160</v>
      </c>
      <c r="C11" s="183" t="s">
        <v>161</v>
      </c>
      <c r="D11" s="184" t="s">
        <v>184</v>
      </c>
      <c r="E11" s="184">
        <v>9770</v>
      </c>
      <c r="F11" s="183">
        <v>0</v>
      </c>
      <c r="G11" s="228" t="s">
        <v>614</v>
      </c>
      <c r="H11" s="228">
        <v>16959575</v>
      </c>
      <c r="I11" s="228" t="s">
        <v>65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1261</v>
      </c>
      <c r="B12" s="183" t="s">
        <v>160</v>
      </c>
      <c r="C12" s="183" t="s">
        <v>161</v>
      </c>
      <c r="D12" s="184" t="s">
        <v>184</v>
      </c>
      <c r="E12" s="184">
        <v>14990</v>
      </c>
      <c r="F12" s="183">
        <v>0</v>
      </c>
      <c r="G12" s="228" t="s">
        <v>1262</v>
      </c>
      <c r="H12" s="228">
        <v>6780400</v>
      </c>
      <c r="I12" s="228" t="s">
        <v>65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261</v>
      </c>
      <c r="AQ12" s="22">
        <v>30000</v>
      </c>
      <c r="AR12" s="22">
        <v>90000</v>
      </c>
      <c r="AS12" s="22">
        <v>90000</v>
      </c>
      <c r="AT12" s="22" t="s">
        <v>261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1182</v>
      </c>
      <c r="B13" s="183" t="s">
        <v>160</v>
      </c>
      <c r="C13" s="183" t="s">
        <v>161</v>
      </c>
      <c r="D13" s="184" t="s">
        <v>184</v>
      </c>
      <c r="E13" s="184">
        <v>32920</v>
      </c>
      <c r="F13" s="183">
        <v>0</v>
      </c>
      <c r="G13" s="228" t="s">
        <v>1263</v>
      </c>
      <c r="H13" s="228">
        <v>88805275</v>
      </c>
      <c r="I13" s="228" t="s">
        <v>65</v>
      </c>
      <c r="J13" s="154"/>
      <c r="K13" s="177"/>
      <c r="L13" s="54" t="s">
        <v>182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1182</v>
      </c>
      <c r="B14" s="183" t="s">
        <v>160</v>
      </c>
      <c r="C14" s="183" t="s">
        <v>161</v>
      </c>
      <c r="D14" s="184" t="s">
        <v>184</v>
      </c>
      <c r="E14" s="184">
        <v>19120</v>
      </c>
      <c r="F14" s="183">
        <v>0</v>
      </c>
      <c r="G14" s="228" t="s">
        <v>614</v>
      </c>
      <c r="H14" s="228">
        <v>16858320</v>
      </c>
      <c r="I14" s="228" t="s">
        <v>65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1264</v>
      </c>
      <c r="B15" s="183" t="s">
        <v>160</v>
      </c>
      <c r="C15" s="183" t="s">
        <v>161</v>
      </c>
      <c r="D15" s="184" t="s">
        <v>184</v>
      </c>
      <c r="E15" s="184">
        <v>30192</v>
      </c>
      <c r="F15" s="183">
        <v>0</v>
      </c>
      <c r="G15" s="228" t="s">
        <v>1259</v>
      </c>
      <c r="H15" s="228">
        <v>66935492</v>
      </c>
      <c r="I15" s="228" t="s">
        <v>229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1264</v>
      </c>
      <c r="B16" s="183" t="s">
        <v>160</v>
      </c>
      <c r="C16" s="183" t="s">
        <v>161</v>
      </c>
      <c r="D16" s="184" t="s">
        <v>184</v>
      </c>
      <c r="E16" s="184">
        <v>40400</v>
      </c>
      <c r="F16" s="183">
        <v>0</v>
      </c>
      <c r="G16" s="228" t="s">
        <v>1259</v>
      </c>
      <c r="H16" s="228">
        <v>66935491</v>
      </c>
      <c r="I16" s="228" t="s">
        <v>227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1264</v>
      </c>
      <c r="B17" s="183" t="s">
        <v>160</v>
      </c>
      <c r="C17" s="183" t="s">
        <v>161</v>
      </c>
      <c r="D17" s="184" t="s">
        <v>184</v>
      </c>
      <c r="E17" s="184">
        <v>227764</v>
      </c>
      <c r="F17" s="183">
        <v>0</v>
      </c>
      <c r="G17" s="228" t="s">
        <v>1259</v>
      </c>
      <c r="H17" s="228">
        <v>66935490</v>
      </c>
      <c r="I17" s="228" t="s">
        <v>228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1264</v>
      </c>
      <c r="B18" s="183" t="s">
        <v>160</v>
      </c>
      <c r="C18" s="183" t="s">
        <v>161</v>
      </c>
      <c r="D18" s="183" t="s">
        <v>184</v>
      </c>
      <c r="E18" s="184">
        <v>67770</v>
      </c>
      <c r="F18" s="183">
        <v>0</v>
      </c>
      <c r="G18" s="228" t="s">
        <v>613</v>
      </c>
      <c r="H18" s="228">
        <v>16562</v>
      </c>
      <c r="I18" s="228" t="s">
        <v>228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1264</v>
      </c>
      <c r="B19" s="183" t="s">
        <v>160</v>
      </c>
      <c r="C19" s="183" t="s">
        <v>161</v>
      </c>
      <c r="D19" s="183" t="s">
        <v>184</v>
      </c>
      <c r="E19" s="184">
        <v>16850</v>
      </c>
      <c r="F19" s="183">
        <v>0</v>
      </c>
      <c r="G19" s="228" t="s">
        <v>613</v>
      </c>
      <c r="H19" s="228">
        <v>16563</v>
      </c>
      <c r="I19" s="228" t="s">
        <v>229</v>
      </c>
      <c r="J19" s="154"/>
      <c r="K19" s="54" t="s">
        <v>229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1181</v>
      </c>
      <c r="B20" s="183" t="s">
        <v>160</v>
      </c>
      <c r="C20" s="183" t="s">
        <v>161</v>
      </c>
      <c r="D20" s="183" t="s">
        <v>184</v>
      </c>
      <c r="E20" s="184">
        <v>5190</v>
      </c>
      <c r="F20" s="183">
        <v>0</v>
      </c>
      <c r="G20" s="228" t="s">
        <v>230</v>
      </c>
      <c r="H20" s="228">
        <v>1121168093</v>
      </c>
      <c r="I20" s="228" t="s">
        <v>65</v>
      </c>
      <c r="J20" s="154"/>
      <c r="K20" s="54" t="s">
        <v>227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1181</v>
      </c>
      <c r="B21" s="183" t="s">
        <v>160</v>
      </c>
      <c r="C21" s="183" t="s">
        <v>161</v>
      </c>
      <c r="D21" s="184" t="s">
        <v>184</v>
      </c>
      <c r="E21" s="184">
        <v>40066</v>
      </c>
      <c r="F21" s="183">
        <v>0</v>
      </c>
      <c r="G21" s="228" t="s">
        <v>230</v>
      </c>
      <c r="H21" s="228">
        <v>7612793</v>
      </c>
      <c r="I21" s="228" t="s">
        <v>182</v>
      </c>
      <c r="J21" s="154"/>
      <c r="K21" s="54" t="s">
        <v>238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1173</v>
      </c>
      <c r="B22" s="183" t="s">
        <v>160</v>
      </c>
      <c r="C22" s="183" t="s">
        <v>161</v>
      </c>
      <c r="D22" s="184" t="s">
        <v>184</v>
      </c>
      <c r="E22" s="184">
        <v>17044</v>
      </c>
      <c r="F22" s="183">
        <v>0</v>
      </c>
      <c r="G22" s="228" t="s">
        <v>1259</v>
      </c>
      <c r="H22" s="228">
        <v>66949462</v>
      </c>
      <c r="I22" s="228" t="s">
        <v>228</v>
      </c>
      <c r="J22" s="154"/>
      <c r="K22" s="54" t="s">
        <v>226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1173</v>
      </c>
      <c r="B23" s="183" t="s">
        <v>160</v>
      </c>
      <c r="C23" s="183" t="s">
        <v>161</v>
      </c>
      <c r="D23" s="184" t="s">
        <v>184</v>
      </c>
      <c r="E23" s="184">
        <v>28554</v>
      </c>
      <c r="F23" s="183">
        <v>0</v>
      </c>
      <c r="G23" s="228" t="s">
        <v>171</v>
      </c>
      <c r="H23" s="228">
        <v>37221</v>
      </c>
      <c r="I23" s="228" t="s">
        <v>226</v>
      </c>
      <c r="J23" s="154"/>
      <c r="K23" s="54" t="s">
        <v>228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1172</v>
      </c>
      <c r="B24" s="183" t="s">
        <v>160</v>
      </c>
      <c r="C24" s="183" t="s">
        <v>161</v>
      </c>
      <c r="D24" s="184" t="s">
        <v>184</v>
      </c>
      <c r="E24" s="184">
        <v>14305</v>
      </c>
      <c r="F24" s="183">
        <v>0</v>
      </c>
      <c r="G24" s="228" t="s">
        <v>171</v>
      </c>
      <c r="H24" s="228">
        <v>37557</v>
      </c>
      <c r="I24" s="228" t="s">
        <v>226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1169</v>
      </c>
      <c r="B25" s="183" t="s">
        <v>160</v>
      </c>
      <c r="C25" s="183" t="s">
        <v>161</v>
      </c>
      <c r="D25" s="184" t="s">
        <v>184</v>
      </c>
      <c r="E25" s="184">
        <v>5960</v>
      </c>
      <c r="F25" s="183">
        <v>0</v>
      </c>
      <c r="G25" s="228" t="s">
        <v>1259</v>
      </c>
      <c r="H25" s="228">
        <v>66996244</v>
      </c>
      <c r="I25" s="228" t="s">
        <v>231</v>
      </c>
      <c r="J25" s="154"/>
      <c r="K25" s="54" t="s">
        <v>231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1169</v>
      </c>
      <c r="B26" s="183" t="s">
        <v>160</v>
      </c>
      <c r="C26" s="183" t="s">
        <v>161</v>
      </c>
      <c r="D26" s="184" t="s">
        <v>184</v>
      </c>
      <c r="E26" s="184">
        <v>12160</v>
      </c>
      <c r="F26" s="183">
        <v>0</v>
      </c>
      <c r="G26" s="228" t="s">
        <v>1259</v>
      </c>
      <c r="H26" s="228">
        <v>66996242</v>
      </c>
      <c r="I26" s="228" t="s">
        <v>227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1169</v>
      </c>
      <c r="B27" s="183" t="s">
        <v>160</v>
      </c>
      <c r="C27" s="183" t="s">
        <v>161</v>
      </c>
      <c r="D27" s="184" t="s">
        <v>184</v>
      </c>
      <c r="E27" s="184">
        <v>15980</v>
      </c>
      <c r="F27" s="183">
        <v>0</v>
      </c>
      <c r="G27" s="228" t="s">
        <v>1259</v>
      </c>
      <c r="H27" s="228">
        <v>66996243</v>
      </c>
      <c r="I27" s="228" t="s">
        <v>65</v>
      </c>
      <c r="J27" s="154"/>
      <c r="K27" s="54" t="s">
        <v>182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 t="s">
        <v>1169</v>
      </c>
      <c r="B28" s="183" t="s">
        <v>160</v>
      </c>
      <c r="C28" s="183" t="s">
        <v>161</v>
      </c>
      <c r="D28" s="184" t="s">
        <v>184</v>
      </c>
      <c r="E28" s="184">
        <v>29390</v>
      </c>
      <c r="F28" s="183">
        <v>0</v>
      </c>
      <c r="G28" s="228" t="s">
        <v>1259</v>
      </c>
      <c r="H28" s="228">
        <v>66996241</v>
      </c>
      <c r="I28" s="228" t="s">
        <v>229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 t="s">
        <v>1169</v>
      </c>
      <c r="B29" s="183" t="s">
        <v>160</v>
      </c>
      <c r="C29" s="183" t="s">
        <v>161</v>
      </c>
      <c r="D29" s="184" t="s">
        <v>184</v>
      </c>
      <c r="E29" s="184">
        <v>159556</v>
      </c>
      <c r="F29" s="183">
        <v>0</v>
      </c>
      <c r="G29" s="228" t="s">
        <v>1259</v>
      </c>
      <c r="H29" s="228">
        <v>66996240</v>
      </c>
      <c r="I29" s="228" t="s">
        <v>228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 t="s">
        <v>1169</v>
      </c>
      <c r="B30" s="183" t="s">
        <v>160</v>
      </c>
      <c r="C30" s="183" t="s">
        <v>161</v>
      </c>
      <c r="D30" s="183" t="s">
        <v>184</v>
      </c>
      <c r="E30" s="184">
        <v>110029</v>
      </c>
      <c r="F30" s="183">
        <v>0</v>
      </c>
      <c r="G30" s="228" t="s">
        <v>1263</v>
      </c>
      <c r="H30" s="228">
        <v>89020671</v>
      </c>
      <c r="I30" s="228" t="s">
        <v>65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 t="s">
        <v>1169</v>
      </c>
      <c r="B31" s="183" t="s">
        <v>160</v>
      </c>
      <c r="C31" s="183" t="s">
        <v>161</v>
      </c>
      <c r="D31" s="183" t="s">
        <v>184</v>
      </c>
      <c r="E31" s="184">
        <v>66500</v>
      </c>
      <c r="F31" s="183">
        <v>0</v>
      </c>
      <c r="G31" s="228" t="s">
        <v>613</v>
      </c>
      <c r="H31" s="228">
        <v>17054</v>
      </c>
      <c r="I31" s="228" t="s">
        <v>228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 t="s">
        <v>1169</v>
      </c>
      <c r="B32" s="183" t="s">
        <v>160</v>
      </c>
      <c r="C32" s="183" t="s">
        <v>161</v>
      </c>
      <c r="D32" s="183" t="s">
        <v>184</v>
      </c>
      <c r="E32" s="184">
        <v>33560</v>
      </c>
      <c r="F32" s="183">
        <v>0</v>
      </c>
      <c r="G32" s="228" t="s">
        <v>613</v>
      </c>
      <c r="H32" s="228">
        <v>17055</v>
      </c>
      <c r="I32" s="228" t="s">
        <v>229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 t="s">
        <v>1168</v>
      </c>
      <c r="B33" s="157" t="s">
        <v>160</v>
      </c>
      <c r="C33" s="186" t="s">
        <v>161</v>
      </c>
      <c r="D33" s="187" t="s">
        <v>184</v>
      </c>
      <c r="E33" s="184">
        <v>44446</v>
      </c>
      <c r="F33" s="183">
        <v>0</v>
      </c>
      <c r="G33" s="228" t="s">
        <v>230</v>
      </c>
      <c r="H33" s="228">
        <v>7629967</v>
      </c>
      <c r="I33" s="228" t="s">
        <v>182</v>
      </c>
      <c r="J33" s="154"/>
      <c r="K33" s="177"/>
      <c r="M33" s="5"/>
      <c r="S33" s="58"/>
      <c r="T33" s="58"/>
      <c r="U33" s="58"/>
      <c r="V33" s="58"/>
    </row>
    <row r="34" spans="1:22" s="130" customFormat="1" ht="15" x14ac:dyDescent="0.25">
      <c r="A34" s="219"/>
      <c r="B34" s="157"/>
      <c r="C34" s="186"/>
      <c r="D34" s="187"/>
      <c r="E34" s="184"/>
      <c r="F34" s="183"/>
      <c r="G34" s="228"/>
      <c r="H34" s="228"/>
      <c r="I34" s="228"/>
      <c r="J34" s="154"/>
      <c r="K34" s="177"/>
      <c r="M34" s="5"/>
      <c r="S34" s="58"/>
      <c r="T34" s="58"/>
      <c r="U34" s="58"/>
      <c r="V34" s="58"/>
    </row>
    <row r="35" spans="1:22" s="130" customFormat="1" ht="15" x14ac:dyDescent="0.25">
      <c r="A35" s="219"/>
      <c r="B35" s="157"/>
      <c r="C35" s="186"/>
      <c r="D35" s="175"/>
      <c r="E35" s="184"/>
      <c r="F35" s="183"/>
      <c r="G35" s="228"/>
      <c r="H35" s="228"/>
      <c r="I35" s="228"/>
      <c r="J35" s="154"/>
      <c r="K35" s="177"/>
      <c r="M35" s="5"/>
      <c r="S35" s="58"/>
      <c r="T35" s="58"/>
      <c r="U35" s="58"/>
      <c r="V35" s="58"/>
    </row>
    <row r="36" spans="1:22" s="130" customFormat="1" ht="15" x14ac:dyDescent="0.25">
      <c r="A36" s="219"/>
      <c r="B36" s="157"/>
      <c r="C36" s="186"/>
      <c r="D36" s="175"/>
      <c r="E36" s="184"/>
      <c r="F36" s="183"/>
      <c r="G36" s="228"/>
      <c r="H36" s="228"/>
      <c r="I36" s="228"/>
      <c r="J36" s="154"/>
      <c r="K36" s="177"/>
      <c r="M36" s="5"/>
      <c r="S36" s="58"/>
      <c r="T36" s="58"/>
      <c r="U36" s="58"/>
      <c r="V36" s="58"/>
    </row>
    <row r="37" spans="1:22" s="130" customFormat="1" ht="15" x14ac:dyDescent="0.25">
      <c r="A37" s="219"/>
      <c r="B37" s="157"/>
      <c r="C37" s="186"/>
      <c r="D37" s="175"/>
      <c r="E37" s="184"/>
      <c r="F37" s="183"/>
      <c r="G37" s="228"/>
      <c r="H37" s="228"/>
      <c r="I37" s="228"/>
      <c r="J37" s="154"/>
      <c r="K37" s="177"/>
      <c r="M37" s="5"/>
      <c r="S37" s="58"/>
      <c r="T37" s="58"/>
      <c r="U37" s="58"/>
      <c r="V37" s="58"/>
    </row>
    <row r="38" spans="1:22" s="130" customFormat="1" ht="15" x14ac:dyDescent="0.25">
      <c r="A38" s="219"/>
      <c r="B38" s="157"/>
      <c r="C38" s="186"/>
      <c r="D38" s="175"/>
      <c r="E38" s="184"/>
      <c r="F38" s="183"/>
      <c r="G38" s="228"/>
      <c r="H38" s="228"/>
      <c r="I38" s="228"/>
      <c r="J38" s="154"/>
      <c r="K38" s="177"/>
      <c r="M38" s="5"/>
      <c r="S38" s="58"/>
      <c r="T38" s="58"/>
      <c r="U38" s="58"/>
      <c r="V38" s="58"/>
    </row>
    <row r="39" spans="1:22" s="130" customFormat="1" ht="15" x14ac:dyDescent="0.25">
      <c r="A39" s="219"/>
      <c r="B39" s="157"/>
      <c r="C39" s="186"/>
      <c r="D39" s="175"/>
      <c r="E39" s="184"/>
      <c r="F39" s="183"/>
      <c r="G39" s="228"/>
      <c r="H39" s="228"/>
      <c r="I39" s="228"/>
      <c r="J39" s="154"/>
      <c r="K39" s="177"/>
      <c r="M39" s="5"/>
      <c r="S39" s="58"/>
      <c r="T39" s="58"/>
      <c r="U39" s="58"/>
      <c r="V39" s="58"/>
    </row>
    <row r="40" spans="1:22" s="130" customFormat="1" ht="15" x14ac:dyDescent="0.25">
      <c r="A40" s="219"/>
      <c r="B40" s="157"/>
      <c r="C40" s="186"/>
      <c r="D40" s="175"/>
      <c r="E40" s="184"/>
      <c r="F40" s="183"/>
      <c r="G40" s="228"/>
      <c r="H40" s="228"/>
      <c r="I40" s="228"/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/>
      <c r="B41" s="157"/>
      <c r="C41" s="186"/>
      <c r="D41" s="175"/>
      <c r="E41" s="184"/>
      <c r="F41" s="183"/>
      <c r="G41" s="228"/>
      <c r="H41" s="228"/>
      <c r="I41" s="228"/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/>
      <c r="B42" s="157"/>
      <c r="C42" s="186"/>
      <c r="D42" s="175"/>
      <c r="E42" s="184"/>
      <c r="F42" s="157"/>
      <c r="G42" s="228"/>
      <c r="H42" s="228"/>
      <c r="I42" s="228"/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/>
      <c r="B43" s="157"/>
      <c r="C43" s="186"/>
      <c r="D43" s="175"/>
      <c r="E43" s="184"/>
      <c r="F43" s="157"/>
      <c r="G43" s="228"/>
      <c r="H43" s="228"/>
      <c r="I43" s="228"/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/>
      <c r="B44" s="157"/>
      <c r="C44" s="186"/>
      <c r="D44" s="175"/>
      <c r="E44" s="187"/>
      <c r="F44" s="157"/>
      <c r="G44" s="228"/>
      <c r="H44" s="228"/>
      <c r="I44" s="228"/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/>
      <c r="B45" s="157"/>
      <c r="C45" s="186"/>
      <c r="D45" s="175"/>
      <c r="E45" s="187"/>
      <c r="F45" s="157"/>
      <c r="G45" s="228"/>
      <c r="H45" s="228"/>
      <c r="I45" s="228"/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/>
      <c r="B46" s="157"/>
      <c r="C46" s="186"/>
      <c r="D46" s="175"/>
      <c r="E46" s="187"/>
      <c r="F46" s="157"/>
      <c r="G46" s="228"/>
      <c r="H46" s="228"/>
      <c r="I46" s="228"/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/>
      <c r="B48" s="183"/>
      <c r="C48" s="183"/>
      <c r="D48" s="184"/>
      <c r="E48" s="184"/>
      <c r="F48" s="183"/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/>
      <c r="B52" s="157"/>
      <c r="C52" s="186"/>
      <c r="D52" s="187"/>
      <c r="E52" s="187"/>
      <c r="F52" s="157"/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x14ac:dyDescent="0.3">
      <c r="A53" s="219" t="s">
        <v>605</v>
      </c>
      <c r="B53" s="157" t="s">
        <v>152</v>
      </c>
      <c r="C53" s="186" t="s">
        <v>205</v>
      </c>
      <c r="D53" s="67" t="s">
        <v>184</v>
      </c>
      <c r="E53" s="187">
        <v>0</v>
      </c>
      <c r="F53" s="157">
        <v>2500000</v>
      </c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606</v>
      </c>
      <c r="B62" s="157" t="s">
        <v>160</v>
      </c>
      <c r="C62" s="186" t="s">
        <v>185</v>
      </c>
      <c r="D62" s="187">
        <v>100000</v>
      </c>
      <c r="E62" s="187"/>
      <c r="F62" s="157"/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1186</v>
      </c>
      <c r="B63" s="157" t="s">
        <v>160</v>
      </c>
      <c r="C63" s="186" t="s">
        <v>185</v>
      </c>
      <c r="D63" s="187">
        <v>30000</v>
      </c>
      <c r="E63" s="187"/>
      <c r="F63" s="157"/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1186</v>
      </c>
      <c r="B64" s="157" t="s">
        <v>160</v>
      </c>
      <c r="C64" s="186" t="s">
        <v>185</v>
      </c>
      <c r="D64" s="187">
        <v>30000</v>
      </c>
      <c r="E64" s="187"/>
      <c r="F64" s="157"/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1182</v>
      </c>
      <c r="B65" s="157" t="s">
        <v>160</v>
      </c>
      <c r="C65" s="186" t="s">
        <v>185</v>
      </c>
      <c r="D65" s="187">
        <v>200000</v>
      </c>
      <c r="E65" s="187"/>
      <c r="F65" s="157"/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 t="s">
        <v>1172</v>
      </c>
      <c r="B66" s="157" t="s">
        <v>160</v>
      </c>
      <c r="C66" s="186" t="s">
        <v>185</v>
      </c>
      <c r="D66" s="187">
        <v>200000</v>
      </c>
      <c r="E66" s="187"/>
      <c r="F66" s="157"/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/>
      <c r="B67" s="157"/>
      <c r="C67" s="186"/>
      <c r="D67" s="187"/>
      <c r="E67" s="187"/>
      <c r="F67" s="157"/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/>
      <c r="B68" s="157"/>
      <c r="C68" s="186"/>
      <c r="D68" s="187"/>
      <c r="E68" s="187"/>
      <c r="F68" s="157"/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/>
      <c r="B69" s="157"/>
      <c r="C69" s="186"/>
      <c r="D69" s="175"/>
      <c r="E69" s="187"/>
      <c r="F69" s="157"/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86"/>
      <c r="B74" s="157"/>
      <c r="C74" s="186"/>
      <c r="D74" s="175"/>
      <c r="E74" s="187"/>
      <c r="F74" s="157"/>
      <c r="G74" s="228"/>
      <c r="H74" s="228"/>
      <c r="I74" s="228"/>
      <c r="J74" s="230"/>
      <c r="K74" s="5"/>
      <c r="M74" s="5"/>
      <c r="S74" s="58"/>
      <c r="T74" s="58"/>
      <c r="U74" s="58"/>
      <c r="V74" s="58"/>
    </row>
    <row r="75" spans="1:22" s="130" customFormat="1" x14ac:dyDescent="0.3">
      <c r="A75" s="186">
        <v>43133</v>
      </c>
      <c r="B75" s="157"/>
      <c r="C75" s="186" t="s">
        <v>617</v>
      </c>
      <c r="D75" s="175"/>
      <c r="E75" s="187">
        <v>39940</v>
      </c>
      <c r="F75" s="157"/>
      <c r="G75" s="228" t="s">
        <v>617</v>
      </c>
      <c r="H75" s="228">
        <v>8120708</v>
      </c>
      <c r="I75" s="228" t="s">
        <v>65</v>
      </c>
      <c r="J75" s="230"/>
      <c r="K75" s="5"/>
      <c r="M75" s="5"/>
      <c r="S75" s="58"/>
      <c r="T75" s="58"/>
      <c r="U75" s="58"/>
      <c r="V75" s="58"/>
    </row>
    <row r="76" spans="1:22" s="130" customFormat="1" x14ac:dyDescent="0.3">
      <c r="A76" s="186">
        <v>43133</v>
      </c>
      <c r="B76" s="157"/>
      <c r="C76" s="186" t="s">
        <v>1265</v>
      </c>
      <c r="D76" s="175"/>
      <c r="E76" s="187">
        <v>14010</v>
      </c>
      <c r="F76" s="157"/>
      <c r="G76" s="228" t="s">
        <v>617</v>
      </c>
      <c r="H76" s="228">
        <v>911030552</v>
      </c>
      <c r="I76" s="228" t="s">
        <v>65</v>
      </c>
      <c r="J76" s="230"/>
      <c r="K76" s="5"/>
      <c r="M76" s="5"/>
      <c r="S76" s="58"/>
      <c r="T76" s="58"/>
      <c r="U76" s="58"/>
      <c r="V76" s="58"/>
    </row>
    <row r="77" spans="1:22" s="130" customFormat="1" x14ac:dyDescent="0.3">
      <c r="A77" s="186">
        <v>43133</v>
      </c>
      <c r="B77" s="157"/>
      <c r="C77" s="186" t="s">
        <v>1266</v>
      </c>
      <c r="D77" s="175"/>
      <c r="E77" s="187">
        <v>20000</v>
      </c>
      <c r="F77" s="157"/>
      <c r="G77" s="228" t="s">
        <v>1267</v>
      </c>
      <c r="H77" s="228" t="s">
        <v>1268</v>
      </c>
      <c r="I77" s="228" t="s">
        <v>65</v>
      </c>
      <c r="J77" s="230"/>
      <c r="K77" s="5"/>
      <c r="M77" s="5"/>
      <c r="S77" s="58"/>
      <c r="T77" s="58"/>
      <c r="U77" s="58"/>
      <c r="V77" s="58"/>
    </row>
    <row r="78" spans="1:22" s="130" customFormat="1" x14ac:dyDescent="0.3">
      <c r="A78" s="186">
        <v>43133</v>
      </c>
      <c r="B78" s="157"/>
      <c r="C78" s="186" t="s">
        <v>617</v>
      </c>
      <c r="D78" s="175"/>
      <c r="E78" s="187">
        <v>38920</v>
      </c>
      <c r="F78" s="157"/>
      <c r="G78" s="228" t="s">
        <v>617</v>
      </c>
      <c r="H78" s="228">
        <v>911045830</v>
      </c>
      <c r="I78" s="228" t="s">
        <v>65</v>
      </c>
      <c r="J78" s="229"/>
      <c r="K78" s="5"/>
      <c r="M78" s="5"/>
      <c r="S78" s="58"/>
      <c r="T78" s="58"/>
      <c r="U78" s="58"/>
      <c r="V78" s="58"/>
    </row>
    <row r="79" spans="1:22" s="130" customFormat="1" x14ac:dyDescent="0.3">
      <c r="A79" s="186">
        <v>43133</v>
      </c>
      <c r="B79" s="157"/>
      <c r="C79" s="186" t="s">
        <v>1269</v>
      </c>
      <c r="D79" s="187"/>
      <c r="E79" s="187">
        <v>35700</v>
      </c>
      <c r="F79" s="157"/>
      <c r="G79" s="228" t="s">
        <v>616</v>
      </c>
      <c r="H79" s="228">
        <v>741</v>
      </c>
      <c r="I79" s="228" t="s">
        <v>65</v>
      </c>
      <c r="J79" s="229"/>
      <c r="K79" s="5"/>
      <c r="M79" s="5"/>
      <c r="S79" s="58"/>
      <c r="T79" s="58"/>
      <c r="U79" s="58"/>
      <c r="V79" s="58"/>
    </row>
    <row r="80" spans="1:22" s="130" customFormat="1" x14ac:dyDescent="0.3">
      <c r="A80" s="186">
        <v>43136</v>
      </c>
      <c r="B80" s="157"/>
      <c r="C80" s="186" t="s">
        <v>1270</v>
      </c>
      <c r="D80" s="187"/>
      <c r="E80" s="187">
        <v>1500</v>
      </c>
      <c r="F80" s="157"/>
      <c r="G80" s="228" t="s">
        <v>615</v>
      </c>
      <c r="H80" s="228">
        <v>774556</v>
      </c>
      <c r="I80" s="228" t="s">
        <v>229</v>
      </c>
      <c r="J80" s="229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43136</v>
      </c>
      <c r="B81" s="157"/>
      <c r="C81" s="186" t="s">
        <v>1271</v>
      </c>
      <c r="D81" s="187"/>
      <c r="E81" s="187">
        <v>1100</v>
      </c>
      <c r="F81" s="157"/>
      <c r="G81" s="228" t="s">
        <v>333</v>
      </c>
      <c r="H81" s="228">
        <v>65407</v>
      </c>
      <c r="I81" s="228" t="s">
        <v>228</v>
      </c>
      <c r="J81" s="229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43136</v>
      </c>
      <c r="B82" s="157"/>
      <c r="C82" s="186" t="s">
        <v>1272</v>
      </c>
      <c r="D82" s="187"/>
      <c r="E82" s="187">
        <v>5026</v>
      </c>
      <c r="F82" s="157"/>
      <c r="G82" s="228" t="s">
        <v>1273</v>
      </c>
      <c r="H82" s="228">
        <v>18200</v>
      </c>
      <c r="I82" s="228" t="s">
        <v>228</v>
      </c>
      <c r="J82" s="229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43137</v>
      </c>
      <c r="B83" s="157"/>
      <c r="C83" s="186" t="s">
        <v>327</v>
      </c>
      <c r="D83" s="187"/>
      <c r="E83" s="187">
        <v>800</v>
      </c>
      <c r="F83" s="157"/>
      <c r="G83" s="228" t="s">
        <v>334</v>
      </c>
      <c r="H83" s="228">
        <v>2278122</v>
      </c>
      <c r="I83" s="228" t="s">
        <v>65</v>
      </c>
      <c r="J83" s="229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43137</v>
      </c>
      <c r="B84" s="157"/>
      <c r="C84" s="186" t="s">
        <v>326</v>
      </c>
      <c r="D84" s="187"/>
      <c r="E84" s="187">
        <v>1000</v>
      </c>
      <c r="F84" s="157"/>
      <c r="G84" s="228" t="s">
        <v>305</v>
      </c>
      <c r="H84" s="228">
        <v>345104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43137</v>
      </c>
      <c r="B85" s="157"/>
      <c r="C85" s="186" t="s">
        <v>328</v>
      </c>
      <c r="D85" s="187"/>
      <c r="E85" s="187">
        <v>2400</v>
      </c>
      <c r="F85" s="157"/>
      <c r="G85" s="228" t="s">
        <v>306</v>
      </c>
      <c r="H85" s="228">
        <v>675769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43138</v>
      </c>
      <c r="B86" s="157"/>
      <c r="C86" s="186" t="s">
        <v>1274</v>
      </c>
      <c r="D86" s="187"/>
      <c r="E86" s="187">
        <v>4000</v>
      </c>
      <c r="F86" s="157"/>
      <c r="G86" s="228" t="s">
        <v>1275</v>
      </c>
      <c r="H86" s="228">
        <v>5792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43139</v>
      </c>
      <c r="B87" s="157"/>
      <c r="C87" s="186" t="s">
        <v>1276</v>
      </c>
      <c r="D87" s="187"/>
      <c r="E87" s="187">
        <v>3830</v>
      </c>
      <c r="F87" s="157"/>
      <c r="G87" s="228" t="s">
        <v>1277</v>
      </c>
      <c r="H87" s="228">
        <v>117516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43139</v>
      </c>
      <c r="B88" s="157"/>
      <c r="C88" s="186" t="s">
        <v>1278</v>
      </c>
      <c r="D88" s="187"/>
      <c r="E88" s="187">
        <v>20000</v>
      </c>
      <c r="F88" s="157"/>
      <c r="G88" s="228" t="s">
        <v>171</v>
      </c>
      <c r="H88" s="228">
        <v>36670</v>
      </c>
      <c r="I88" s="228" t="s">
        <v>226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43136</v>
      </c>
      <c r="B89" s="157"/>
      <c r="C89" s="186" t="s">
        <v>1279</v>
      </c>
      <c r="D89" s="187"/>
      <c r="E89" s="187">
        <v>2800</v>
      </c>
      <c r="F89" s="157"/>
      <c r="G89" s="228" t="s">
        <v>618</v>
      </c>
      <c r="H89" s="228">
        <v>745729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43141</v>
      </c>
      <c r="B90" s="157"/>
      <c r="C90" s="186" t="s">
        <v>327</v>
      </c>
      <c r="D90" s="187"/>
      <c r="E90" s="187">
        <v>1600</v>
      </c>
      <c r="F90" s="157"/>
      <c r="G90" s="228" t="s">
        <v>334</v>
      </c>
      <c r="H90" s="228">
        <v>2280600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43141</v>
      </c>
      <c r="B91" s="157"/>
      <c r="C91" s="186" t="s">
        <v>328</v>
      </c>
      <c r="D91" s="187"/>
      <c r="E91" s="187">
        <v>800</v>
      </c>
      <c r="F91" s="157"/>
      <c r="G91" s="228" t="s">
        <v>306</v>
      </c>
      <c r="H91" s="228">
        <v>42287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43143</v>
      </c>
      <c r="B92" s="157"/>
      <c r="C92" s="186" t="s">
        <v>1280</v>
      </c>
      <c r="D92" s="187"/>
      <c r="E92" s="187">
        <v>1200</v>
      </c>
      <c r="F92" s="157"/>
      <c r="G92" s="228" t="s">
        <v>1281</v>
      </c>
      <c r="H92" s="228">
        <v>67468</v>
      </c>
      <c r="I92" s="228" t="s">
        <v>228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43143</v>
      </c>
      <c r="B93" s="157"/>
      <c r="C93" s="186" t="s">
        <v>1282</v>
      </c>
      <c r="D93" s="187"/>
      <c r="E93" s="187">
        <v>9526</v>
      </c>
      <c r="F93" s="157"/>
      <c r="G93" s="228" t="s">
        <v>1273</v>
      </c>
      <c r="H93" s="228">
        <v>18527</v>
      </c>
      <c r="I93" s="228" t="s">
        <v>228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43144</v>
      </c>
      <c r="B94" s="157"/>
      <c r="C94" s="186" t="s">
        <v>1283</v>
      </c>
      <c r="D94" s="187"/>
      <c r="E94" s="187">
        <v>1000</v>
      </c>
      <c r="F94" s="157"/>
      <c r="G94" s="228" t="s">
        <v>305</v>
      </c>
      <c r="H94" s="228">
        <v>350212</v>
      </c>
      <c r="I94" s="228" t="s">
        <v>65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43144</v>
      </c>
      <c r="B95" s="157"/>
      <c r="C95" s="186" t="s">
        <v>328</v>
      </c>
      <c r="D95" s="187"/>
      <c r="E95" s="187">
        <v>1400</v>
      </c>
      <c r="F95" s="157"/>
      <c r="G95" s="228" t="s">
        <v>306</v>
      </c>
      <c r="H95" s="228">
        <v>600191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43144</v>
      </c>
      <c r="B96" s="157"/>
      <c r="C96" s="186" t="s">
        <v>1284</v>
      </c>
      <c r="D96" s="187"/>
      <c r="E96" s="187">
        <v>18000</v>
      </c>
      <c r="F96" s="157"/>
      <c r="G96" s="228" t="s">
        <v>1285</v>
      </c>
      <c r="H96" s="228" t="s">
        <v>1268</v>
      </c>
      <c r="I96" s="228" t="s">
        <v>65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43146</v>
      </c>
      <c r="B97" s="157"/>
      <c r="C97" s="186" t="s">
        <v>1286</v>
      </c>
      <c r="D97" s="187"/>
      <c r="E97" s="187">
        <v>3000</v>
      </c>
      <c r="F97" s="157"/>
      <c r="G97" s="228" t="s">
        <v>1275</v>
      </c>
      <c r="H97" s="228">
        <v>5959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43146</v>
      </c>
      <c r="B98" s="157"/>
      <c r="C98" s="186" t="s">
        <v>1287</v>
      </c>
      <c r="D98" s="187"/>
      <c r="E98" s="187">
        <v>16000</v>
      </c>
      <c r="F98" s="157"/>
      <c r="G98" s="228" t="s">
        <v>1288</v>
      </c>
      <c r="H98" s="228" t="s">
        <v>1268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43147</v>
      </c>
      <c r="B99" s="157"/>
      <c r="C99" s="186" t="s">
        <v>328</v>
      </c>
      <c r="D99" s="187"/>
      <c r="E99" s="187">
        <v>1000</v>
      </c>
      <c r="F99" s="157"/>
      <c r="G99" s="228" t="s">
        <v>328</v>
      </c>
      <c r="H99" s="228">
        <v>601308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43147</v>
      </c>
      <c r="B100" s="157"/>
      <c r="C100" s="186" t="s">
        <v>1289</v>
      </c>
      <c r="D100" s="187"/>
      <c r="E100" s="187">
        <v>3000</v>
      </c>
      <c r="F100" s="157"/>
      <c r="G100" s="228" t="s">
        <v>1290</v>
      </c>
      <c r="H100" s="228" t="s">
        <v>1268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43147</v>
      </c>
      <c r="B101" s="157"/>
      <c r="C101" s="186" t="s">
        <v>1291</v>
      </c>
      <c r="D101" s="187"/>
      <c r="E101" s="187">
        <v>8000</v>
      </c>
      <c r="F101" s="157"/>
      <c r="G101" s="228" t="s">
        <v>1292</v>
      </c>
      <c r="H101" s="228" t="s">
        <v>1268</v>
      </c>
      <c r="I101" s="228" t="s">
        <v>65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43151</v>
      </c>
      <c r="B102" s="157"/>
      <c r="C102" s="186" t="s">
        <v>1293</v>
      </c>
      <c r="D102" s="187"/>
      <c r="E102" s="187">
        <v>120000</v>
      </c>
      <c r="F102" s="157"/>
      <c r="G102" s="228" t="s">
        <v>1294</v>
      </c>
      <c r="H102" s="228">
        <v>223</v>
      </c>
      <c r="I102" s="228" t="s">
        <v>228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43152</v>
      </c>
      <c r="B103" s="157"/>
      <c r="C103" s="186" t="s">
        <v>1295</v>
      </c>
      <c r="D103" s="187"/>
      <c r="E103" s="187">
        <v>1600</v>
      </c>
      <c r="F103" s="157"/>
      <c r="G103" s="228" t="s">
        <v>1296</v>
      </c>
      <c r="H103" s="228">
        <v>5807</v>
      </c>
      <c r="I103" s="228" t="s">
        <v>65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43153</v>
      </c>
      <c r="B104" s="157"/>
      <c r="C104" s="186" t="s">
        <v>1297</v>
      </c>
      <c r="D104" s="187"/>
      <c r="E104" s="187">
        <v>28560</v>
      </c>
      <c r="F104" s="157"/>
      <c r="G104" s="228" t="s">
        <v>616</v>
      </c>
      <c r="H104" s="228">
        <v>785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43156</v>
      </c>
      <c r="B105" s="157"/>
      <c r="C105" s="186" t="s">
        <v>1298</v>
      </c>
      <c r="D105" s="187"/>
      <c r="E105" s="187">
        <v>2450</v>
      </c>
      <c r="F105" s="157"/>
      <c r="G105" s="228" t="s">
        <v>1299</v>
      </c>
      <c r="H105" s="228">
        <v>156011</v>
      </c>
      <c r="I105" s="228" t="s">
        <v>228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43158</v>
      </c>
      <c r="B106" s="157"/>
      <c r="C106" s="186" t="s">
        <v>326</v>
      </c>
      <c r="D106" s="187"/>
      <c r="E106" s="187">
        <v>1000</v>
      </c>
      <c r="F106" s="157"/>
      <c r="G106" s="228" t="s">
        <v>305</v>
      </c>
      <c r="H106" s="228">
        <v>360415</v>
      </c>
      <c r="I106" s="228" t="s">
        <v>65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43158</v>
      </c>
      <c r="B107" s="157"/>
      <c r="C107" s="186" t="s">
        <v>1300</v>
      </c>
      <c r="D107" s="187"/>
      <c r="E107" s="187">
        <v>4000</v>
      </c>
      <c r="F107" s="157"/>
      <c r="G107" s="228" t="s">
        <v>1301</v>
      </c>
      <c r="H107" s="228">
        <v>3576</v>
      </c>
      <c r="I107" s="228" t="s">
        <v>65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43158</v>
      </c>
      <c r="B108" s="157"/>
      <c r="C108" s="186" t="s">
        <v>1302</v>
      </c>
      <c r="D108" s="187"/>
      <c r="E108" s="187">
        <v>4250</v>
      </c>
      <c r="F108" s="157"/>
      <c r="G108" s="228" t="s">
        <v>1303</v>
      </c>
      <c r="H108" s="228">
        <v>837923</v>
      </c>
      <c r="I108" s="228" t="s">
        <v>227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43158</v>
      </c>
      <c r="B109" s="157"/>
      <c r="C109" s="186" t="s">
        <v>1304</v>
      </c>
      <c r="D109" s="187"/>
      <c r="E109" s="187">
        <v>5700</v>
      </c>
      <c r="F109" s="157"/>
      <c r="G109" s="228" t="s">
        <v>1303</v>
      </c>
      <c r="H109" s="228">
        <v>837922</v>
      </c>
      <c r="I109" s="228" t="s">
        <v>65</v>
      </c>
      <c r="J109" s="229"/>
      <c r="K109" s="5"/>
      <c r="S109" s="58"/>
      <c r="T109" s="58"/>
      <c r="U109" s="58"/>
      <c r="V109" s="58"/>
    </row>
    <row r="110" spans="1:22" s="130" customFormat="1" x14ac:dyDescent="0.3">
      <c r="A110" s="186">
        <v>43158</v>
      </c>
      <c r="B110" s="157"/>
      <c r="C110" s="186" t="s">
        <v>328</v>
      </c>
      <c r="D110" s="187"/>
      <c r="E110" s="187">
        <v>1600</v>
      </c>
      <c r="F110" s="157"/>
      <c r="G110" s="228" t="s">
        <v>328</v>
      </c>
      <c r="H110" s="228">
        <v>604856</v>
      </c>
      <c r="I110" s="228" t="s">
        <v>65</v>
      </c>
      <c r="J110" s="229"/>
      <c r="K110" s="5"/>
      <c r="S110" s="58"/>
      <c r="T110" s="58"/>
      <c r="U110" s="58"/>
      <c r="V110" s="58"/>
    </row>
    <row r="111" spans="1:22" s="130" customFormat="1" x14ac:dyDescent="0.3">
      <c r="A111" s="186">
        <v>43158</v>
      </c>
      <c r="B111" s="157"/>
      <c r="C111" s="186" t="s">
        <v>327</v>
      </c>
      <c r="D111" s="187"/>
      <c r="E111" s="187">
        <v>800</v>
      </c>
      <c r="F111" s="157"/>
      <c r="G111" s="228" t="s">
        <v>327</v>
      </c>
      <c r="H111" s="228">
        <v>2288976</v>
      </c>
      <c r="I111" s="228" t="s">
        <v>65</v>
      </c>
      <c r="J111" s="229"/>
      <c r="S111" s="58"/>
      <c r="T111" s="58"/>
      <c r="U111" s="58"/>
      <c r="V111" s="58"/>
    </row>
    <row r="112" spans="1:22" x14ac:dyDescent="0.3">
      <c r="A112" s="186">
        <v>43159</v>
      </c>
      <c r="B112" s="157"/>
      <c r="C112" s="186" t="s">
        <v>1305</v>
      </c>
      <c r="D112" s="187"/>
      <c r="E112" s="187">
        <v>85516</v>
      </c>
      <c r="F112" s="157"/>
      <c r="G112" s="228" t="s">
        <v>1306</v>
      </c>
      <c r="H112" s="228">
        <v>723</v>
      </c>
      <c r="I112" s="228" t="s">
        <v>228</v>
      </c>
      <c r="J112" s="229"/>
      <c r="K112" s="19"/>
      <c r="L112" s="19"/>
      <c r="M112" s="19"/>
      <c r="N112" s="19"/>
      <c r="O112" s="19"/>
      <c r="P112" s="19"/>
      <c r="Q112" s="19"/>
      <c r="R112" s="19"/>
      <c r="S112" s="58"/>
      <c r="T112" s="58"/>
      <c r="U112" s="58"/>
      <c r="V112" s="58"/>
    </row>
    <row r="113" spans="1:22" x14ac:dyDescent="0.3">
      <c r="A113" s="186"/>
      <c r="B113" s="157"/>
      <c r="C113" s="186"/>
      <c r="D113" s="187"/>
      <c r="E113" s="187"/>
      <c r="F113" s="157"/>
      <c r="G113" s="228"/>
      <c r="H113" s="228"/>
      <c r="I113" s="228" t="s">
        <v>65</v>
      </c>
      <c r="J113" s="229"/>
      <c r="K113" s="19"/>
      <c r="L113" s="19"/>
      <c r="M113" s="19"/>
      <c r="N113" s="19"/>
      <c r="O113" s="19"/>
      <c r="P113" s="19"/>
      <c r="Q113" s="19"/>
      <c r="R113" s="19"/>
      <c r="S113" s="58"/>
      <c r="T113" s="58"/>
      <c r="U113" s="58"/>
      <c r="V113" s="58"/>
    </row>
    <row r="114" spans="1:22" x14ac:dyDescent="0.3">
      <c r="A114" s="186"/>
      <c r="B114" s="157"/>
      <c r="C114" s="186"/>
      <c r="D114" s="187"/>
      <c r="E114" s="187"/>
      <c r="F114" s="157"/>
      <c r="G114" s="228"/>
      <c r="H114" s="228"/>
      <c r="I114" s="228" t="s">
        <v>91</v>
      </c>
      <c r="J114" s="229"/>
      <c r="K114" s="19"/>
      <c r="L114" s="19"/>
      <c r="M114" s="19"/>
      <c r="N114" s="19"/>
      <c r="O114" s="19"/>
      <c r="P114" s="19"/>
      <c r="Q114" s="19"/>
      <c r="R114" s="19"/>
      <c r="S114" s="58"/>
      <c r="T114" s="58"/>
      <c r="U114" s="58"/>
      <c r="V114" s="58"/>
    </row>
    <row r="115" spans="1:22" x14ac:dyDescent="0.3">
      <c r="A115" s="186"/>
      <c r="B115" s="157"/>
      <c r="C115" s="186"/>
      <c r="D115" s="187"/>
      <c r="E115" s="187"/>
      <c r="F115" s="157"/>
      <c r="G115" s="228"/>
      <c r="H115" s="228"/>
      <c r="I115" s="228" t="s">
        <v>91</v>
      </c>
      <c r="J115" s="229"/>
      <c r="K115" s="19"/>
      <c r="L115" s="19"/>
      <c r="M115" s="19"/>
      <c r="N115" s="19"/>
      <c r="O115" s="19"/>
      <c r="P115" s="19"/>
      <c r="Q115" s="19"/>
      <c r="R115" s="19"/>
      <c r="S115" s="58"/>
      <c r="T115" s="58"/>
      <c r="U115" s="58"/>
      <c r="V115" s="58"/>
    </row>
    <row r="116" spans="1:22" x14ac:dyDescent="0.3">
      <c r="A116" s="157"/>
      <c r="B116" s="157"/>
      <c r="C116" s="186"/>
      <c r="D116" s="187"/>
      <c r="E116" s="187"/>
      <c r="F116" s="157"/>
      <c r="G116" s="228"/>
      <c r="H116" s="228"/>
      <c r="I116" s="228"/>
      <c r="J116" s="185"/>
      <c r="K116" s="19"/>
      <c r="L116" s="19"/>
      <c r="M116" s="19"/>
      <c r="N116" s="19"/>
      <c r="O116" s="19"/>
      <c r="P116" s="19"/>
      <c r="Q116" s="19"/>
      <c r="R116" s="19"/>
      <c r="S116" s="58"/>
      <c r="T116" s="58"/>
      <c r="U116" s="58"/>
      <c r="V116" s="58"/>
    </row>
    <row r="117" spans="1:22" x14ac:dyDescent="0.3">
      <c r="A117" s="51"/>
      <c r="B117" s="51"/>
      <c r="C117" s="97"/>
      <c r="D117" s="48"/>
      <c r="E117" s="48"/>
      <c r="F117" s="51"/>
      <c r="G117" s="228"/>
      <c r="H117" s="228"/>
      <c r="I117" s="228"/>
      <c r="J117" s="54"/>
      <c r="K117" s="19"/>
      <c r="L117" s="19"/>
      <c r="M117" s="19"/>
      <c r="N117" s="19"/>
      <c r="O117" s="19"/>
      <c r="P117" s="19"/>
      <c r="Q117" s="19"/>
      <c r="R117" s="19"/>
      <c r="S117" s="58"/>
      <c r="T117" s="58"/>
      <c r="U117" s="58"/>
      <c r="V117" s="58"/>
    </row>
    <row r="118" spans="1:22" x14ac:dyDescent="0.3">
      <c r="A118" s="51"/>
      <c r="B118" s="51"/>
      <c r="C118" s="97"/>
      <c r="D118" s="48"/>
      <c r="E118" s="48"/>
      <c r="F118" s="51"/>
      <c r="G118" s="228"/>
      <c r="H118" s="228"/>
      <c r="I118" s="228"/>
      <c r="J118" s="54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51"/>
      <c r="B119" s="51"/>
      <c r="C119" s="97"/>
      <c r="D119" s="48"/>
      <c r="E119" s="48"/>
      <c r="F119" s="51"/>
      <c r="G119" s="228"/>
      <c r="H119" s="228"/>
      <c r="I119" s="228"/>
      <c r="J119" s="54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51"/>
      <c r="B120" s="51"/>
      <c r="C120" s="97"/>
      <c r="D120" s="48"/>
      <c r="E120" s="48"/>
      <c r="F120" s="51"/>
      <c r="G120" s="228"/>
      <c r="H120" s="228"/>
      <c r="I120" s="228"/>
      <c r="J120" s="54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51"/>
      <c r="B121" s="51"/>
      <c r="C121" s="97"/>
      <c r="D121" s="48"/>
      <c r="E121" s="48"/>
      <c r="F121" s="51"/>
      <c r="G121" s="228"/>
      <c r="H121" s="228"/>
      <c r="I121" s="228"/>
      <c r="J121" s="54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51"/>
      <c r="B122" s="51"/>
      <c r="C122" s="97"/>
      <c r="D122" s="48"/>
      <c r="E122" s="48"/>
      <c r="F122" s="51"/>
      <c r="G122" s="228"/>
      <c r="H122" s="228"/>
      <c r="I122" s="228"/>
      <c r="J122" s="54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"/>
      <c r="H123" s="51"/>
      <c r="I123" s="51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"/>
      <c r="H124" s="51"/>
      <c r="I124" s="51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"/>
      <c r="H125" s="51"/>
      <c r="I125" s="51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"/>
      <c r="H126" s="51"/>
      <c r="I126" s="51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"/>
      <c r="H127" s="51"/>
      <c r="I127" s="51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25"/>
      <c r="B128" s="25"/>
      <c r="C128" s="25"/>
      <c r="D128" s="101"/>
      <c r="E128" s="101"/>
      <c r="F128" s="25"/>
      <c r="G128" s="102"/>
      <c r="H128" s="25"/>
      <c r="I128" s="25"/>
      <c r="J128" s="58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2:24" x14ac:dyDescent="0.3">
      <c r="R129" s="58"/>
      <c r="S129" s="58"/>
      <c r="T129" s="58"/>
      <c r="U129" s="58"/>
      <c r="V129" s="58"/>
    </row>
    <row r="130" spans="2:24" x14ac:dyDescent="0.3">
      <c r="H130" s="21">
        <f>SUBTOTAL(9,D2:D127)</f>
        <v>560000</v>
      </c>
      <c r="I130" s="21">
        <f>SUBTOTAL(9,E2:E127)</f>
        <v>1962655</v>
      </c>
      <c r="J130" s="21">
        <f>SUBTOTAL(9,F2:F127)</f>
        <v>2500000</v>
      </c>
      <c r="R130" s="58"/>
      <c r="S130" s="58"/>
      <c r="T130" s="58"/>
      <c r="U130" s="58"/>
      <c r="V130" s="58"/>
    </row>
    <row r="131" spans="2:24" x14ac:dyDescent="0.3">
      <c r="Q131" s="21"/>
      <c r="R131" s="21"/>
      <c r="S131" s="21"/>
      <c r="T131" s="21"/>
      <c r="U131" s="21"/>
      <c r="V131" s="21"/>
      <c r="W131" s="21"/>
      <c r="X131" s="21"/>
    </row>
    <row r="132" spans="2:24" x14ac:dyDescent="0.3">
      <c r="N132" s="19"/>
      <c r="O132" s="19"/>
      <c r="P132" s="19"/>
      <c r="Q132" s="19"/>
      <c r="R132" s="19"/>
      <c r="S132" s="19"/>
      <c r="T132" s="21"/>
      <c r="U132" s="21"/>
      <c r="V132" s="21"/>
      <c r="W132" s="21"/>
      <c r="X132" s="21"/>
    </row>
    <row r="133" spans="2:24" x14ac:dyDescent="0.3">
      <c r="C133" s="23" t="s">
        <v>206</v>
      </c>
      <c r="D133" s="23">
        <v>150000</v>
      </c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21"/>
    </row>
    <row r="134" spans="2:24" x14ac:dyDescent="0.3"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21"/>
    </row>
    <row r="135" spans="2:24" x14ac:dyDescent="0.3">
      <c r="B135" s="31" t="s">
        <v>4</v>
      </c>
      <c r="C135" s="31" t="s">
        <v>77</v>
      </c>
      <c r="D135" s="32" t="s">
        <v>148</v>
      </c>
      <c r="E135" s="31" t="s">
        <v>149</v>
      </c>
      <c r="F135" s="31" t="s">
        <v>150</v>
      </c>
      <c r="G135" s="32" t="s">
        <v>109</v>
      </c>
      <c r="H135" s="32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21"/>
    </row>
    <row r="136" spans="2:24" x14ac:dyDescent="0.3">
      <c r="B136" s="48" t="s">
        <v>212</v>
      </c>
      <c r="C136" s="48">
        <f>'BCI '!H161</f>
        <v>44905</v>
      </c>
      <c r="D136" s="51">
        <f>Security!F67</f>
        <v>100020</v>
      </c>
      <c r="E136" s="48"/>
      <c r="F136" s="48">
        <f>C136+D136</f>
        <v>144925</v>
      </c>
      <c r="G136" s="51"/>
      <c r="H136" s="51"/>
      <c r="J136" s="22"/>
      <c r="K136" s="50" t="s">
        <v>137</v>
      </c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21"/>
    </row>
    <row r="137" spans="2:24" x14ac:dyDescent="0.3">
      <c r="B137" s="48" t="s">
        <v>34</v>
      </c>
      <c r="C137" s="48">
        <f>'BCI '!H162</f>
        <v>3527558</v>
      </c>
      <c r="D137" s="51">
        <f>Security!F68</f>
        <v>0</v>
      </c>
      <c r="E137" s="48"/>
      <c r="F137" s="48">
        <f t="shared" ref="F137:F152" si="2">C137+D137</f>
        <v>3527558</v>
      </c>
      <c r="G137" s="51"/>
      <c r="H137" s="51"/>
      <c r="J137" s="22">
        <v>39282</v>
      </c>
      <c r="K137" s="150" t="s">
        <v>92</v>
      </c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21"/>
    </row>
    <row r="138" spans="2:24" x14ac:dyDescent="0.3">
      <c r="B138" s="48" t="s">
        <v>126</v>
      </c>
      <c r="C138" s="48">
        <f>'BCI '!H163</f>
        <v>343724</v>
      </c>
      <c r="D138" s="51">
        <f>Security!F69</f>
        <v>0</v>
      </c>
      <c r="E138" s="48"/>
      <c r="F138" s="48">
        <f t="shared" si="2"/>
        <v>343724</v>
      </c>
      <c r="G138" s="51"/>
      <c r="H138" s="51"/>
      <c r="J138" s="22">
        <f>SUM(F2:F127)</f>
        <v>2500000</v>
      </c>
      <c r="K138" s="50" t="s">
        <v>94</v>
      </c>
      <c r="L138" s="19"/>
      <c r="N138" s="19"/>
      <c r="O138" s="19"/>
      <c r="P138" s="19"/>
      <c r="Q138" s="19"/>
      <c r="R138" s="19"/>
      <c r="S138" s="19"/>
      <c r="T138" s="19"/>
      <c r="U138" s="19"/>
      <c r="V138" s="21"/>
    </row>
    <row r="139" spans="2:24" x14ac:dyDescent="0.3">
      <c r="B139" s="48" t="s">
        <v>211</v>
      </c>
      <c r="C139" s="48">
        <f>'BCI '!H164</f>
        <v>0</v>
      </c>
      <c r="D139" s="51">
        <f>Security!F70</f>
        <v>0</v>
      </c>
      <c r="E139" s="48"/>
      <c r="F139" s="48">
        <f t="shared" si="2"/>
        <v>0</v>
      </c>
      <c r="G139" s="51"/>
      <c r="H139" s="51"/>
      <c r="J139" s="22">
        <f>J138+J137-J151</f>
        <v>576627</v>
      </c>
      <c r="K139" s="50" t="s">
        <v>93</v>
      </c>
      <c r="L139" s="19"/>
      <c r="N139" s="19"/>
      <c r="O139" s="19"/>
      <c r="P139" s="19"/>
      <c r="Q139" s="19"/>
      <c r="R139" s="19"/>
      <c r="S139" s="19"/>
      <c r="T139" s="19"/>
      <c r="U139" s="19"/>
      <c r="V139" s="21"/>
    </row>
    <row r="140" spans="2:24" x14ac:dyDescent="0.3">
      <c r="B140" s="48" t="s">
        <v>9</v>
      </c>
      <c r="C140" s="48">
        <f>'BCI '!H165</f>
        <v>602810</v>
      </c>
      <c r="D140" s="51">
        <f>Security!F71</f>
        <v>0</v>
      </c>
      <c r="E140" s="48"/>
      <c r="F140" s="48">
        <f t="shared" si="2"/>
        <v>602810</v>
      </c>
      <c r="G140" s="51">
        <f t="shared" ref="G140:G145" si="3">F140*0.19</f>
        <v>114533.9</v>
      </c>
      <c r="H140" s="51"/>
      <c r="J140" s="22"/>
      <c r="K140" s="50"/>
      <c r="L140" s="19"/>
      <c r="N140" s="19"/>
      <c r="O140" s="19"/>
      <c r="P140" s="19"/>
      <c r="Q140" s="19"/>
      <c r="R140" s="19"/>
      <c r="S140" s="19"/>
      <c r="T140" s="19"/>
      <c r="U140" s="19"/>
      <c r="V140" s="21"/>
    </row>
    <row r="141" spans="2:24" x14ac:dyDescent="0.3">
      <c r="B141" s="48" t="s">
        <v>213</v>
      </c>
      <c r="C141" s="48">
        <f>'BCI '!H166</f>
        <v>0</v>
      </c>
      <c r="D141" s="51">
        <f>Security!F72</f>
        <v>0</v>
      </c>
      <c r="E141" s="48"/>
      <c r="F141" s="48">
        <f t="shared" si="2"/>
        <v>0</v>
      </c>
      <c r="G141" s="51">
        <f t="shared" si="3"/>
        <v>0</v>
      </c>
      <c r="H141" s="51"/>
      <c r="J141" s="56" t="s">
        <v>59</v>
      </c>
      <c r="K141" s="55" t="s">
        <v>58</v>
      </c>
      <c r="L141" s="19"/>
      <c r="N141" s="19"/>
      <c r="O141" s="19"/>
      <c r="P141" s="19"/>
      <c r="Q141" s="19"/>
      <c r="R141" s="19"/>
      <c r="S141" s="19"/>
      <c r="T141" s="19"/>
      <c r="U141" s="19"/>
      <c r="V141" s="21"/>
    </row>
    <row r="142" spans="2:24" x14ac:dyDescent="0.3">
      <c r="B142" s="48" t="s">
        <v>215</v>
      </c>
      <c r="C142" s="48">
        <f>'BCI '!H167</f>
        <v>225190</v>
      </c>
      <c r="D142" s="51">
        <f>Security!F73</f>
        <v>0</v>
      </c>
      <c r="E142" s="48"/>
      <c r="F142" s="48">
        <f t="shared" si="2"/>
        <v>225190</v>
      </c>
      <c r="G142" s="51"/>
      <c r="H142" s="51"/>
      <c r="J142" s="249">
        <f t="shared" ref="J142:J150" si="4">SUMIF($I$2:$I$127,K142,$E$2:$E$127)</f>
        <v>165042</v>
      </c>
      <c r="K142" s="54" t="s">
        <v>229</v>
      </c>
      <c r="L142" s="177">
        <f>-J142</f>
        <v>-165042</v>
      </c>
      <c r="N142" s="19"/>
      <c r="O142" s="19"/>
      <c r="P142" s="19"/>
      <c r="Q142" s="19"/>
      <c r="R142" s="19"/>
      <c r="S142" s="19"/>
      <c r="T142" s="19"/>
      <c r="U142" s="19"/>
      <c r="V142" s="21"/>
    </row>
    <row r="143" spans="2:24" x14ac:dyDescent="0.3">
      <c r="B143" s="48" t="s">
        <v>214</v>
      </c>
      <c r="C143" s="48">
        <f>'BCI '!H168</f>
        <v>681416</v>
      </c>
      <c r="D143" s="51">
        <f>Security!F74</f>
        <v>0</v>
      </c>
      <c r="E143" s="48"/>
      <c r="F143" s="48">
        <f t="shared" si="2"/>
        <v>681416</v>
      </c>
      <c r="G143" s="51">
        <f t="shared" si="3"/>
        <v>129469.04000000001</v>
      </c>
      <c r="H143" s="51"/>
      <c r="J143" s="249">
        <f t="shared" si="4"/>
        <v>79400</v>
      </c>
      <c r="K143" s="54" t="s">
        <v>227</v>
      </c>
      <c r="L143" s="177">
        <f t="shared" ref="L143:L150" si="5">-J143</f>
        <v>-79400</v>
      </c>
      <c r="N143" s="19"/>
      <c r="O143" s="19"/>
      <c r="P143" s="19"/>
      <c r="Q143" s="19"/>
      <c r="R143" s="19"/>
      <c r="S143" s="19"/>
      <c r="T143" s="19"/>
      <c r="U143" s="19"/>
      <c r="V143" s="21"/>
    </row>
    <row r="144" spans="2:24" x14ac:dyDescent="0.3">
      <c r="B144" s="48" t="s">
        <v>27</v>
      </c>
      <c r="C144" s="48">
        <f>'BCI '!H169</f>
        <v>0</v>
      </c>
      <c r="D144" s="51">
        <f>Security!F75</f>
        <v>2406390</v>
      </c>
      <c r="E144" s="48"/>
      <c r="F144" s="48">
        <f t="shared" si="2"/>
        <v>2406390</v>
      </c>
      <c r="G144" s="51"/>
      <c r="H144" s="51"/>
      <c r="J144" s="51">
        <f t="shared" si="4"/>
        <v>0</v>
      </c>
      <c r="K144" s="54" t="s">
        <v>238</v>
      </c>
      <c r="L144" s="177">
        <f t="shared" si="5"/>
        <v>0</v>
      </c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1:24" x14ac:dyDescent="0.3">
      <c r="B145" s="48" t="s">
        <v>12</v>
      </c>
      <c r="C145" s="48">
        <f>'BCI '!H170</f>
        <v>0</v>
      </c>
      <c r="D145" s="51">
        <f>Security!F76</f>
        <v>0</v>
      </c>
      <c r="E145" s="48"/>
      <c r="F145" s="48">
        <f t="shared" si="2"/>
        <v>0</v>
      </c>
      <c r="G145" s="51">
        <f t="shared" si="3"/>
        <v>0</v>
      </c>
      <c r="H145" s="51"/>
      <c r="J145" s="249">
        <f t="shared" si="4"/>
        <v>62859</v>
      </c>
      <c r="K145" s="54" t="s">
        <v>226</v>
      </c>
      <c r="L145" s="177">
        <f t="shared" si="5"/>
        <v>-62859</v>
      </c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1:24" x14ac:dyDescent="0.3">
      <c r="B146" s="48" t="s">
        <v>22</v>
      </c>
      <c r="C146" s="48">
        <f>'BCI '!H171</f>
        <v>4174516</v>
      </c>
      <c r="D146" s="51">
        <f>Security!F77</f>
        <v>906768</v>
      </c>
      <c r="E146" s="48"/>
      <c r="F146" s="48">
        <f t="shared" si="2"/>
        <v>5081284</v>
      </c>
      <c r="G146" s="51"/>
      <c r="H146" s="51"/>
      <c r="J146" s="249">
        <f t="shared" si="4"/>
        <v>1030607</v>
      </c>
      <c r="K146" s="54" t="s">
        <v>228</v>
      </c>
      <c r="L146" s="177">
        <f t="shared" si="5"/>
        <v>-1030607</v>
      </c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21"/>
    </row>
    <row r="147" spans="1:24" x14ac:dyDescent="0.3">
      <c r="B147" s="48" t="s">
        <v>216</v>
      </c>
      <c r="C147" s="48">
        <f>'BCI '!H172</f>
        <v>2211084</v>
      </c>
      <c r="D147" s="51">
        <f>Security!F78</f>
        <v>0</v>
      </c>
      <c r="E147" s="48"/>
      <c r="F147" s="48">
        <f t="shared" si="2"/>
        <v>2211084</v>
      </c>
      <c r="G147" s="51">
        <f>F147*0.19</f>
        <v>420105.96</v>
      </c>
      <c r="H147" s="51"/>
      <c r="J147" s="249">
        <f t="shared" si="4"/>
        <v>489229</v>
      </c>
      <c r="K147" s="54" t="s">
        <v>65</v>
      </c>
      <c r="L147" s="177">
        <f t="shared" si="5"/>
        <v>-489229</v>
      </c>
      <c r="M147" s="86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21"/>
    </row>
    <row r="148" spans="1:24" x14ac:dyDescent="0.3">
      <c r="B148" s="48" t="s">
        <v>33</v>
      </c>
      <c r="C148" s="48">
        <f>'BCI '!H173</f>
        <v>9880375</v>
      </c>
      <c r="D148" s="51">
        <f>Security!F79</f>
        <v>1352242</v>
      </c>
      <c r="E148" s="48"/>
      <c r="F148" s="48">
        <f t="shared" si="2"/>
        <v>11232617</v>
      </c>
      <c r="G148" s="51"/>
      <c r="H148" s="51"/>
      <c r="J148" s="249">
        <f t="shared" si="4"/>
        <v>5960</v>
      </c>
      <c r="K148" s="54" t="s">
        <v>231</v>
      </c>
      <c r="L148" s="177">
        <f t="shared" si="5"/>
        <v>-5960</v>
      </c>
      <c r="Q148" s="19"/>
      <c r="R148" s="19"/>
      <c r="S148" s="19"/>
      <c r="T148" s="19"/>
      <c r="U148" s="21"/>
      <c r="V148" s="21"/>
      <c r="W148" s="21"/>
      <c r="X148" s="21"/>
    </row>
    <row r="149" spans="1:24" x14ac:dyDescent="0.3">
      <c r="B149" s="48" t="s">
        <v>164</v>
      </c>
      <c r="C149" s="48">
        <f>'BCI '!H174</f>
        <v>80772</v>
      </c>
      <c r="D149" s="51">
        <f>Security!F80</f>
        <v>16037000</v>
      </c>
      <c r="E149" s="48"/>
      <c r="F149" s="48">
        <f t="shared" si="2"/>
        <v>16117772</v>
      </c>
      <c r="G149" s="51"/>
      <c r="H149" s="51"/>
      <c r="J149" s="249">
        <f t="shared" si="4"/>
        <v>0</v>
      </c>
      <c r="K149" s="54" t="s">
        <v>91</v>
      </c>
      <c r="L149" s="177">
        <f t="shared" si="5"/>
        <v>0</v>
      </c>
      <c r="O149" s="21"/>
      <c r="Q149" s="19"/>
      <c r="R149" s="19"/>
      <c r="S149" s="19"/>
      <c r="T149" s="19"/>
      <c r="U149" s="21"/>
      <c r="V149" s="21"/>
      <c r="W149" s="21"/>
      <c r="X149" s="21"/>
    </row>
    <row r="150" spans="1:24" x14ac:dyDescent="0.3">
      <c r="B150" s="48" t="s">
        <v>165</v>
      </c>
      <c r="C150" s="48">
        <f>'BCI '!H175</f>
        <v>-22428375</v>
      </c>
      <c r="D150" s="51">
        <f>Security!F81</f>
        <v>-29385784.669999998</v>
      </c>
      <c r="E150" s="48"/>
      <c r="F150" s="48">
        <f t="shared" si="2"/>
        <v>-51814159.670000002</v>
      </c>
      <c r="G150" s="51"/>
      <c r="H150" s="51"/>
      <c r="J150" s="249">
        <f t="shared" si="4"/>
        <v>129558</v>
      </c>
      <c r="K150" s="54" t="s">
        <v>182</v>
      </c>
      <c r="L150" s="177">
        <f t="shared" si="5"/>
        <v>-129558</v>
      </c>
      <c r="N150" s="19"/>
      <c r="O150" s="21"/>
      <c r="Q150" s="19"/>
      <c r="R150" s="19"/>
      <c r="S150" s="19"/>
      <c r="T150" s="19"/>
      <c r="U150" s="21"/>
      <c r="V150" s="21"/>
      <c r="W150" s="21"/>
      <c r="X150" s="21"/>
    </row>
    <row r="151" spans="1:24" x14ac:dyDescent="0.3">
      <c r="B151" s="48" t="s">
        <v>217</v>
      </c>
      <c r="C151" s="48">
        <f>'BCI '!H176</f>
        <v>-223613</v>
      </c>
      <c r="D151" s="51">
        <f>Security!F82</f>
        <v>0</v>
      </c>
      <c r="E151" s="48"/>
      <c r="F151" s="48">
        <f t="shared" si="2"/>
        <v>-223613</v>
      </c>
      <c r="G151" s="51"/>
      <c r="H151" s="51"/>
      <c r="J151" s="74">
        <f>SUM(J142:J150)</f>
        <v>1962655</v>
      </c>
      <c r="K151" s="73"/>
      <c r="L151" s="19"/>
      <c r="N151" s="19"/>
      <c r="O151" s="21"/>
      <c r="Q151" s="19"/>
      <c r="R151" s="19"/>
      <c r="S151" s="19"/>
      <c r="T151" s="19"/>
      <c r="U151" s="21"/>
      <c r="V151" s="21"/>
      <c r="W151" s="21"/>
      <c r="X151" s="21"/>
    </row>
    <row r="152" spans="1:24" x14ac:dyDescent="0.3">
      <c r="B152" s="48" t="s">
        <v>218</v>
      </c>
      <c r="C152" s="48">
        <f>'BCI '!H177</f>
        <v>0</v>
      </c>
      <c r="D152" s="51">
        <f>Security!F83</f>
        <v>0</v>
      </c>
      <c r="E152" s="48"/>
      <c r="F152" s="48">
        <f t="shared" si="2"/>
        <v>0</v>
      </c>
      <c r="G152" s="51"/>
      <c r="H152" s="51"/>
      <c r="J152" s="19"/>
      <c r="K152" s="19"/>
      <c r="L152" s="19"/>
      <c r="N152" s="19"/>
      <c r="O152" s="21"/>
      <c r="Q152" s="19"/>
      <c r="R152" s="19"/>
      <c r="S152" s="19"/>
      <c r="T152" s="19"/>
      <c r="U152" s="21"/>
      <c r="V152" s="21"/>
      <c r="W152" s="21"/>
      <c r="X152" s="21"/>
    </row>
    <row r="153" spans="1:24" x14ac:dyDescent="0.3">
      <c r="B153" s="140" t="s">
        <v>25</v>
      </c>
      <c r="C153" s="140">
        <f>SUM(C136:C152)</f>
        <v>-879638</v>
      </c>
      <c r="D153" s="141">
        <f>SUM(D136:D152)</f>
        <v>-8583364.6699999981</v>
      </c>
      <c r="E153" s="140"/>
      <c r="F153" s="140">
        <f>SUM(F136:F152)</f>
        <v>-9463002.6700000018</v>
      </c>
      <c r="G153" s="141">
        <f>SUM(G136:G152)</f>
        <v>664108.9</v>
      </c>
      <c r="H153" s="141"/>
      <c r="J153" s="19"/>
      <c r="K153" s="19"/>
      <c r="L153" s="19"/>
      <c r="N153" s="19"/>
      <c r="O153" s="21"/>
      <c r="Q153" s="21"/>
      <c r="R153" s="21"/>
      <c r="S153" s="21"/>
      <c r="T153" s="21"/>
      <c r="U153" s="21"/>
      <c r="V153" s="21"/>
      <c r="W153" s="21"/>
      <c r="X153" s="21"/>
    </row>
    <row r="154" spans="1:24" x14ac:dyDescent="0.3">
      <c r="B154" s="48"/>
      <c r="C154" s="48"/>
      <c r="D154" s="51"/>
      <c r="E154" s="48"/>
      <c r="F154" s="48"/>
      <c r="K154" s="19"/>
      <c r="L154" s="19"/>
      <c r="N154" s="19"/>
      <c r="O154" s="21"/>
      <c r="Q154" s="21"/>
      <c r="R154" s="21"/>
      <c r="S154" s="21"/>
      <c r="T154" s="21"/>
      <c r="U154" s="21"/>
      <c r="V154" s="21"/>
      <c r="W154" s="21"/>
      <c r="X154" s="21"/>
    </row>
    <row r="155" spans="1:24" ht="18" x14ac:dyDescent="0.35">
      <c r="B155" s="48"/>
      <c r="C155" s="48"/>
      <c r="D155" s="51"/>
      <c r="E155" s="48"/>
      <c r="F155" s="143"/>
      <c r="G155" s="143"/>
      <c r="H155" s="144"/>
      <c r="K155" s="19"/>
      <c r="L155" s="19"/>
      <c r="N155" s="19"/>
      <c r="O155" s="21"/>
      <c r="Q155" s="21"/>
      <c r="R155" s="21"/>
      <c r="S155" s="21"/>
      <c r="T155" s="21"/>
      <c r="U155" s="21"/>
      <c r="V155" s="21"/>
      <c r="W155" s="21"/>
      <c r="X155" s="21"/>
    </row>
    <row r="156" spans="1:24" ht="18" x14ac:dyDescent="0.35">
      <c r="A156" s="21"/>
      <c r="B156" s="48"/>
      <c r="C156" s="48"/>
      <c r="D156" s="51"/>
      <c r="E156" s="51"/>
      <c r="F156" s="143"/>
      <c r="G156" s="143"/>
      <c r="H156" s="144"/>
      <c r="K156" s="19"/>
      <c r="L156" s="19"/>
      <c r="O156" s="21"/>
      <c r="Q156" s="21"/>
      <c r="R156" s="21"/>
      <c r="S156" s="21"/>
      <c r="T156" s="21"/>
      <c r="U156" s="21"/>
      <c r="V156" s="21"/>
      <c r="W156" s="21"/>
      <c r="X156" s="21"/>
    </row>
    <row r="157" spans="1:24" ht="18" x14ac:dyDescent="0.35">
      <c r="A157" s="21"/>
      <c r="B157" s="140" t="s">
        <v>25</v>
      </c>
      <c r="C157" s="140"/>
      <c r="D157" s="141"/>
      <c r="E157" s="31"/>
      <c r="F157" s="31"/>
      <c r="G157" s="31"/>
      <c r="H157" s="145">
        <f>SUM(H155:H156)</f>
        <v>0</v>
      </c>
      <c r="K157" s="19"/>
      <c r="L157" s="19"/>
      <c r="O157" s="21"/>
      <c r="Q157" s="21"/>
      <c r="R157" s="21"/>
      <c r="S157" s="21"/>
      <c r="T157" s="21"/>
      <c r="U157" s="21"/>
      <c r="V157" s="21"/>
      <c r="W157" s="21"/>
      <c r="X157" s="21"/>
    </row>
    <row r="158" spans="1:24" x14ac:dyDescent="0.3">
      <c r="A158" s="21"/>
      <c r="D158" s="21"/>
      <c r="K158" s="19"/>
      <c r="L158" s="19"/>
      <c r="N158" s="19"/>
      <c r="O158" s="21"/>
      <c r="Q158" s="21"/>
      <c r="R158" s="21"/>
      <c r="S158" s="21"/>
      <c r="T158" s="21"/>
      <c r="U158" s="21"/>
      <c r="V158" s="21"/>
      <c r="W158" s="21"/>
      <c r="X158" s="21"/>
    </row>
    <row r="159" spans="1:24" x14ac:dyDescent="0.3">
      <c r="D159" s="21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1:24" x14ac:dyDescent="0.3"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4:24" x14ac:dyDescent="0.3"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4:24" x14ac:dyDescent="0.3">
      <c r="N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4:24" x14ac:dyDescent="0.3">
      <c r="N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4:24" x14ac:dyDescent="0.3"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4:24" x14ac:dyDescent="0.3"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4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4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4:24" x14ac:dyDescent="0.3"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4:24" x14ac:dyDescent="0.3"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4:24" x14ac:dyDescent="0.3">
      <c r="Q170" s="21"/>
      <c r="R170" s="21"/>
      <c r="S170" s="21"/>
      <c r="T170" s="21"/>
      <c r="U170" s="21"/>
      <c r="V170" s="21"/>
      <c r="W170" s="21"/>
      <c r="X170" s="21"/>
    </row>
    <row r="171" spans="14:24" x14ac:dyDescent="0.3">
      <c r="Q171" s="21"/>
      <c r="R171" s="21"/>
      <c r="S171" s="21"/>
      <c r="T171" s="21"/>
      <c r="U171" s="21"/>
      <c r="V171" s="21"/>
      <c r="W171" s="21"/>
      <c r="X171" s="21"/>
    </row>
    <row r="172" spans="14:24" x14ac:dyDescent="0.3">
      <c r="Q172" s="21"/>
      <c r="R172" s="21"/>
      <c r="S172" s="21"/>
      <c r="T172" s="21"/>
      <c r="U172" s="21"/>
      <c r="V172" s="21"/>
      <c r="W172" s="21"/>
      <c r="X172" s="21"/>
    </row>
    <row r="173" spans="14:24" x14ac:dyDescent="0.3">
      <c r="Q173" s="21"/>
      <c r="R173" s="21"/>
      <c r="S173" s="21"/>
      <c r="T173" s="21"/>
      <c r="U173" s="21"/>
      <c r="V173" s="21"/>
      <c r="W173" s="21"/>
      <c r="X173" s="21"/>
    </row>
    <row r="174" spans="14:24" x14ac:dyDescent="0.3">
      <c r="Q174" s="21"/>
      <c r="R174" s="21"/>
      <c r="S174" s="21"/>
      <c r="T174" s="21"/>
      <c r="U174" s="21"/>
      <c r="V174" s="21"/>
      <c r="W174" s="21"/>
      <c r="X174" s="21"/>
    </row>
    <row r="175" spans="14:24" x14ac:dyDescent="0.3">
      <c r="Q175" s="21"/>
      <c r="R175" s="21"/>
      <c r="S175" s="21"/>
      <c r="T175" s="21"/>
      <c r="U175" s="21"/>
      <c r="V175" s="21"/>
      <c r="W175" s="21"/>
      <c r="X175" s="21"/>
    </row>
    <row r="176" spans="14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</sheetData>
  <autoFilter ref="A1:J128"/>
  <sortState ref="A2:J54">
    <sortCondition ref="A2:A54"/>
  </sortState>
  <dataValidations disablePrompts="1"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210</v>
      </c>
    </row>
    <row r="2" spans="1:1" ht="25.8" x14ac:dyDescent="0.5">
      <c r="A2" s="245" t="s">
        <v>212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211</v>
      </c>
    </row>
    <row r="6" spans="1:1" ht="26.25" x14ac:dyDescent="0.4">
      <c r="A6" s="246" t="s">
        <v>9</v>
      </c>
    </row>
    <row r="7" spans="1:1" ht="26.25" x14ac:dyDescent="0.4">
      <c r="A7" s="247" t="s">
        <v>213</v>
      </c>
    </row>
    <row r="8" spans="1:1" ht="25.8" x14ac:dyDescent="0.5">
      <c r="A8" s="245" t="s">
        <v>215</v>
      </c>
    </row>
    <row r="9" spans="1:1" ht="25.8" x14ac:dyDescent="0.5">
      <c r="A9" s="245" t="s">
        <v>214</v>
      </c>
    </row>
    <row r="10" spans="1:1" ht="26.25" x14ac:dyDescent="0.4">
      <c r="A10" s="247" t="s">
        <v>27</v>
      </c>
    </row>
    <row r="11" spans="1:1" ht="25.8" x14ac:dyDescent="0.5">
      <c r="A11" s="245" t="s">
        <v>12</v>
      </c>
    </row>
    <row r="12" spans="1:1" ht="26.25" x14ac:dyDescent="0.4">
      <c r="A12" s="245" t="s">
        <v>22</v>
      </c>
    </row>
    <row r="13" spans="1:1" ht="26.25" x14ac:dyDescent="0.4">
      <c r="A13" s="246" t="s">
        <v>216</v>
      </c>
    </row>
    <row r="14" spans="1:1" ht="26.25" x14ac:dyDescent="0.4">
      <c r="A14" s="245" t="s">
        <v>33</v>
      </c>
    </row>
    <row r="15" spans="1:1" ht="26.25" x14ac:dyDescent="0.4">
      <c r="A15" s="246" t="s">
        <v>164</v>
      </c>
    </row>
    <row r="16" spans="1:1" ht="26.25" x14ac:dyDescent="0.4">
      <c r="A16" s="245" t="s">
        <v>165</v>
      </c>
    </row>
    <row r="17" spans="1:1" ht="25.95" x14ac:dyDescent="0.5">
      <c r="A17" s="245" t="s">
        <v>217</v>
      </c>
    </row>
    <row r="18" spans="1:1" ht="25.8" x14ac:dyDescent="0.5">
      <c r="A18" s="245" t="s">
        <v>218</v>
      </c>
    </row>
    <row r="19" spans="1:1" ht="25.8" x14ac:dyDescent="0.5">
      <c r="A19" s="248" t="s">
        <v>243</v>
      </c>
    </row>
    <row r="20" spans="1:1" ht="21.6" customHeight="1" x14ac:dyDescent="0.5">
      <c r="A20" s="248" t="s">
        <v>273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 (2)</vt:lpstr>
      <vt:lpstr>EERR</vt:lpstr>
      <vt:lpstr>Feb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2018-06-08T01:37:36Z</dcterms:modified>
</cp:coreProperties>
</file>