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i unidad\HOTEL PASCUAL 2018\EERR\2019\4.- Abril\"/>
    </mc:Choice>
  </mc:AlternateContent>
  <bookViews>
    <workbookView xWindow="0" yWindow="0" windowWidth="23040" windowHeight="9390"/>
  </bookViews>
  <sheets>
    <sheet name="EERR" sheetId="11" r:id="rId1"/>
    <sheet name="Abr" sheetId="16" r:id="rId2"/>
    <sheet name="Siteminder" sheetId="38" r:id="rId3"/>
    <sheet name="Transbank" sheetId="23" r:id="rId4"/>
    <sheet name="BCI " sheetId="15" r:id="rId5"/>
    <sheet name="Security" sheetId="8" r:id="rId6"/>
    <sheet name="BCI FondRendir" sheetId="14" r:id="rId7"/>
    <sheet name="1" sheetId="36" r:id="rId8"/>
    <sheet name="IVA Sergio" sheetId="37" state="hidden" r:id="rId9"/>
  </sheets>
  <externalReferences>
    <externalReference r:id="rId10"/>
    <externalReference r:id="rId11"/>
  </externalReferences>
  <definedNames>
    <definedName name="_xlnm._FilterDatabase" localSheetId="1" hidden="1">Abr!$A$2:$X$107</definedName>
    <definedName name="_xlnm._FilterDatabase" localSheetId="4" hidden="1">'BCI '!$O$2:$W$36</definedName>
    <definedName name="_xlnm._FilterDatabase" localSheetId="6" hidden="1">'BCI FondRendir'!$A$1:$J$134</definedName>
    <definedName name="_xlnm._FilterDatabase" localSheetId="5" hidden="1">Security!$A$1:$G$61</definedName>
    <definedName name="_xlnm._FilterDatabase" localSheetId="2" hidden="1">Siteminder!$A$4:$K$111</definedName>
    <definedName name="_xlnm._FilterDatabase" localSheetId="3" hidden="1">Transbank!$A$1:$S$364</definedName>
    <definedName name="Clasificación">[1]Hoja1!$A$2:$A$10</definedName>
  </definedNames>
  <calcPr calcId="152511"/>
</workbook>
</file>

<file path=xl/calcChain.xml><?xml version="1.0" encoding="utf-8"?>
<calcChain xmlns="http://schemas.openxmlformats.org/spreadsheetml/2006/main">
  <c r="G147" i="14" l="1"/>
  <c r="F147" i="14"/>
  <c r="H147" i="14" s="1"/>
  <c r="H143" i="14"/>
  <c r="H144" i="14"/>
  <c r="H145" i="14"/>
  <c r="H146" i="14"/>
  <c r="H148" i="14"/>
  <c r="H149" i="14"/>
  <c r="H150" i="14"/>
  <c r="H151" i="14"/>
  <c r="H152" i="14"/>
  <c r="H153" i="14"/>
  <c r="H154" i="14"/>
  <c r="H155" i="14"/>
  <c r="H156" i="14"/>
  <c r="H157" i="14"/>
  <c r="H158" i="14"/>
  <c r="H142" i="14"/>
  <c r="D143" i="14"/>
  <c r="D144" i="14"/>
  <c r="D145" i="14"/>
  <c r="D146" i="14"/>
  <c r="D147" i="14"/>
  <c r="D148" i="14"/>
  <c r="D149" i="14"/>
  <c r="D150" i="14"/>
  <c r="D151" i="14"/>
  <c r="D152" i="14"/>
  <c r="D153" i="14"/>
  <c r="D154" i="14"/>
  <c r="D155" i="14"/>
  <c r="D156" i="14"/>
  <c r="D157" i="14"/>
  <c r="D158" i="14"/>
  <c r="C143" i="14"/>
  <c r="C144" i="14"/>
  <c r="C145" i="14"/>
  <c r="C146" i="14"/>
  <c r="C147" i="14"/>
  <c r="C148" i="14"/>
  <c r="C149" i="14"/>
  <c r="C150" i="14"/>
  <c r="C151" i="14"/>
  <c r="C152" i="14"/>
  <c r="C153" i="14"/>
  <c r="C154" i="14"/>
  <c r="C155" i="14"/>
  <c r="C156" i="14"/>
  <c r="C157" i="14"/>
  <c r="C158" i="14"/>
  <c r="P40" i="38" l="1"/>
  <c r="L5" i="38"/>
  <c r="Q19" i="38"/>
  <c r="F146" i="15" l="1"/>
  <c r="F147"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E5" i="11" l="1"/>
  <c r="D5" i="11"/>
  <c r="J65" i="16"/>
  <c r="J84" i="16"/>
  <c r="X86" i="16"/>
  <c r="Y86" i="16" s="1"/>
  <c r="X87" i="16"/>
  <c r="Y87" i="16" s="1"/>
  <c r="X91" i="16"/>
  <c r="Y91" i="16" s="1"/>
  <c r="X94" i="16"/>
  <c r="Y94" i="16" s="1"/>
  <c r="X99" i="16"/>
  <c r="Y99" i="16" s="1"/>
  <c r="X100" i="16"/>
  <c r="Y100" i="16" s="1"/>
  <c r="X101" i="16"/>
  <c r="Y101" i="16" s="1"/>
  <c r="X102" i="16"/>
  <c r="Y102" i="16" s="1"/>
  <c r="X71" i="16"/>
  <c r="Y71" i="16" s="1"/>
  <c r="X72" i="16"/>
  <c r="Y72" i="16" s="1"/>
  <c r="X73" i="16"/>
  <c r="Y73" i="16" s="1"/>
  <c r="X74" i="16"/>
  <c r="Y74" i="16" s="1"/>
  <c r="X75" i="16"/>
  <c r="Y75" i="16" s="1"/>
  <c r="X77" i="16"/>
  <c r="Y77" i="16" s="1"/>
  <c r="X81" i="16"/>
  <c r="Y81" i="16" s="1"/>
  <c r="X82" i="16"/>
  <c r="Y82" i="16" s="1"/>
  <c r="X83" i="16"/>
  <c r="Y83" i="16" s="1"/>
  <c r="X6" i="16"/>
  <c r="Y6" i="16" s="1"/>
  <c r="X15" i="16"/>
  <c r="Y15" i="16" s="1"/>
  <c r="X16" i="16"/>
  <c r="Y16" i="16" s="1"/>
  <c r="X21" i="16"/>
  <c r="Y21" i="16" s="1"/>
  <c r="X24" i="16"/>
  <c r="Y24" i="16" s="1"/>
  <c r="X26" i="16"/>
  <c r="Y26" i="16" s="1"/>
  <c r="X29" i="16"/>
  <c r="Y29" i="16" s="1"/>
  <c r="X30" i="16"/>
  <c r="Y30" i="16" s="1"/>
  <c r="X32" i="16"/>
  <c r="Y32" i="16" s="1"/>
  <c r="X33" i="16"/>
  <c r="Y33" i="16" s="1"/>
  <c r="X35" i="16"/>
  <c r="Y35" i="16" s="1"/>
  <c r="X41" i="16"/>
  <c r="Y41" i="16" s="1"/>
  <c r="X44" i="16"/>
  <c r="Y44" i="16" s="1"/>
  <c r="X54" i="16"/>
  <c r="Y54" i="16" s="1"/>
  <c r="X57" i="16"/>
  <c r="Y57" i="16" s="1"/>
  <c r="X58" i="16"/>
  <c r="Y58" i="16" s="1"/>
  <c r="X59" i="16"/>
  <c r="Y59" i="16" s="1"/>
  <c r="X60" i="16"/>
  <c r="Y60" i="16" s="1"/>
  <c r="X61" i="16"/>
  <c r="Y61" i="16" s="1"/>
  <c r="X62" i="16"/>
  <c r="Y62" i="16" s="1"/>
  <c r="X63" i="16"/>
  <c r="Y63" i="16" s="1"/>
  <c r="X64" i="16"/>
  <c r="Y64" i="16" s="1"/>
  <c r="W66" i="16"/>
  <c r="X66" i="16"/>
  <c r="Y66" i="16" s="1"/>
  <c r="M5" i="38"/>
  <c r="O56" i="23"/>
  <c r="O57" i="23"/>
  <c r="O58"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21" i="23"/>
  <c r="O22" i="23"/>
  <c r="O6" i="23"/>
  <c r="O7" i="23"/>
  <c r="O8" i="23"/>
  <c r="O4" i="23"/>
  <c r="O5" i="23"/>
  <c r="O9" i="23"/>
  <c r="O10" i="23"/>
  <c r="O11" i="23"/>
  <c r="O12" i="23"/>
  <c r="O13" i="23"/>
  <c r="O14" i="23"/>
  <c r="O15" i="23"/>
  <c r="O16" i="23"/>
  <c r="O17" i="23"/>
  <c r="O18" i="23"/>
  <c r="O19" i="23"/>
  <c r="O20"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T82" i="16" l="1"/>
  <c r="S82" i="16"/>
  <c r="U82" i="16" s="1"/>
  <c r="V82" i="16" l="1"/>
  <c r="T104" i="16" l="1"/>
  <c r="S102" i="16" l="1"/>
  <c r="T102" i="16"/>
  <c r="S78" i="16"/>
  <c r="T78" i="16"/>
  <c r="S79" i="16"/>
  <c r="T79" i="16"/>
  <c r="S80" i="16"/>
  <c r="T80" i="16"/>
  <c r="S81" i="16"/>
  <c r="T81" i="16"/>
  <c r="W81" i="16"/>
  <c r="M6" i="38"/>
  <c r="M7" i="38"/>
  <c r="M8" i="38"/>
  <c r="M9" i="38"/>
  <c r="M10" i="38"/>
  <c r="M11" i="38"/>
  <c r="M12" i="38"/>
  <c r="M13" i="38"/>
  <c r="M14" i="38"/>
  <c r="M15" i="38"/>
  <c r="M16" i="38"/>
  <c r="M17" i="38"/>
  <c r="M18" i="38"/>
  <c r="M19" i="38"/>
  <c r="M20" i="38"/>
  <c r="M21" i="38"/>
  <c r="M22" i="38"/>
  <c r="M23" i="38"/>
  <c r="M24" i="38"/>
  <c r="M25" i="38"/>
  <c r="O25" i="38" s="1"/>
  <c r="P25" i="38" s="1"/>
  <c r="W19" i="16" s="1"/>
  <c r="M26" i="38"/>
  <c r="O26" i="38" s="1"/>
  <c r="P26" i="38" s="1"/>
  <c r="M27" i="38"/>
  <c r="O27" i="38" s="1"/>
  <c r="P27" i="38" s="1"/>
  <c r="W18" i="16" s="1"/>
  <c r="M28" i="38"/>
  <c r="O28" i="38" s="1"/>
  <c r="P28" i="38" s="1"/>
  <c r="W17" i="16" s="1"/>
  <c r="M29" i="38"/>
  <c r="O29" i="38" s="1"/>
  <c r="P29" i="38" s="1"/>
  <c r="W20" i="16" s="1"/>
  <c r="M30" i="38"/>
  <c r="O30" i="38" s="1"/>
  <c r="P30" i="38" s="1"/>
  <c r="M31" i="38"/>
  <c r="O31" i="38" s="1"/>
  <c r="P31" i="38" s="1"/>
  <c r="W22" i="16" s="1"/>
  <c r="M32" i="38"/>
  <c r="O32" i="38" s="1"/>
  <c r="P32" i="38" s="1"/>
  <c r="W21" i="16" s="1"/>
  <c r="M33" i="38"/>
  <c r="O33" i="38" s="1"/>
  <c r="P33" i="38" s="1"/>
  <c r="W23" i="16" s="1"/>
  <c r="M34" i="38"/>
  <c r="O34" i="38" s="1"/>
  <c r="P34" i="38" s="1"/>
  <c r="M35" i="38"/>
  <c r="O35" i="38" s="1"/>
  <c r="P35" i="38" s="1"/>
  <c r="W24" i="16" s="1"/>
  <c r="M36" i="38"/>
  <c r="O36" i="38" s="1"/>
  <c r="P36" i="38" s="1"/>
  <c r="M37" i="38"/>
  <c r="O37" i="38" s="1"/>
  <c r="P37" i="38" s="1"/>
  <c r="M38" i="38"/>
  <c r="O38" i="38" s="1"/>
  <c r="P38" i="38" s="1"/>
  <c r="M39" i="38"/>
  <c r="O39" i="38" s="1"/>
  <c r="P39" i="38" s="1"/>
  <c r="M40" i="38"/>
  <c r="O40" i="38" s="1"/>
  <c r="M41" i="38"/>
  <c r="O41" i="38" s="1"/>
  <c r="P41" i="38" s="1"/>
  <c r="M42" i="38"/>
  <c r="O42" i="38" s="1"/>
  <c r="P42" i="38" s="1"/>
  <c r="W25" i="16" s="1"/>
  <c r="M43" i="38"/>
  <c r="O43" i="38" s="1"/>
  <c r="P43" i="38" s="1"/>
  <c r="M44" i="38"/>
  <c r="O44" i="38" s="1"/>
  <c r="P44" i="38" s="1"/>
  <c r="W26" i="16" s="1"/>
  <c r="M45" i="38"/>
  <c r="O45" i="38" s="1"/>
  <c r="P45" i="38" s="1"/>
  <c r="M46" i="38"/>
  <c r="O46" i="38" s="1"/>
  <c r="P46" i="38" s="1"/>
  <c r="W27" i="16" s="1"/>
  <c r="M47" i="38"/>
  <c r="O47" i="38" s="1"/>
  <c r="P47" i="38" s="1"/>
  <c r="M48" i="38"/>
  <c r="O48" i="38" s="1"/>
  <c r="P48" i="38" s="1"/>
  <c r="W29" i="16" s="1"/>
  <c r="M49" i="38"/>
  <c r="O49" i="38" s="1"/>
  <c r="P49" i="38" s="1"/>
  <c r="W32" i="16" s="1"/>
  <c r="M50" i="38"/>
  <c r="O50" i="38" s="1"/>
  <c r="P50" i="38" s="1"/>
  <c r="W28" i="16" s="1"/>
  <c r="M51" i="38"/>
  <c r="O51" i="38" s="1"/>
  <c r="P51" i="38" s="1"/>
  <c r="M52" i="38"/>
  <c r="O52" i="38" s="1"/>
  <c r="P52" i="38" s="1"/>
  <c r="W31" i="16" s="1"/>
  <c r="M53" i="38"/>
  <c r="O53" i="38" s="1"/>
  <c r="P53" i="38" s="1"/>
  <c r="W33" i="16" s="1"/>
  <c r="M54" i="38"/>
  <c r="O54" i="38" s="1"/>
  <c r="P54" i="38" s="1"/>
  <c r="M55" i="38"/>
  <c r="O55" i="38" s="1"/>
  <c r="P55" i="38" s="1"/>
  <c r="W30" i="16" s="1"/>
  <c r="M56" i="38"/>
  <c r="O56" i="38" s="1"/>
  <c r="P56" i="38" s="1"/>
  <c r="M57" i="38"/>
  <c r="O57" i="38" s="1"/>
  <c r="P57" i="38" s="1"/>
  <c r="W35" i="16" s="1"/>
  <c r="M58" i="38"/>
  <c r="O58" i="38" s="1"/>
  <c r="P58" i="38" s="1"/>
  <c r="W36" i="16" s="1"/>
  <c r="M59" i="38"/>
  <c r="O59" i="38" s="1"/>
  <c r="P59" i="38" s="1"/>
  <c r="M60" i="38"/>
  <c r="O60" i="38" s="1"/>
  <c r="P60" i="38" s="1"/>
  <c r="W37" i="16" s="1"/>
  <c r="M61" i="38"/>
  <c r="O61" i="38" s="1"/>
  <c r="P61" i="38" s="1"/>
  <c r="W38" i="16" s="1"/>
  <c r="M62" i="38"/>
  <c r="O62" i="38" s="1"/>
  <c r="P62" i="38" s="1"/>
  <c r="W34" i="16" s="1"/>
  <c r="M63" i="38"/>
  <c r="O63" i="38" s="1"/>
  <c r="P63" i="38" s="1"/>
  <c r="W40" i="16" s="1"/>
  <c r="M64" i="38"/>
  <c r="O64" i="38" s="1"/>
  <c r="P64" i="38" s="1"/>
  <c r="W41" i="16" s="1"/>
  <c r="M65" i="38"/>
  <c r="O65" i="38" s="1"/>
  <c r="P65" i="38" s="1"/>
  <c r="W39" i="16" s="1"/>
  <c r="M66" i="38"/>
  <c r="O66" i="38" s="1"/>
  <c r="P66" i="38" s="1"/>
  <c r="M67" i="38"/>
  <c r="O67" i="38" s="1"/>
  <c r="P67" i="38" s="1"/>
  <c r="M68" i="38"/>
  <c r="O68" i="38" s="1"/>
  <c r="P68" i="38" s="1"/>
  <c r="W42" i="16" s="1"/>
  <c r="M69" i="38"/>
  <c r="O69" i="38" s="1"/>
  <c r="P69" i="38" s="1"/>
  <c r="W43" i="16" s="1"/>
  <c r="M70" i="38"/>
  <c r="O70" i="38" s="1"/>
  <c r="P70" i="38" s="1"/>
  <c r="W46" i="16" s="1"/>
  <c r="M71" i="38"/>
  <c r="O71" i="38" s="1"/>
  <c r="P71" i="38" s="1"/>
  <c r="W45" i="16" s="1"/>
  <c r="M72" i="38"/>
  <c r="O72" i="38" s="1"/>
  <c r="P72" i="38" s="1"/>
  <c r="W44" i="16" s="1"/>
  <c r="M73" i="38"/>
  <c r="O73" i="38" s="1"/>
  <c r="P73" i="38" s="1"/>
  <c r="M74" i="38"/>
  <c r="O74" i="38" s="1"/>
  <c r="P74" i="38" s="1"/>
  <c r="M75" i="38"/>
  <c r="O75" i="38" s="1"/>
  <c r="P75" i="38" s="1"/>
  <c r="M76" i="38"/>
  <c r="O76" i="38" s="1"/>
  <c r="P76" i="38" s="1"/>
  <c r="W47" i="16" s="1"/>
  <c r="M77" i="38"/>
  <c r="O77" i="38" s="1"/>
  <c r="P77" i="38" s="1"/>
  <c r="W49" i="16" s="1"/>
  <c r="M78" i="38"/>
  <c r="O78" i="38" s="1"/>
  <c r="P78" i="38" s="1"/>
  <c r="W48" i="16" s="1"/>
  <c r="M79" i="38"/>
  <c r="O79" i="38" s="1"/>
  <c r="P79" i="38" s="1"/>
  <c r="W50" i="16" s="1"/>
  <c r="M80" i="38"/>
  <c r="O80" i="38" s="1"/>
  <c r="P80" i="38" s="1"/>
  <c r="W51" i="16" s="1"/>
  <c r="M81" i="38"/>
  <c r="O81" i="38" s="1"/>
  <c r="P81" i="38" s="1"/>
  <c r="M82" i="38"/>
  <c r="O82" i="38" s="1"/>
  <c r="P82" i="38" s="1"/>
  <c r="M83" i="38"/>
  <c r="O83" i="38" s="1"/>
  <c r="P83" i="38" s="1"/>
  <c r="M84" i="38"/>
  <c r="O84" i="38" s="1"/>
  <c r="P84" i="38" s="1"/>
  <c r="W53" i="16" s="1"/>
  <c r="M85" i="38"/>
  <c r="O85" i="38" s="1"/>
  <c r="P85" i="38" s="1"/>
  <c r="W52" i="16" s="1"/>
  <c r="M86" i="38"/>
  <c r="O86" i="38" s="1"/>
  <c r="P86" i="38" s="1"/>
  <c r="W54" i="16" s="1"/>
  <c r="M87" i="38"/>
  <c r="O87" i="38" s="1"/>
  <c r="P87" i="38" s="1"/>
  <c r="W55" i="16" s="1"/>
  <c r="M88" i="38"/>
  <c r="O88" i="38" s="1"/>
  <c r="P88" i="38" s="1"/>
  <c r="Q88" i="38" s="1"/>
  <c r="M89" i="38"/>
  <c r="O89" i="38" s="1"/>
  <c r="P89" i="38" s="1"/>
  <c r="Q89" i="38" s="1"/>
  <c r="M90" i="38"/>
  <c r="M91" i="38"/>
  <c r="M92" i="38"/>
  <c r="M93" i="38"/>
  <c r="M94" i="38"/>
  <c r="M95" i="38"/>
  <c r="M96" i="38"/>
  <c r="M97" i="38"/>
  <c r="M98" i="38"/>
  <c r="M99" i="38"/>
  <c r="M100" i="38"/>
  <c r="M101" i="38"/>
  <c r="M102" i="38"/>
  <c r="M103" i="38"/>
  <c r="M104" i="38"/>
  <c r="M105" i="38"/>
  <c r="M106" i="38"/>
  <c r="M107" i="38"/>
  <c r="M108" i="38"/>
  <c r="M109" i="38"/>
  <c r="M110" i="38"/>
  <c r="K84" i="16"/>
  <c r="L84" i="16"/>
  <c r="M84" i="16"/>
  <c r="N84" i="16"/>
  <c r="O84" i="16"/>
  <c r="P84" i="16"/>
  <c r="Q84" i="16"/>
  <c r="R84" i="16"/>
  <c r="W102" i="16" l="1"/>
  <c r="O90" i="38"/>
  <c r="P90" i="38" s="1"/>
  <c r="N90" i="38"/>
  <c r="W78" i="16"/>
  <c r="W80" i="16"/>
  <c r="W79" i="16"/>
  <c r="U102" i="16"/>
  <c r="U78" i="16"/>
  <c r="V102" i="16"/>
  <c r="U79" i="16"/>
  <c r="U80" i="16"/>
  <c r="V78" i="16"/>
  <c r="V79" i="16"/>
  <c r="U81" i="16"/>
  <c r="V80" i="16"/>
  <c r="V81" i="16"/>
  <c r="Z81" i="16" s="1"/>
  <c r="Q90" i="38" l="1"/>
  <c r="W56" i="16"/>
  <c r="L6" i="38"/>
  <c r="L7" i="38"/>
  <c r="N7" i="38" s="1"/>
  <c r="L8" i="38"/>
  <c r="N8" i="38" s="1"/>
  <c r="L9" i="38"/>
  <c r="L10" i="38"/>
  <c r="L11" i="38"/>
  <c r="L12" i="38"/>
  <c r="N12" i="38" s="1"/>
  <c r="L13" i="38"/>
  <c r="N13" i="38" s="1"/>
  <c r="L14" i="38"/>
  <c r="L15" i="38"/>
  <c r="N15" i="38" s="1"/>
  <c r="L16" i="38"/>
  <c r="N16" i="38" s="1"/>
  <c r="L17" i="38"/>
  <c r="L18" i="38"/>
  <c r="N18" i="38"/>
  <c r="L19" i="38"/>
  <c r="N19" i="38" s="1"/>
  <c r="L20" i="38"/>
  <c r="N20" i="38" s="1"/>
  <c r="L21" i="38"/>
  <c r="N21" i="38" s="1"/>
  <c r="L22" i="38"/>
  <c r="L23" i="38"/>
  <c r="L24" i="38"/>
  <c r="N24" i="38" s="1"/>
  <c r="L25" i="38"/>
  <c r="Q25" i="38" s="1"/>
  <c r="L26" i="38"/>
  <c r="Q26" i="38" s="1"/>
  <c r="L27" i="38"/>
  <c r="Q27" i="38" s="1"/>
  <c r="L28" i="38"/>
  <c r="Q28" i="38" s="1"/>
  <c r="L29" i="38"/>
  <c r="Q29" i="38" s="1"/>
  <c r="L30" i="38"/>
  <c r="Q30" i="38" s="1"/>
  <c r="L31" i="38"/>
  <c r="Q31" i="38" s="1"/>
  <c r="L32" i="38"/>
  <c r="Q32" i="38" s="1"/>
  <c r="N32" i="38"/>
  <c r="L33" i="38"/>
  <c r="Q33" i="38" s="1"/>
  <c r="L34" i="38"/>
  <c r="Q34" i="38" s="1"/>
  <c r="L35" i="38"/>
  <c r="Q35" i="38" s="1"/>
  <c r="L36" i="38"/>
  <c r="Q36" i="38" s="1"/>
  <c r="L37" i="38"/>
  <c r="Q37" i="38" s="1"/>
  <c r="L38" i="38"/>
  <c r="Q38" i="38" s="1"/>
  <c r="L39" i="38"/>
  <c r="Q39" i="38" s="1"/>
  <c r="L40" i="38"/>
  <c r="Q40" i="38" s="1"/>
  <c r="L41" i="38"/>
  <c r="Q41" i="38" s="1"/>
  <c r="L42" i="38"/>
  <c r="Q42" i="38" s="1"/>
  <c r="L43" i="38"/>
  <c r="Q43" i="38" s="1"/>
  <c r="L44" i="38"/>
  <c r="Q44" i="38" s="1"/>
  <c r="L45" i="38"/>
  <c r="Q45" i="38" s="1"/>
  <c r="L46" i="38"/>
  <c r="Q46" i="38" s="1"/>
  <c r="L47" i="38"/>
  <c r="Q47" i="38" s="1"/>
  <c r="N47" i="38"/>
  <c r="L48" i="38"/>
  <c r="Q48" i="38" s="1"/>
  <c r="L49" i="38"/>
  <c r="Q49" i="38" s="1"/>
  <c r="L50" i="38"/>
  <c r="Q50" i="38" s="1"/>
  <c r="L51" i="38"/>
  <c r="Q51" i="38" s="1"/>
  <c r="L52" i="38"/>
  <c r="Q52" i="38" s="1"/>
  <c r="L53" i="38"/>
  <c r="Q53" i="38" s="1"/>
  <c r="L54" i="38"/>
  <c r="Q54" i="38" s="1"/>
  <c r="L55" i="38"/>
  <c r="Q55" i="38" s="1"/>
  <c r="L56" i="38"/>
  <c r="Q56" i="38" s="1"/>
  <c r="L57" i="38"/>
  <c r="Q57" i="38" s="1"/>
  <c r="L58" i="38"/>
  <c r="Q58" i="38" s="1"/>
  <c r="L59" i="38"/>
  <c r="Q59" i="38" s="1"/>
  <c r="L60" i="38"/>
  <c r="Q60" i="38" s="1"/>
  <c r="L61" i="38"/>
  <c r="Q61" i="38" s="1"/>
  <c r="L62" i="38"/>
  <c r="Q62" i="38" s="1"/>
  <c r="L63" i="38"/>
  <c r="Q63" i="38" s="1"/>
  <c r="L64" i="38"/>
  <c r="Q64" i="38" s="1"/>
  <c r="L65" i="38"/>
  <c r="Q65" i="38" s="1"/>
  <c r="L66" i="38"/>
  <c r="Q66" i="38" s="1"/>
  <c r="L67" i="38"/>
  <c r="Q67" i="38" s="1"/>
  <c r="L68" i="38"/>
  <c r="Q68" i="38" s="1"/>
  <c r="L69" i="38"/>
  <c r="Q69" i="38" s="1"/>
  <c r="L70" i="38"/>
  <c r="Q70" i="38" s="1"/>
  <c r="L71" i="38"/>
  <c r="Q71" i="38" s="1"/>
  <c r="L72" i="38"/>
  <c r="Q72" i="38" s="1"/>
  <c r="L73" i="38"/>
  <c r="Q73" i="38" s="1"/>
  <c r="L74" i="38"/>
  <c r="Q74" i="38" s="1"/>
  <c r="L75" i="38"/>
  <c r="Q75" i="38" s="1"/>
  <c r="L76" i="38"/>
  <c r="Q76" i="38" s="1"/>
  <c r="L77" i="38"/>
  <c r="Q77" i="38" s="1"/>
  <c r="L78" i="38"/>
  <c r="Q78" i="38" s="1"/>
  <c r="L79" i="38"/>
  <c r="Q79" i="38" s="1"/>
  <c r="L80" i="38"/>
  <c r="Q80" i="38" s="1"/>
  <c r="L81" i="38"/>
  <c r="Q81" i="38" s="1"/>
  <c r="L82" i="38"/>
  <c r="Q82" i="38" s="1"/>
  <c r="L83" i="38"/>
  <c r="Q83" i="38" s="1"/>
  <c r="L84" i="38"/>
  <c r="Q84" i="38" s="1"/>
  <c r="L85" i="38"/>
  <c r="Q85" i="38" s="1"/>
  <c r="L86" i="38"/>
  <c r="Q86" i="38" s="1"/>
  <c r="L87" i="38"/>
  <c r="Q87" i="38" s="1"/>
  <c r="L88" i="38"/>
  <c r="L89" i="38"/>
  <c r="L90" i="38"/>
  <c r="L91" i="38"/>
  <c r="N91" i="38" s="1"/>
  <c r="L92" i="38"/>
  <c r="L93" i="38"/>
  <c r="L94" i="38"/>
  <c r="N94" i="38" s="1"/>
  <c r="L95" i="38"/>
  <c r="N95" i="38" s="1"/>
  <c r="L96" i="38"/>
  <c r="L97" i="38"/>
  <c r="L98" i="38"/>
  <c r="N98" i="38" s="1"/>
  <c r="L99" i="38"/>
  <c r="N99" i="38" s="1"/>
  <c r="L100" i="38"/>
  <c r="L101" i="38"/>
  <c r="L102" i="38"/>
  <c r="N102" i="38" s="1"/>
  <c r="L103" i="38"/>
  <c r="N103" i="38" s="1"/>
  <c r="L104" i="38"/>
  <c r="L105" i="38"/>
  <c r="L106" i="38"/>
  <c r="N106" i="38" s="1"/>
  <c r="L107" i="38"/>
  <c r="N107" i="38" s="1"/>
  <c r="L108" i="38"/>
  <c r="L109" i="38"/>
  <c r="L110" i="38"/>
  <c r="N110" i="38" s="1"/>
  <c r="N7" i="23"/>
  <c r="N8" i="23"/>
  <c r="N9" i="23"/>
  <c r="N11" i="23"/>
  <c r="N12" i="23"/>
  <c r="N13" i="23"/>
  <c r="N15" i="23"/>
  <c r="N16" i="23"/>
  <c r="N18" i="23"/>
  <c r="N28" i="23"/>
  <c r="N29" i="23"/>
  <c r="N31" i="23"/>
  <c r="N32" i="23"/>
  <c r="N37" i="23"/>
  <c r="N39" i="23"/>
  <c r="N40" i="23"/>
  <c r="N47" i="23"/>
  <c r="N53" i="23"/>
  <c r="N55" i="23"/>
  <c r="N59" i="23"/>
  <c r="N64" i="23"/>
  <c r="N65" i="23"/>
  <c r="N67" i="23"/>
  <c r="N71" i="23"/>
  <c r="N72" i="23"/>
  <c r="N77" i="23"/>
  <c r="N80" i="23"/>
  <c r="N81" i="23"/>
  <c r="N82" i="23"/>
  <c r="N83" i="23"/>
  <c r="N84" i="23"/>
  <c r="N87" i="23"/>
  <c r="N88" i="23"/>
  <c r="N91" i="23"/>
  <c r="N92" i="23"/>
  <c r="N99" i="23"/>
  <c r="N105" i="23"/>
  <c r="N106" i="23"/>
  <c r="N107" i="23"/>
  <c r="N108" i="23"/>
  <c r="N109" i="23"/>
  <c r="N110" i="23"/>
  <c r="N114" i="23"/>
  <c r="N117" i="23"/>
  <c r="N118" i="23"/>
  <c r="N119" i="23"/>
  <c r="N120" i="23"/>
  <c r="N123" i="23"/>
  <c r="N124" i="23"/>
  <c r="N128" i="23"/>
  <c r="N129" i="23"/>
  <c r="N130" i="23"/>
  <c r="N134" i="23"/>
  <c r="N135" i="23"/>
  <c r="N140" i="23"/>
  <c r="N141" i="23"/>
  <c r="N142" i="23"/>
  <c r="N144" i="23"/>
  <c r="N148" i="23"/>
  <c r="N150" i="23"/>
  <c r="N151"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63" i="38" l="1"/>
  <c r="N87" i="38"/>
  <c r="N80" i="38"/>
  <c r="N55" i="38"/>
  <c r="N52" i="38"/>
  <c r="N75" i="38"/>
  <c r="N57" i="38"/>
  <c r="N41" i="38"/>
  <c r="N69" i="38"/>
  <c r="N66" i="38"/>
  <c r="N74" i="38"/>
  <c r="N71" i="38"/>
  <c r="N60" i="38"/>
  <c r="N40" i="38"/>
  <c r="N81" i="38"/>
  <c r="N62" i="38"/>
  <c r="N51" i="38"/>
  <c r="N48" i="38"/>
  <c r="N36" i="38"/>
  <c r="N33" i="38"/>
  <c r="N78" i="38"/>
  <c r="N45" i="38"/>
  <c r="N43" i="38"/>
  <c r="N30" i="38"/>
  <c r="N28" i="38"/>
  <c r="N86" i="38"/>
  <c r="N44" i="38"/>
  <c r="N38" i="38"/>
  <c r="N37" i="38"/>
  <c r="N31" i="38"/>
  <c r="N27" i="38"/>
  <c r="N83" i="38"/>
  <c r="N61" i="38"/>
  <c r="N82" i="38"/>
  <c r="N92" i="38"/>
  <c r="N50" i="38"/>
  <c r="N10" i="38"/>
  <c r="N93" i="38"/>
  <c r="N70" i="38"/>
  <c r="N49" i="38"/>
  <c r="N11" i="38"/>
  <c r="N76" i="38"/>
  <c r="N56" i="38"/>
  <c r="N34" i="38"/>
  <c r="N26" i="38"/>
  <c r="N17" i="38"/>
  <c r="N6" i="38"/>
  <c r="N85" i="38"/>
  <c r="N77" i="38"/>
  <c r="N67" i="38"/>
  <c r="N42" i="38"/>
  <c r="N25" i="38"/>
  <c r="N108" i="38"/>
  <c r="N105" i="38"/>
  <c r="N100" i="38"/>
  <c r="N97" i="38"/>
  <c r="N88" i="38"/>
  <c r="N84" i="38"/>
  <c r="N73" i="38"/>
  <c r="N65" i="38"/>
  <c r="N59" i="38"/>
  <c r="N53" i="38"/>
  <c r="N46" i="38"/>
  <c r="N35" i="38"/>
  <c r="N29" i="38"/>
  <c r="N23" i="38"/>
  <c r="N5" i="38"/>
  <c r="N109" i="38"/>
  <c r="N104" i="38"/>
  <c r="N101" i="38"/>
  <c r="N96" i="38"/>
  <c r="N89" i="38"/>
  <c r="N79" i="38"/>
  <c r="N72" i="38"/>
  <c r="N68" i="38"/>
  <c r="N64" i="38"/>
  <c r="N58" i="38"/>
  <c r="N54" i="38"/>
  <c r="N39" i="38"/>
  <c r="N22" i="38"/>
  <c r="N14" i="38"/>
  <c r="N9" i="38"/>
  <c r="W104" i="16"/>
  <c r="W105" i="16"/>
  <c r="X105" i="16"/>
  <c r="W106" i="16"/>
  <c r="X106" i="16"/>
  <c r="W107" i="16"/>
  <c r="X107" i="16"/>
  <c r="W57" i="16"/>
  <c r="W58" i="16"/>
  <c r="W59" i="16"/>
  <c r="W60" i="16"/>
  <c r="W61" i="16"/>
  <c r="W62" i="16"/>
  <c r="W63" i="16"/>
  <c r="W64" i="16"/>
  <c r="O7" i="38"/>
  <c r="P7" i="38" s="1"/>
  <c r="O8" i="38"/>
  <c r="P8" i="38" s="1"/>
  <c r="W6" i="16" s="1"/>
  <c r="O9" i="38"/>
  <c r="P9" i="38" s="1"/>
  <c r="O10" i="38"/>
  <c r="P10" i="38" s="1"/>
  <c r="O11" i="38"/>
  <c r="P11" i="38" s="1"/>
  <c r="W5" i="16" s="1"/>
  <c r="O12" i="38"/>
  <c r="P12" i="38" s="1"/>
  <c r="W8" i="16" s="1"/>
  <c r="O13" i="38"/>
  <c r="P13" i="38" s="1"/>
  <c r="W9" i="16" s="1"/>
  <c r="O14" i="38"/>
  <c r="P14" i="38" s="1"/>
  <c r="W10" i="16" s="1"/>
  <c r="O15" i="38"/>
  <c r="P15" i="38" s="1"/>
  <c r="O16" i="38"/>
  <c r="P16" i="38" s="1"/>
  <c r="O17" i="38"/>
  <c r="P17" i="38" s="1"/>
  <c r="W11" i="16" s="1"/>
  <c r="W101" i="16"/>
  <c r="O18" i="38"/>
  <c r="P18" i="38" s="1"/>
  <c r="W12" i="16" s="1"/>
  <c r="O19" i="38"/>
  <c r="P19" i="38" s="1"/>
  <c r="O20" i="38"/>
  <c r="P20" i="38" s="1"/>
  <c r="W14" i="16" s="1"/>
  <c r="W90" i="16"/>
  <c r="O21" i="38"/>
  <c r="P21" i="38" s="1"/>
  <c r="W15" i="16" s="1"/>
  <c r="O22" i="38"/>
  <c r="P22" i="38" s="1"/>
  <c r="O23" i="38"/>
  <c r="P23" i="38" s="1"/>
  <c r="W16" i="16" s="1"/>
  <c r="O24" i="38"/>
  <c r="P24" i="38" s="1"/>
  <c r="W71" i="16"/>
  <c r="W103" i="16"/>
  <c r="W98" i="16"/>
  <c r="W83" i="16"/>
  <c r="W99" i="16"/>
  <c r="W76" i="16"/>
  <c r="O5" i="38"/>
  <c r="P5" i="38" s="1"/>
  <c r="W4" i="16" s="1"/>
  <c r="O6" i="38"/>
  <c r="P6" i="38" s="1"/>
  <c r="S100" i="16"/>
  <c r="T100" i="16"/>
  <c r="S101" i="16"/>
  <c r="T101" i="16"/>
  <c r="W88" i="16" l="1"/>
  <c r="W7" i="16"/>
  <c r="W91" i="16"/>
  <c r="W13" i="16"/>
  <c r="W68" i="16"/>
  <c r="V101" i="16"/>
  <c r="N145" i="23" s="1"/>
  <c r="Z82" i="16"/>
  <c r="Y106" i="16"/>
  <c r="Y107" i="16"/>
  <c r="Y105" i="16"/>
  <c r="W82" i="16"/>
  <c r="U100" i="16"/>
  <c r="U101" i="16"/>
  <c r="V100" i="16"/>
  <c r="W87" i="16"/>
  <c r="W77" i="16"/>
  <c r="W89" i="16"/>
  <c r="W72" i="16"/>
  <c r="W75" i="16"/>
  <c r="W95" i="16"/>
  <c r="W94" i="16"/>
  <c r="W92" i="16"/>
  <c r="W86" i="16"/>
  <c r="W67" i="16"/>
  <c r="W100" i="16"/>
  <c r="W74" i="16"/>
  <c r="W70" i="16"/>
  <c r="W97" i="16"/>
  <c r="W93" i="16"/>
  <c r="W73" i="16"/>
  <c r="W69" i="16"/>
  <c r="W96" i="16"/>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N111" i="23" l="1"/>
  <c r="N136" i="23"/>
  <c r="L3" i="23"/>
  <c r="X4" i="16" s="1"/>
  <c r="Y4" i="16" s="1"/>
  <c r="L4" i="23"/>
  <c r="X56" i="16" s="1"/>
  <c r="Y56" i="16" s="1"/>
  <c r="L5" i="23"/>
  <c r="L6" i="23"/>
  <c r="L7" i="23"/>
  <c r="M7" i="23" s="1"/>
  <c r="L8" i="23"/>
  <c r="L9" i="23"/>
  <c r="L10" i="23"/>
  <c r="L11" i="23"/>
  <c r="L12" i="23"/>
  <c r="L13" i="23"/>
  <c r="L14" i="23"/>
  <c r="L15" i="23"/>
  <c r="M15" i="23" s="1"/>
  <c r="L16" i="23"/>
  <c r="M16" i="23" s="1"/>
  <c r="L17" i="23"/>
  <c r="L18" i="23"/>
  <c r="X11" i="16" s="1"/>
  <c r="Y11" i="16" s="1"/>
  <c r="L20" i="23"/>
  <c r="M20" i="23" s="1"/>
  <c r="L21" i="23"/>
  <c r="M21" i="23" s="1"/>
  <c r="L22" i="23"/>
  <c r="L23" i="23"/>
  <c r="M23" i="23" s="1"/>
  <c r="L24" i="23"/>
  <c r="X12" i="16" s="1"/>
  <c r="Y12" i="16" s="1"/>
  <c r="L25" i="23"/>
  <c r="X69" i="16" s="1"/>
  <c r="Y69" i="16" s="1"/>
  <c r="L26" i="23"/>
  <c r="X68" i="16" s="1"/>
  <c r="Y68" i="16" s="1"/>
  <c r="L27" i="23"/>
  <c r="M27" i="23" s="1"/>
  <c r="L28" i="23"/>
  <c r="X13" i="16" s="1"/>
  <c r="Y13" i="16" s="1"/>
  <c r="L29" i="23"/>
  <c r="M29" i="23" s="1"/>
  <c r="L30" i="23"/>
  <c r="X14" i="16" s="1"/>
  <c r="Y14" i="16" s="1"/>
  <c r="L31" i="23"/>
  <c r="L32" i="23"/>
  <c r="L33" i="23"/>
  <c r="X17" i="16" s="1"/>
  <c r="Y17" i="16" s="1"/>
  <c r="L34" i="23"/>
  <c r="X18" i="16" s="1"/>
  <c r="Y18" i="16" s="1"/>
  <c r="L35" i="23"/>
  <c r="L36" i="23"/>
  <c r="L37" i="23"/>
  <c r="L38" i="23"/>
  <c r="X89" i="16" s="1"/>
  <c r="Y89" i="16" s="1"/>
  <c r="L39" i="23"/>
  <c r="L40" i="23"/>
  <c r="L41" i="23"/>
  <c r="X22" i="16" s="1"/>
  <c r="Y22" i="16" s="1"/>
  <c r="L42" i="23"/>
  <c r="L43" i="23"/>
  <c r="X90" i="16" s="1"/>
  <c r="Y90" i="16" s="1"/>
  <c r="L44" i="23"/>
  <c r="X23" i="16" s="1"/>
  <c r="Y23" i="16" s="1"/>
  <c r="L45" i="23"/>
  <c r="X34" i="16" s="1"/>
  <c r="Y34" i="16" s="1"/>
  <c r="L46" i="23"/>
  <c r="X25" i="16" s="1"/>
  <c r="Y25" i="16" s="1"/>
  <c r="L47" i="23"/>
  <c r="X70" i="16" s="1"/>
  <c r="Y70" i="16" s="1"/>
  <c r="L48" i="23"/>
  <c r="L49" i="23"/>
  <c r="L50" i="23"/>
  <c r="L51" i="23"/>
  <c r="L52" i="23"/>
  <c r="M52" i="23" s="1"/>
  <c r="L53" i="23"/>
  <c r="M53" i="23" s="1"/>
  <c r="L54" i="23"/>
  <c r="M54" i="23" s="1"/>
  <c r="L55" i="23"/>
  <c r="M55" i="23" s="1"/>
  <c r="L56" i="23"/>
  <c r="M56" i="23" s="1"/>
  <c r="L57" i="23"/>
  <c r="X92" i="16" s="1"/>
  <c r="Y92" i="16" s="1"/>
  <c r="L58" i="23"/>
  <c r="L59" i="23"/>
  <c r="L60" i="23"/>
  <c r="M60" i="23" s="1"/>
  <c r="L61" i="23"/>
  <c r="X28" i="16" s="1"/>
  <c r="Y28" i="16" s="1"/>
  <c r="L62" i="23"/>
  <c r="L63" i="23"/>
  <c r="L64" i="23"/>
  <c r="X31" i="16" s="1"/>
  <c r="Y31" i="16" s="1"/>
  <c r="L65" i="23"/>
  <c r="L66" i="23"/>
  <c r="L67" i="23"/>
  <c r="M67" i="23" s="1"/>
  <c r="L68" i="23"/>
  <c r="L69" i="23"/>
  <c r="L70" i="23"/>
  <c r="L71" i="23"/>
  <c r="X40" i="16" s="1"/>
  <c r="Y40" i="16" s="1"/>
  <c r="L72" i="23"/>
  <c r="X37" i="16" s="1"/>
  <c r="Y37" i="16" s="1"/>
  <c r="L73" i="23"/>
  <c r="M73" i="23" s="1"/>
  <c r="L74" i="23"/>
  <c r="L75" i="23"/>
  <c r="M75" i="23" s="1"/>
  <c r="L76" i="23"/>
  <c r="M76" i="23" s="1"/>
  <c r="L77" i="23"/>
  <c r="M77" i="23" s="1"/>
  <c r="L78" i="23"/>
  <c r="M78" i="23" s="1"/>
  <c r="L79" i="23"/>
  <c r="M79" i="23" s="1"/>
  <c r="L80" i="23"/>
  <c r="M80" i="23" s="1"/>
  <c r="L81" i="23"/>
  <c r="L82" i="23"/>
  <c r="L83" i="23"/>
  <c r="X43" i="16" s="1"/>
  <c r="Y43" i="16" s="1"/>
  <c r="L84" i="23"/>
  <c r="M84" i="23" s="1"/>
  <c r="L85" i="23"/>
  <c r="X45" i="16" s="1"/>
  <c r="Y45" i="16" s="1"/>
  <c r="L86" i="23"/>
  <c r="X96" i="16" s="1"/>
  <c r="Y96" i="16" s="1"/>
  <c r="L87" i="23"/>
  <c r="X97" i="16" s="1"/>
  <c r="Y97" i="16" s="1"/>
  <c r="L88" i="23"/>
  <c r="M88" i="23" s="1"/>
  <c r="L89" i="23"/>
  <c r="M89" i="23" s="1"/>
  <c r="L90" i="23"/>
  <c r="M90" i="23" s="1"/>
  <c r="L91" i="23"/>
  <c r="L92" i="23"/>
  <c r="M92" i="23" s="1"/>
  <c r="L93" i="23"/>
  <c r="M93" i="23" s="1"/>
  <c r="L94" i="23"/>
  <c r="X47" i="16" s="1"/>
  <c r="Y47" i="16" s="1"/>
  <c r="L95" i="23"/>
  <c r="M95" i="23" s="1"/>
  <c r="L96" i="23"/>
  <c r="L97" i="23"/>
  <c r="L98" i="23"/>
  <c r="L99" i="23"/>
  <c r="M99" i="23" s="1"/>
  <c r="L100" i="23"/>
  <c r="L101" i="23"/>
  <c r="M101" i="23" s="1"/>
  <c r="L102" i="23"/>
  <c r="L103" i="23"/>
  <c r="L104" i="23"/>
  <c r="L105" i="23"/>
  <c r="M105" i="23" s="1"/>
  <c r="L106" i="23"/>
  <c r="X51" i="16" s="1"/>
  <c r="Y51" i="16" s="1"/>
  <c r="L107" i="23"/>
  <c r="X52" i="16" s="1"/>
  <c r="Y52" i="16" s="1"/>
  <c r="L108" i="23"/>
  <c r="L109" i="23"/>
  <c r="M109" i="23" s="1"/>
  <c r="L110" i="23"/>
  <c r="M110" i="23" s="1"/>
  <c r="L111" i="23"/>
  <c r="L112" i="23"/>
  <c r="L113" i="23"/>
  <c r="L114" i="23"/>
  <c r="L115" i="23"/>
  <c r="M115" i="23" s="1"/>
  <c r="L116" i="23"/>
  <c r="M116" i="23" s="1"/>
  <c r="L117" i="23"/>
  <c r="L118" i="23"/>
  <c r="M118" i="23" s="1"/>
  <c r="L119" i="23"/>
  <c r="M119" i="23" s="1"/>
  <c r="L120" i="23"/>
  <c r="L121" i="23"/>
  <c r="M121" i="23" s="1"/>
  <c r="L122" i="23"/>
  <c r="M122" i="23" s="1"/>
  <c r="L123" i="23"/>
  <c r="L124" i="23"/>
  <c r="M124" i="23" s="1"/>
  <c r="L125" i="23"/>
  <c r="L126" i="23"/>
  <c r="L127" i="23"/>
  <c r="L128" i="23"/>
  <c r="M128" i="23" s="1"/>
  <c r="L129" i="23"/>
  <c r="L130" i="23"/>
  <c r="M130" i="23" s="1"/>
  <c r="L131" i="23"/>
  <c r="L132" i="23"/>
  <c r="L133" i="23"/>
  <c r="L134" i="23"/>
  <c r="M134" i="23" s="1"/>
  <c r="L135" i="23"/>
  <c r="L136" i="23"/>
  <c r="M136" i="23" s="1"/>
  <c r="L137" i="23"/>
  <c r="L138" i="23"/>
  <c r="L139" i="23"/>
  <c r="M139" i="23" s="1"/>
  <c r="L140" i="23"/>
  <c r="M140" i="23" s="1"/>
  <c r="L141" i="23"/>
  <c r="L142" i="23"/>
  <c r="M142" i="23" s="1"/>
  <c r="L143" i="23"/>
  <c r="L144" i="23"/>
  <c r="M144" i="23" s="1"/>
  <c r="L145" i="23"/>
  <c r="M145" i="23" s="1"/>
  <c r="L146" i="23"/>
  <c r="L147" i="23"/>
  <c r="L148" i="23"/>
  <c r="M148" i="23" s="1"/>
  <c r="L149" i="23"/>
  <c r="M149" i="23" s="1"/>
  <c r="L150" i="23"/>
  <c r="M150" i="23" s="1"/>
  <c r="L151" i="23"/>
  <c r="M151" i="23" s="1"/>
  <c r="L152" i="23"/>
  <c r="M152" i="23" s="1"/>
  <c r="L153" i="23"/>
  <c r="M153" i="23" s="1"/>
  <c r="L154" i="23"/>
  <c r="L155" i="23"/>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3" i="23"/>
  <c r="M193" i="23" s="1"/>
  <c r="L194" i="23"/>
  <c r="M194" i="23" s="1"/>
  <c r="L195" i="23"/>
  <c r="M195" i="23" s="1"/>
  <c r="L196" i="23"/>
  <c r="M196" i="23" s="1"/>
  <c r="L2" i="23"/>
  <c r="Q5" i="38"/>
  <c r="Q6" i="38"/>
  <c r="Q7" i="38"/>
  <c r="Q8" i="38"/>
  <c r="Q9" i="38"/>
  <c r="Q10" i="38"/>
  <c r="Q11" i="38"/>
  <c r="Q12" i="38"/>
  <c r="Q13" i="38"/>
  <c r="Q14" i="38"/>
  <c r="Q15" i="38"/>
  <c r="Q16" i="38"/>
  <c r="Q17" i="38"/>
  <c r="Q18" i="38"/>
  <c r="Q20" i="38"/>
  <c r="Q21" i="38"/>
  <c r="Q22" i="38"/>
  <c r="Q23" i="38"/>
  <c r="Q24" i="38"/>
  <c r="M12" i="23" l="1"/>
  <c r="X10" i="16"/>
  <c r="Y10" i="16" s="1"/>
  <c r="M117" i="23"/>
  <c r="X55" i="16"/>
  <c r="Y55" i="16" s="1"/>
  <c r="M97" i="23"/>
  <c r="X46" i="16"/>
  <c r="Y46" i="16" s="1"/>
  <c r="M108" i="23"/>
  <c r="X53" i="16"/>
  <c r="Y53" i="16" s="1"/>
  <c r="M104" i="23"/>
  <c r="X49" i="16"/>
  <c r="Y49" i="16" s="1"/>
  <c r="X50" i="16"/>
  <c r="Y50" i="16" s="1"/>
  <c r="M96" i="23"/>
  <c r="X98" i="16"/>
  <c r="Y98" i="16" s="1"/>
  <c r="M68" i="23"/>
  <c r="X39" i="16"/>
  <c r="Y39" i="16" s="1"/>
  <c r="X93" i="16"/>
  <c r="Y93" i="16" s="1"/>
  <c r="M40" i="23"/>
  <c r="X20" i="16"/>
  <c r="Y20" i="16" s="1"/>
  <c r="M36" i="23"/>
  <c r="X88" i="16"/>
  <c r="Y88" i="16" s="1"/>
  <c r="M11" i="23"/>
  <c r="X8" i="16"/>
  <c r="Y8" i="16" s="1"/>
  <c r="M69" i="23"/>
  <c r="X38" i="16"/>
  <c r="Y38" i="16" s="1"/>
  <c r="M65" i="23"/>
  <c r="X79" i="16"/>
  <c r="Y79" i="16" s="1"/>
  <c r="X48" i="16"/>
  <c r="Y48" i="16" s="1"/>
  <c r="M112" i="23"/>
  <c r="X80" i="16"/>
  <c r="Y80" i="16" s="1"/>
  <c r="M91" i="23"/>
  <c r="X78" i="16"/>
  <c r="Y78" i="16" s="1"/>
  <c r="M59" i="23"/>
  <c r="X27" i="16"/>
  <c r="Y27" i="16" s="1"/>
  <c r="M35" i="23"/>
  <c r="X19" i="16"/>
  <c r="Y19" i="16" s="1"/>
  <c r="M10" i="23"/>
  <c r="X7" i="16"/>
  <c r="Y7" i="16" s="1"/>
  <c r="M74" i="23"/>
  <c r="X42" i="16"/>
  <c r="Y42" i="16" s="1"/>
  <c r="M70" i="23"/>
  <c r="X36" i="16"/>
  <c r="Y36" i="16" s="1"/>
  <c r="M62" i="23"/>
  <c r="X95" i="16"/>
  <c r="Y95" i="16" s="1"/>
  <c r="M58" i="23"/>
  <c r="X76" i="16"/>
  <c r="Y76" i="16" s="1"/>
  <c r="M17" i="23"/>
  <c r="X67" i="16"/>
  <c r="Y67" i="16" s="1"/>
  <c r="M13" i="23"/>
  <c r="X9" i="16"/>
  <c r="Y9" i="16" s="1"/>
  <c r="M5" i="23"/>
  <c r="X5" i="16"/>
  <c r="Y5" i="16" s="1"/>
  <c r="M4" i="23"/>
  <c r="M94" i="23"/>
  <c r="M61" i="23"/>
  <c r="M147" i="23"/>
  <c r="M143" i="23"/>
  <c r="M125" i="23"/>
  <c r="M154" i="23"/>
  <c r="M146" i="23"/>
  <c r="M138" i="23"/>
  <c r="M137" i="23"/>
  <c r="M133" i="23"/>
  <c r="M34" i="23"/>
  <c r="M31" i="23"/>
  <c r="M26" i="23"/>
  <c r="M141" i="23"/>
  <c r="M132" i="23"/>
  <c r="M120" i="23"/>
  <c r="M72" i="23"/>
  <c r="M37" i="23"/>
  <c r="M126" i="23"/>
  <c r="X103" i="16"/>
  <c r="M114" i="23"/>
  <c r="M135" i="23"/>
  <c r="X104" i="16"/>
  <c r="M131" i="23"/>
  <c r="M71" i="23"/>
  <c r="M32" i="23"/>
  <c r="M28" i="23"/>
  <c r="M3" i="23"/>
  <c r="M111" i="23"/>
  <c r="M64" i="23"/>
  <c r="M51" i="23"/>
  <c r="M43" i="23"/>
  <c r="M123" i="23"/>
  <c r="M103" i="23"/>
  <c r="M87" i="23"/>
  <c r="M63" i="23"/>
  <c r="M50" i="23"/>
  <c r="M46" i="23"/>
  <c r="M30" i="23"/>
  <c r="M18" i="23"/>
  <c r="M106" i="23"/>
  <c r="M102" i="23"/>
  <c r="M98" i="23"/>
  <c r="M86" i="23"/>
  <c r="M82" i="23"/>
  <c r="M66" i="23"/>
  <c r="M49" i="23"/>
  <c r="M45" i="23"/>
  <c r="M41" i="23"/>
  <c r="M33" i="23"/>
  <c r="M25" i="23"/>
  <c r="M9" i="23"/>
  <c r="M113" i="23"/>
  <c r="Z100" i="16"/>
  <c r="M100" i="23"/>
  <c r="M47" i="23"/>
  <c r="M39" i="23"/>
  <c r="M127" i="23"/>
  <c r="M107" i="23"/>
  <c r="M83" i="23"/>
  <c r="M42" i="23"/>
  <c r="M38" i="23"/>
  <c r="M22" i="23"/>
  <c r="M14" i="23"/>
  <c r="M129" i="23"/>
  <c r="M85" i="23"/>
  <c r="M81" i="23"/>
  <c r="M57" i="23"/>
  <c r="M48" i="23"/>
  <c r="M44" i="23"/>
  <c r="M24" i="23"/>
  <c r="M8" i="23"/>
  <c r="M6" i="23"/>
  <c r="M155" i="23"/>
  <c r="Z80" i="16" l="1"/>
  <c r="Z79" i="16"/>
  <c r="Z78" i="16"/>
  <c r="Z101" i="16"/>
  <c r="Z102" i="16"/>
  <c r="Y104" i="16"/>
  <c r="Y103" i="16"/>
  <c r="J69" i="15"/>
  <c r="K69" i="15"/>
  <c r="J70" i="15"/>
  <c r="K70" i="15"/>
  <c r="J71" i="15"/>
  <c r="K71" i="15"/>
  <c r="K3" i="15"/>
  <c r="J3" i="15"/>
  <c r="O191" i="23" l="1"/>
  <c r="O192" i="23"/>
  <c r="O193" i="23"/>
  <c r="O194" i="23"/>
  <c r="O195" i="23"/>
  <c r="O196" i="23"/>
  <c r="O197" i="23"/>
  <c r="O198" i="23"/>
  <c r="O3" i="23"/>
  <c r="S32" i="16"/>
  <c r="S33" i="16"/>
  <c r="S34" i="16"/>
  <c r="S35" i="16"/>
  <c r="S36" i="16"/>
  <c r="F49" i="11" l="1"/>
  <c r="L111" i="38" l="1"/>
  <c r="H162" i="15"/>
  <c r="H163" i="15"/>
  <c r="H165" i="15"/>
  <c r="H166" i="15"/>
  <c r="H167" i="15"/>
  <c r="H168" i="15"/>
  <c r="H169" i="15"/>
  <c r="H170" i="15"/>
  <c r="H171" i="15"/>
  <c r="H172" i="15"/>
  <c r="H173" i="15"/>
  <c r="H174" i="15"/>
  <c r="H118" i="16" s="1"/>
  <c r="F76" i="14" l="1"/>
  <c r="J144" i="14" s="1"/>
  <c r="E76" i="14"/>
  <c r="E132" i="14"/>
  <c r="J149" i="14"/>
  <c r="J150" i="14"/>
  <c r="J151" i="14"/>
  <c r="J152" i="14"/>
  <c r="J153" i="14"/>
  <c r="J154" i="14"/>
  <c r="J155" i="14"/>
  <c r="J156" i="14"/>
  <c r="J148" i="14"/>
  <c r="J76" i="14" l="1"/>
  <c r="H164" i="15" l="1"/>
  <c r="I136" i="14" l="1"/>
  <c r="D76" i="14"/>
  <c r="S72" i="16" l="1"/>
  <c r="T72" i="16"/>
  <c r="S73" i="16"/>
  <c r="T73" i="16"/>
  <c r="S74" i="16"/>
  <c r="T74" i="16"/>
  <c r="S75" i="16"/>
  <c r="T75" i="16"/>
  <c r="V72" i="16" l="1"/>
  <c r="Z72" i="16" s="1"/>
  <c r="U73" i="16"/>
  <c r="V75" i="16"/>
  <c r="Z75" i="16" s="1"/>
  <c r="V73" i="16"/>
  <c r="Z73" i="16" s="1"/>
  <c r="U72" i="16"/>
  <c r="U75" i="16"/>
  <c r="U74" i="16"/>
  <c r="V74" i="16"/>
  <c r="Z74" i="16" s="1"/>
  <c r="N73" i="23" l="1"/>
  <c r="W85" i="16"/>
  <c r="S86" i="16" l="1"/>
  <c r="T86" i="16"/>
  <c r="S87" i="16"/>
  <c r="T87" i="16"/>
  <c r="S88" i="16"/>
  <c r="T88" i="16"/>
  <c r="S89" i="16"/>
  <c r="T89" i="16"/>
  <c r="S90" i="16"/>
  <c r="T90" i="16"/>
  <c r="S91" i="16"/>
  <c r="T91" i="16"/>
  <c r="S92" i="16"/>
  <c r="T92" i="16"/>
  <c r="S93" i="16"/>
  <c r="T93" i="16"/>
  <c r="S94" i="16"/>
  <c r="T94" i="16"/>
  <c r="S95" i="16"/>
  <c r="T95" i="16"/>
  <c r="S96" i="16"/>
  <c r="T96" i="16"/>
  <c r="S97" i="16"/>
  <c r="T97" i="16"/>
  <c r="S98" i="16"/>
  <c r="T98" i="16"/>
  <c r="S99" i="16"/>
  <c r="T99" i="16"/>
  <c r="S103" i="16"/>
  <c r="T103" i="16"/>
  <c r="S104" i="16"/>
  <c r="U104" i="16" s="1"/>
  <c r="S105" i="16"/>
  <c r="T105" i="16"/>
  <c r="S106" i="16"/>
  <c r="T106" i="16"/>
  <c r="S107" i="16"/>
  <c r="T107" i="16"/>
  <c r="S66" i="16"/>
  <c r="T66" i="16"/>
  <c r="S67" i="16"/>
  <c r="T67" i="16"/>
  <c r="S68" i="16"/>
  <c r="T68" i="16"/>
  <c r="S69" i="16"/>
  <c r="T69" i="16"/>
  <c r="S70" i="16"/>
  <c r="T70" i="16"/>
  <c r="S71" i="16"/>
  <c r="T71" i="16"/>
  <c r="S76" i="16"/>
  <c r="T76" i="16"/>
  <c r="S77" i="16"/>
  <c r="T77" i="16"/>
  <c r="S83" i="16"/>
  <c r="T83" i="16"/>
  <c r="S3" i="16"/>
  <c r="T3" i="16"/>
  <c r="S4" i="16"/>
  <c r="T4" i="16"/>
  <c r="S5" i="16"/>
  <c r="T5" i="16"/>
  <c r="S6" i="16"/>
  <c r="T6" i="16"/>
  <c r="S7" i="16"/>
  <c r="T7" i="16"/>
  <c r="S8" i="16"/>
  <c r="T8" i="16"/>
  <c r="S9" i="16"/>
  <c r="T9" i="16"/>
  <c r="S10" i="16"/>
  <c r="T10" i="16"/>
  <c r="S11" i="16"/>
  <c r="T11"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T32" i="16"/>
  <c r="T33" i="16"/>
  <c r="T34" i="16"/>
  <c r="T35" i="16"/>
  <c r="T36" i="16"/>
  <c r="S37" i="16"/>
  <c r="T37" i="16"/>
  <c r="S38" i="16"/>
  <c r="T38" i="16"/>
  <c r="S39" i="16"/>
  <c r="T39" i="16"/>
  <c r="S40" i="16"/>
  <c r="T40" i="16"/>
  <c r="S41" i="16"/>
  <c r="T41" i="16"/>
  <c r="S42" i="16"/>
  <c r="T42" i="16"/>
  <c r="S43" i="16"/>
  <c r="T43" i="16"/>
  <c r="S44" i="16"/>
  <c r="T44" i="16"/>
  <c r="S45" i="16"/>
  <c r="T45" i="16"/>
  <c r="S46" i="16"/>
  <c r="T46" i="16"/>
  <c r="S47" i="16"/>
  <c r="T47" i="16"/>
  <c r="S48" i="16"/>
  <c r="T48" i="16"/>
  <c r="S49" i="16"/>
  <c r="T49" i="16"/>
  <c r="S50" i="16"/>
  <c r="T50" i="16"/>
  <c r="S51" i="16"/>
  <c r="T51" i="16"/>
  <c r="S52" i="16"/>
  <c r="T52" i="16"/>
  <c r="S53" i="16"/>
  <c r="T53" i="16"/>
  <c r="S54" i="16"/>
  <c r="T54" i="16"/>
  <c r="S55" i="16"/>
  <c r="T55" i="16"/>
  <c r="S56" i="16"/>
  <c r="T56" i="16"/>
  <c r="S57" i="16"/>
  <c r="T57" i="16"/>
  <c r="S58" i="16"/>
  <c r="T58" i="16"/>
  <c r="S59" i="16"/>
  <c r="T59" i="16"/>
  <c r="S60" i="16"/>
  <c r="T60" i="16"/>
  <c r="S61" i="16"/>
  <c r="T61" i="16"/>
  <c r="S62" i="16"/>
  <c r="T62" i="16"/>
  <c r="S63" i="16"/>
  <c r="T63" i="16"/>
  <c r="S64" i="16"/>
  <c r="T64" i="16"/>
  <c r="K65" i="16"/>
  <c r="L65" i="16"/>
  <c r="M65" i="16"/>
  <c r="N65" i="16"/>
  <c r="O65" i="16"/>
  <c r="P65" i="16"/>
  <c r="V99" i="16" l="1"/>
  <c r="V23" i="16"/>
  <c r="U39" i="16"/>
  <c r="U77" i="16"/>
  <c r="V40" i="16"/>
  <c r="U63" i="16"/>
  <c r="V83" i="16"/>
  <c r="Z83" i="16" s="1"/>
  <c r="U76" i="16"/>
  <c r="V106" i="16"/>
  <c r="Z106" i="16" s="1"/>
  <c r="V103" i="16"/>
  <c r="U87" i="16"/>
  <c r="V53" i="16"/>
  <c r="U95" i="16"/>
  <c r="V44" i="16"/>
  <c r="U3" i="16"/>
  <c r="U47" i="16"/>
  <c r="V32" i="16"/>
  <c r="V26" i="16"/>
  <c r="V18" i="16"/>
  <c r="U92" i="16"/>
  <c r="V87" i="16"/>
  <c r="U86" i="16"/>
  <c r="V67" i="16"/>
  <c r="V16" i="16"/>
  <c r="Z16" i="16" s="1"/>
  <c r="U9" i="16"/>
  <c r="U5" i="16"/>
  <c r="U12" i="16"/>
  <c r="U70" i="16"/>
  <c r="U66" i="16"/>
  <c r="V63" i="16"/>
  <c r="Z63" i="16" s="1"/>
  <c r="V54" i="16"/>
  <c r="V57" i="16"/>
  <c r="Z57" i="16" s="1"/>
  <c r="V62" i="16"/>
  <c r="Z62" i="16" s="1"/>
  <c r="V56" i="16"/>
  <c r="Z56" i="16" s="1"/>
  <c r="V49" i="16"/>
  <c r="V68" i="16"/>
  <c r="U94" i="16"/>
  <c r="U97" i="16"/>
  <c r="U93" i="16"/>
  <c r="U89" i="16"/>
  <c r="U40" i="16"/>
  <c r="U57" i="16"/>
  <c r="U52" i="16"/>
  <c r="U48" i="16"/>
  <c r="U45" i="16"/>
  <c r="U27" i="16"/>
  <c r="U19" i="16"/>
  <c r="U15" i="16"/>
  <c r="U10" i="16"/>
  <c r="V6" i="16"/>
  <c r="U31" i="16"/>
  <c r="U17" i="16"/>
  <c r="V37" i="16"/>
  <c r="U67" i="16"/>
  <c r="U107" i="16"/>
  <c r="U105" i="16"/>
  <c r="V98" i="16"/>
  <c r="V94" i="16"/>
  <c r="V90" i="16"/>
  <c r="U64" i="16"/>
  <c r="U51" i="16"/>
  <c r="V33" i="16"/>
  <c r="U30" i="16"/>
  <c r="V28" i="16"/>
  <c r="U25" i="16"/>
  <c r="U21" i="16"/>
  <c r="V47" i="16"/>
  <c r="V43" i="16"/>
  <c r="U36" i="16"/>
  <c r="V29" i="16"/>
  <c r="V24" i="16"/>
  <c r="V17" i="16"/>
  <c r="U14" i="16"/>
  <c r="U61" i="16"/>
  <c r="V58" i="16"/>
  <c r="Z58" i="16" s="1"/>
  <c r="U55" i="16"/>
  <c r="U7" i="16"/>
  <c r="U62" i="16"/>
  <c r="V60" i="16"/>
  <c r="Z60" i="16" s="1"/>
  <c r="U53" i="16"/>
  <c r="V39" i="16"/>
  <c r="V35" i="16"/>
  <c r="U32" i="16"/>
  <c r="V13" i="16"/>
  <c r="V97" i="16"/>
  <c r="V59" i="16"/>
  <c r="Z59" i="16" s="1"/>
  <c r="U56" i="16"/>
  <c r="U46" i="16"/>
  <c r="V42" i="16"/>
  <c r="V38" i="16"/>
  <c r="V8" i="16"/>
  <c r="V4" i="16"/>
  <c r="V77" i="16"/>
  <c r="U69" i="16"/>
  <c r="U103" i="16"/>
  <c r="V88" i="16"/>
  <c r="V31" i="16"/>
  <c r="U26" i="16"/>
  <c r="V22" i="16"/>
  <c r="U71" i="16"/>
  <c r="U68" i="16"/>
  <c r="U91" i="16"/>
  <c r="V27" i="16"/>
  <c r="U24" i="16"/>
  <c r="V20" i="16"/>
  <c r="V14" i="16"/>
  <c r="V10" i="16"/>
  <c r="V7" i="16"/>
  <c r="U96" i="16"/>
  <c r="V93" i="16"/>
  <c r="V89" i="16"/>
  <c r="U54" i="16"/>
  <c r="V69" i="16"/>
  <c r="Z69" i="16" s="1"/>
  <c r="V95" i="16"/>
  <c r="U99" i="16"/>
  <c r="V92" i="16"/>
  <c r="U60" i="16"/>
  <c r="V41" i="16"/>
  <c r="U38" i="16"/>
  <c r="V64" i="16"/>
  <c r="Z64" i="16" s="1"/>
  <c r="U37" i="16"/>
  <c r="U33" i="16"/>
  <c r="V19" i="16"/>
  <c r="U13" i="16"/>
  <c r="U6" i="16"/>
  <c r="V50" i="16"/>
  <c r="U44" i="16"/>
  <c r="V34" i="16"/>
  <c r="U23" i="16"/>
  <c r="U59" i="16"/>
  <c r="V61" i="16"/>
  <c r="Z61" i="16" s="1"/>
  <c r="U49" i="16"/>
  <c r="U43" i="16"/>
  <c r="V36" i="16"/>
  <c r="V30" i="16"/>
  <c r="U22" i="16"/>
  <c r="U16" i="16"/>
  <c r="V12" i="16"/>
  <c r="V9" i="16"/>
  <c r="V5" i="16"/>
  <c r="U83" i="16"/>
  <c r="V76" i="16"/>
  <c r="V71" i="16"/>
  <c r="Z71" i="16" s="1"/>
  <c r="U106" i="16"/>
  <c r="U98" i="16"/>
  <c r="V91" i="16"/>
  <c r="U88" i="16"/>
  <c r="V55" i="16"/>
  <c r="V52" i="16"/>
  <c r="V46" i="16"/>
  <c r="V25" i="16"/>
  <c r="V21" i="16"/>
  <c r="U18" i="16"/>
  <c r="V15" i="16"/>
  <c r="V51" i="16"/>
  <c r="V48" i="16"/>
  <c r="N49" i="23" s="1"/>
  <c r="V45" i="16"/>
  <c r="U41" i="16"/>
  <c r="U35" i="16"/>
  <c r="U29" i="16"/>
  <c r="U11" i="16"/>
  <c r="U8" i="16"/>
  <c r="U4" i="16"/>
  <c r="V70" i="16"/>
  <c r="V107" i="16"/>
  <c r="Z107" i="16" s="1"/>
  <c r="V105" i="16"/>
  <c r="Z105" i="16" s="1"/>
  <c r="U90" i="16"/>
  <c r="V86" i="16"/>
  <c r="V104" i="16"/>
  <c r="Z104" i="16" s="1"/>
  <c r="V96" i="16"/>
  <c r="V66" i="16"/>
  <c r="U58" i="16"/>
  <c r="U50" i="16"/>
  <c r="U42" i="16"/>
  <c r="U34" i="16"/>
  <c r="U28" i="16"/>
  <c r="U20" i="16"/>
  <c r="V11" i="16"/>
  <c r="V3" i="16"/>
  <c r="Z34" i="16" l="1"/>
  <c r="N45" i="23"/>
  <c r="Z92" i="16"/>
  <c r="N57" i="23"/>
  <c r="Z7" i="16"/>
  <c r="N10" i="23"/>
  <c r="Z76" i="16"/>
  <c r="N58" i="23"/>
  <c r="Z50" i="16"/>
  <c r="N100" i="23"/>
  <c r="Z93" i="16"/>
  <c r="N48" i="23"/>
  <c r="Z38" i="16"/>
  <c r="N69" i="23"/>
  <c r="Z39" i="16"/>
  <c r="N68" i="23"/>
  <c r="N126" i="23"/>
  <c r="Z103" i="16"/>
  <c r="N33" i="23"/>
  <c r="Z88" i="16"/>
  <c r="N38" i="23"/>
  <c r="Z89" i="16"/>
  <c r="N54" i="23"/>
  <c r="Z90" i="16"/>
  <c r="N20" i="23"/>
  <c r="Z86" i="16"/>
  <c r="N66" i="23"/>
  <c r="Z91" i="16"/>
  <c r="N93" i="23"/>
  <c r="Z94" i="16"/>
  <c r="N122" i="23"/>
  <c r="Z96" i="16"/>
  <c r="N94" i="23"/>
  <c r="Z95" i="16"/>
  <c r="N121" i="23"/>
  <c r="Z97" i="16"/>
  <c r="N149" i="23"/>
  <c r="Z98" i="16"/>
  <c r="N46" i="23"/>
  <c r="Z87" i="16"/>
  <c r="N137" i="23"/>
  <c r="Z99" i="16"/>
  <c r="N62" i="23"/>
  <c r="Z70" i="16"/>
  <c r="N27" i="23"/>
  <c r="Z68" i="16"/>
  <c r="N23" i="23"/>
  <c r="Z67" i="16"/>
  <c r="N139" i="23"/>
  <c r="Z77" i="16"/>
  <c r="N25" i="23"/>
  <c r="Z4" i="16"/>
  <c r="N103" i="23"/>
  <c r="Z43" i="16"/>
  <c r="Z53" i="16"/>
  <c r="N138" i="23"/>
  <c r="N2" i="23"/>
  <c r="N17" i="23"/>
  <c r="Z51" i="16"/>
  <c r="N154" i="23"/>
  <c r="N63" i="23"/>
  <c r="Z25" i="16"/>
  <c r="N51" i="23"/>
  <c r="Z9" i="16"/>
  <c r="N152" i="23"/>
  <c r="Z30" i="16"/>
  <c r="N35" i="23"/>
  <c r="Z19" i="16"/>
  <c r="N61" i="23"/>
  <c r="Z10" i="16"/>
  <c r="N79" i="23"/>
  <c r="Z27" i="16"/>
  <c r="N41" i="23"/>
  <c r="Z22" i="16"/>
  <c r="N14" i="23"/>
  <c r="Z8" i="16"/>
  <c r="N56" i="23"/>
  <c r="Z24" i="16"/>
  <c r="Z49" i="16"/>
  <c r="N125" i="23"/>
  <c r="Z54" i="16"/>
  <c r="N146" i="23"/>
  <c r="N34" i="23"/>
  <c r="Z18" i="16"/>
  <c r="N43" i="23"/>
  <c r="Z21" i="16"/>
  <c r="N133" i="23"/>
  <c r="Z5" i="16"/>
  <c r="N76" i="23"/>
  <c r="Z13" i="16"/>
  <c r="N90" i="23"/>
  <c r="Z17" i="16"/>
  <c r="N115" i="23"/>
  <c r="Z46" i="16"/>
  <c r="N96" i="23"/>
  <c r="Z36" i="16"/>
  <c r="N30" i="23"/>
  <c r="Z14" i="16"/>
  <c r="N86" i="23"/>
  <c r="Z29" i="16"/>
  <c r="N127" i="23"/>
  <c r="Z33" i="16"/>
  <c r="N21" i="23"/>
  <c r="Z6" i="16"/>
  <c r="N74" i="23"/>
  <c r="Z26" i="16"/>
  <c r="N153" i="23"/>
  <c r="Z44" i="16"/>
  <c r="N52" i="23"/>
  <c r="Z23" i="16"/>
  <c r="Z55" i="16"/>
  <c r="N143" i="23"/>
  <c r="N85" i="23"/>
  <c r="Z28" i="16"/>
  <c r="N22" i="23"/>
  <c r="Z11" i="16"/>
  <c r="N75" i="23"/>
  <c r="Z15" i="16"/>
  <c r="N24" i="23"/>
  <c r="Z12" i="16"/>
  <c r="N102" i="23"/>
  <c r="Z41" i="16"/>
  <c r="N97" i="23"/>
  <c r="Z35" i="16"/>
  <c r="N116" i="23"/>
  <c r="Z45" i="16"/>
  <c r="Z52" i="16"/>
  <c r="N147" i="23"/>
  <c r="N36" i="23"/>
  <c r="Z20" i="16"/>
  <c r="N78" i="23"/>
  <c r="Z31" i="16"/>
  <c r="N104" i="23"/>
  <c r="Z42" i="16"/>
  <c r="N5" i="23"/>
  <c r="N95" i="23"/>
  <c r="Z37" i="16"/>
  <c r="N89" i="23"/>
  <c r="Z32" i="16"/>
  <c r="N101" i="23"/>
  <c r="Z40" i="16"/>
  <c r="N42" i="23"/>
  <c r="N131" i="23"/>
  <c r="N132" i="23"/>
  <c r="N70" i="23"/>
  <c r="N44" i="23"/>
  <c r="N50" i="23"/>
  <c r="N98" i="23"/>
  <c r="N3" i="23"/>
  <c r="N4" i="23"/>
  <c r="N113" i="23"/>
  <c r="N26" i="23"/>
  <c r="N112" i="23"/>
  <c r="Z48" i="16"/>
  <c r="Z47" i="16"/>
  <c r="M111" i="38"/>
  <c r="E4" i="11" s="1"/>
  <c r="W3" i="16" l="1"/>
  <c r="P111" i="38"/>
  <c r="Q111" i="38" s="1"/>
  <c r="X3" i="16" l="1"/>
  <c r="Y3" i="16" s="1"/>
  <c r="Z66" i="16"/>
  <c r="Z3" i="16" l="1"/>
  <c r="X85" i="16"/>
  <c r="W108" i="16"/>
  <c r="W84" i="16"/>
  <c r="W65" i="16"/>
  <c r="W112" i="16" l="1"/>
  <c r="S85" i="16"/>
  <c r="T85" i="16"/>
  <c r="U85" i="16" l="1"/>
  <c r="J80" i="15" l="1"/>
  <c r="K80" i="15"/>
  <c r="J108" i="16" l="1"/>
  <c r="K108" i="16"/>
  <c r="L108" i="16"/>
  <c r="M108" i="16"/>
  <c r="N108" i="16"/>
  <c r="O108" i="16"/>
  <c r="P108" i="16"/>
  <c r="N190" i="23" l="1"/>
  <c r="N191" i="23"/>
  <c r="N192" i="23"/>
  <c r="N193" i="23"/>
  <c r="N194" i="23"/>
  <c r="N195" i="23"/>
  <c r="N196" i="23"/>
  <c r="V124" i="16" l="1"/>
  <c r="F5" i="37" l="1"/>
  <c r="F6" i="37" s="1"/>
  <c r="F7" i="37" s="1"/>
  <c r="AV14" i="14"/>
  <c r="G46" i="11" l="1"/>
  <c r="G47" i="11"/>
  <c r="G49" i="11"/>
  <c r="Q322" i="23" l="1"/>
  <c r="Q323" i="23"/>
  <c r="Q324" i="23"/>
  <c r="Q325" i="23"/>
  <c r="Q326" i="23"/>
  <c r="Q327" i="23"/>
  <c r="L388" i="23" l="1"/>
  <c r="M388" i="23" s="1"/>
  <c r="N388" i="23"/>
  <c r="L389" i="23"/>
  <c r="M389" i="23" s="1"/>
  <c r="N389" i="23"/>
  <c r="L390" i="23"/>
  <c r="M390" i="23" s="1"/>
  <c r="N390" i="23"/>
  <c r="L391" i="23"/>
  <c r="M391" i="23" s="1"/>
  <c r="N391" i="23"/>
  <c r="I392" i="23"/>
  <c r="J392" i="23"/>
  <c r="N392" i="23"/>
  <c r="S84" i="16" l="1"/>
  <c r="L392" i="23"/>
  <c r="M392" i="23" s="1"/>
  <c r="D50" i="11" l="1"/>
  <c r="D51" i="11" s="1"/>
  <c r="F84" i="8" l="1"/>
  <c r="I190" i="23" l="1"/>
  <c r="J190" i="23"/>
  <c r="J399" i="23" s="1"/>
  <c r="L190" i="23" l="1"/>
  <c r="M190" i="23" s="1"/>
  <c r="Y85" i="16"/>
  <c r="Y127" i="16" s="1"/>
  <c r="Y128" i="16" s="1"/>
  <c r="I399" i="23"/>
  <c r="I191" i="23"/>
  <c r="L191" i="23" s="1"/>
  <c r="M191" i="23" s="1"/>
  <c r="M2" i="23"/>
  <c r="I192" i="23" l="1"/>
  <c r="L192" i="23" s="1"/>
  <c r="M192" i="23" s="1"/>
  <c r="L397" i="23" l="1"/>
  <c r="J157" i="14" l="1"/>
  <c r="J145" i="14" l="1"/>
  <c r="AN14" i="14"/>
  <c r="F68" i="8" l="1"/>
  <c r="F69" i="8"/>
  <c r="F70" i="8"/>
  <c r="F71" i="8"/>
  <c r="F72" i="8"/>
  <c r="F73" i="8"/>
  <c r="F74" i="8"/>
  <c r="F75" i="8"/>
  <c r="F76" i="8"/>
  <c r="F77" i="8"/>
  <c r="F78" i="8"/>
  <c r="F79" i="8"/>
  <c r="F80" i="8"/>
  <c r="F81" i="8"/>
  <c r="F82" i="8"/>
  <c r="F83" i="8"/>
  <c r="F67" i="8"/>
  <c r="H159" i="15"/>
  <c r="H160" i="15"/>
  <c r="H161" i="15"/>
  <c r="H158" i="15"/>
  <c r="H175" i="15" l="1"/>
  <c r="G118" i="16"/>
  <c r="AJ14" i="14"/>
  <c r="AK14" i="14"/>
  <c r="AL14" i="14"/>
  <c r="AM14" i="14"/>
  <c r="B14" i="11"/>
  <c r="B15" i="11"/>
  <c r="B16" i="11"/>
  <c r="B17" i="11"/>
  <c r="B18" i="11"/>
  <c r="B24" i="11"/>
  <c r="C21" i="11"/>
  <c r="D142" i="14"/>
  <c r="C142" i="14"/>
  <c r="E64" i="8"/>
  <c r="D64" i="8"/>
  <c r="G156" i="15"/>
  <c r="H1" i="8"/>
  <c r="F156" i="15"/>
  <c r="F158" i="14" l="1"/>
  <c r="F146" i="14"/>
  <c r="C18" i="11" s="1"/>
  <c r="D159" i="14"/>
  <c r="F157" i="14"/>
  <c r="F153" i="14"/>
  <c r="C20" i="11" s="1"/>
  <c r="F149" i="14"/>
  <c r="C24" i="11" s="1"/>
  <c r="F145" i="14"/>
  <c r="C17" i="11" s="1"/>
  <c r="F155" i="14"/>
  <c r="F151" i="14"/>
  <c r="C31" i="11" s="1"/>
  <c r="C19" i="11"/>
  <c r="F143" i="14"/>
  <c r="C15" i="11" s="1"/>
  <c r="F154" i="14"/>
  <c r="C23" i="11" s="1"/>
  <c r="F150" i="14"/>
  <c r="F156" i="14"/>
  <c r="F152" i="14"/>
  <c r="C28" i="11" s="1"/>
  <c r="C27" i="11" s="1"/>
  <c r="F148" i="14"/>
  <c r="C26" i="11" s="1"/>
  <c r="F144" i="14"/>
  <c r="C16" i="11" s="1"/>
  <c r="F142" i="14"/>
  <c r="C14" i="11" s="1"/>
  <c r="C159" i="14"/>
  <c r="G153" i="14" l="1"/>
  <c r="C13" i="11"/>
  <c r="C22" i="11"/>
  <c r="X65" i="16" l="1"/>
  <c r="H136" i="14" l="1"/>
  <c r="J136" i="14"/>
  <c r="AI14" i="14"/>
  <c r="R191" i="23"/>
  <c r="L149" i="14" l="1"/>
  <c r="L150" i="14"/>
  <c r="L151" i="14"/>
  <c r="L152" i="14"/>
  <c r="L153" i="14"/>
  <c r="L154" i="14"/>
  <c r="L155" i="14"/>
  <c r="L156" i="14"/>
  <c r="L148" i="14"/>
  <c r="X108" i="16" l="1"/>
  <c r="X84" i="16"/>
  <c r="Q112" i="16" l="1"/>
  <c r="R112" i="16"/>
  <c r="T108" i="16" l="1"/>
  <c r="T84" i="16"/>
  <c r="U84" i="16" s="1"/>
  <c r="S108" i="16"/>
  <c r="V85" i="16"/>
  <c r="T65" i="16"/>
  <c r="S65" i="16"/>
  <c r="Z85" i="16" l="1"/>
  <c r="N60" i="23"/>
  <c r="V84" i="16"/>
  <c r="Z84" i="16" s="1"/>
  <c r="V108" i="16"/>
  <c r="X112" i="16"/>
  <c r="U65" i="16"/>
  <c r="V65" i="16"/>
  <c r="Z65" i="16" s="1"/>
  <c r="U109" i="16" l="1"/>
  <c r="N111" i="16"/>
  <c r="N112" i="16" s="1"/>
  <c r="C30" i="11" l="1"/>
  <c r="C33" i="11"/>
  <c r="C36" i="11" s="1"/>
  <c r="E13" i="11" l="1"/>
  <c r="G151" i="14"/>
  <c r="G149" i="14"/>
  <c r="G146" i="14"/>
  <c r="F159" i="14"/>
  <c r="G159" i="14" l="1"/>
  <c r="C37" i="11" s="1"/>
  <c r="H163" i="14"/>
  <c r="AA14" i="14" l="1"/>
  <c r="Y121" i="16" l="1"/>
  <c r="T110" i="16" l="1"/>
  <c r="J111" i="16"/>
  <c r="K111" i="16"/>
  <c r="K112" i="16" s="1"/>
  <c r="L111" i="16"/>
  <c r="L112" i="16" s="1"/>
  <c r="M111" i="16"/>
  <c r="M112" i="16" s="1"/>
  <c r="N113" i="16"/>
  <c r="O111" i="16"/>
  <c r="O112" i="16" s="1"/>
  <c r="P111" i="16"/>
  <c r="P112" i="16" s="1"/>
  <c r="P113" i="16" s="1"/>
  <c r="H112" i="16"/>
  <c r="I112" i="16"/>
  <c r="H116" i="16" l="1"/>
  <c r="Q147" i="23"/>
  <c r="R147" i="23" s="1"/>
  <c r="L114" i="16"/>
  <c r="L113" i="16"/>
  <c r="M113" i="16"/>
  <c r="J121" i="16" s="1"/>
  <c r="J112" i="16"/>
  <c r="J114" i="16" s="1"/>
  <c r="O113" i="16"/>
  <c r="U110" i="16"/>
  <c r="K113" i="16"/>
  <c r="F129" i="16"/>
  <c r="T111" i="16"/>
  <c r="S111" i="16"/>
  <c r="X110" i="16"/>
  <c r="L396" i="23" l="1"/>
  <c r="D4" i="11"/>
  <c r="Y110" i="16"/>
  <c r="J118" i="16"/>
  <c r="U108" i="16"/>
  <c r="T112" i="16"/>
  <c r="S112" i="16"/>
  <c r="T113" i="16" l="1"/>
  <c r="T117" i="16"/>
  <c r="S113" i="16"/>
  <c r="S117" i="16"/>
  <c r="V112" i="16"/>
  <c r="U112" i="16"/>
  <c r="U113" i="16" s="1"/>
  <c r="V113" i="16" l="1"/>
  <c r="Y116" i="16"/>
  <c r="I126" i="16" l="1"/>
  <c r="I123" i="16"/>
  <c r="C50" i="11" l="1"/>
  <c r="C11" i="11" l="1"/>
  <c r="C10" i="11"/>
  <c r="E50" i="11" l="1"/>
  <c r="C9" i="11" l="1"/>
  <c r="C8" i="11" s="1"/>
  <c r="K125" i="16" l="1"/>
  <c r="K116" i="16"/>
  <c r="C35" i="11" l="1"/>
  <c r="D36" i="11" l="1"/>
  <c r="C39" i="11" s="1"/>
  <c r="C40" i="11"/>
  <c r="C38" i="11"/>
  <c r="J128" i="16"/>
  <c r="K120" i="16" l="1"/>
  <c r="J119" i="16" l="1"/>
  <c r="J122" i="16" s="1"/>
  <c r="D25" i="11" l="1"/>
  <c r="D26" i="11"/>
  <c r="D27" i="11"/>
  <c r="D15" i="11"/>
  <c r="D19" i="11"/>
  <c r="D18" i="11"/>
  <c r="D22" i="11"/>
  <c r="D24" i="11"/>
  <c r="D17" i="11"/>
  <c r="D23" i="11"/>
  <c r="D21" i="11"/>
  <c r="D14" i="11"/>
  <c r="D20" i="11"/>
  <c r="D16" i="11"/>
  <c r="K126" i="16"/>
  <c r="K128" i="16" s="1"/>
  <c r="S114" i="16"/>
  <c r="S115" i="16" s="1"/>
  <c r="J125" i="16"/>
  <c r="K119" i="16"/>
  <c r="E30" i="11" l="1"/>
  <c r="F30" i="11" s="1"/>
  <c r="K118" i="16"/>
  <c r="K122" i="16" s="1"/>
  <c r="W113" i="16"/>
  <c r="T115" i="16"/>
  <c r="B33" i="11" l="1"/>
  <c r="D30" i="11" l="1"/>
  <c r="D8" i="11" l="1"/>
  <c r="E8" i="11" s="1"/>
  <c r="D33" i="11" l="1"/>
  <c r="D9" i="11" l="1"/>
  <c r="D10" i="11"/>
  <c r="D11" i="11"/>
  <c r="D13" i="11" l="1"/>
  <c r="I127" i="16" l="1"/>
  <c r="I128" i="16" s="1"/>
  <c r="I124" i="16"/>
  <c r="I121" i="16" l="1"/>
  <c r="I122" i="16" s="1"/>
  <c r="I125" i="16"/>
</calcChain>
</file>

<file path=xl/sharedStrings.xml><?xml version="1.0" encoding="utf-8"?>
<sst xmlns="http://schemas.openxmlformats.org/spreadsheetml/2006/main" count="4178" uniqueCount="1455">
  <si>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</si>
  <si>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</si>
  <si>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</si>
  <si>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</si>
  <si>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</si>
  <si>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</si>
  <si>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</si>
  <si>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</si>
  <si>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</si>
  <si>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</si>
  <si>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</si>
  <si>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</si>
  <si>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</si>
  <si>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</si>
  <si>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</si>
  <si>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</si>
  <si>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</si>
  <si>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</si>
  <si>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</si>
  <si>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</si>
  <si>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</si>
  <si>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</si>
  <si>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</si>
  <si>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</si>
  <si>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</si>
  <si>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</si>
  <si>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</si>
  <si>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</si>
  <si>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</si>
  <si>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</si>
  <si>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</si>
  <si>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</si>
  <si>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</si>
  <si>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</si>
  <si>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</si>
  <si>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</si>
  <si>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</si>
  <si>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</si>
  <si>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</si>
  <si>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</si>
  <si>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</si>
  <si>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</si>
  <si>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Ventas deposito elec</t>
  </si>
  <si>
    <t>Ventas deposito ventanilla</t>
  </si>
  <si>
    <t>Ventas Turistour y Aguas</t>
  </si>
  <si>
    <t>Informe</t>
  </si>
  <si>
    <t>Depositos</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</si>
  <si>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</si>
  <si>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</si>
  <si>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</si>
  <si>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</si>
  <si>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</si>
  <si>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</si>
  <si>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</si>
  <si>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</si>
  <si>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</si>
  <si>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</si>
  <si>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</si>
  <si>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</si>
  <si>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</si>
  <si>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</si>
  <si>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</si>
  <si>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</si>
  <si>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</si>
  <si>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</si>
  <si>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</si>
  <si>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</si>
  <si>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</si>
  <si>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</si>
  <si>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</si>
  <si>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</si>
  <si>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</si>
  <si>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</si>
  <si>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Ventas TC US</t>
  </si>
  <si>
    <t>Ventas TC $</t>
  </si>
  <si>
    <t xml:space="preserve">Ventas TC </t>
  </si>
  <si>
    <t>Ventas TC Pendiente US</t>
  </si>
  <si>
    <t>Total TC US</t>
  </si>
  <si>
    <t>Ventas TC Pendiente $</t>
  </si>
  <si>
    <t>Total TC $</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</si>
  <si>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</si>
  <si>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</si>
  <si>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</si>
  <si>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</si>
  <si>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</si>
  <si>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</si>
  <si>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</si>
  <si>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</si>
  <si>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</si>
  <si>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</si>
  <si>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</si>
  <si>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</si>
  <si>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</si>
  <si>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</si>
  <si>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</si>
  <si>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</si>
  <si>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</si>
  <si>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</si>
  <si>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</si>
  <si>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</si>
  <si>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</si>
  <si>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</si>
  <si>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</si>
  <si>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</si>
  <si>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</si>
  <si>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</si>
  <si>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</si>
  <si>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</si>
  <si>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</si>
  <si>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</si>
  <si>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</si>
  <si>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</si>
  <si>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</si>
  <si>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</si>
  <si>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</si>
  <si>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</si>
  <si>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</si>
  <si>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</si>
  <si>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</si>
  <si>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</si>
  <si>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</si>
  <si>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</si>
  <si>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</si>
  <si>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</si>
  <si>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</si>
  <si>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</si>
  <si>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</si>
  <si>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</si>
  <si>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</si>
  <si>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</si>
  <si>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</si>
  <si>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</si>
  <si>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</si>
  <si>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</si>
  <si>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</si>
  <si>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</si>
  <si>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</si>
  <si>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</si>
  <si>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</si>
  <si>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</si>
  <si>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</si>
  <si>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</si>
  <si>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</si>
  <si>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</si>
  <si>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</si>
  <si>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</si>
  <si>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</si>
  <si>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</si>
  <si>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</si>
  <si>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</si>
  <si>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</si>
  <si>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</si>
  <si>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</si>
  <si>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</si>
  <si>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</si>
  <si>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</si>
  <si>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</si>
  <si>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</si>
  <si>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</si>
  <si>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</si>
  <si>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25.033.894-5</t>
  </si>
  <si>
    <t>16.259.043-K</t>
  </si>
  <si>
    <t>Frigobar</t>
  </si>
  <si>
    <t>0</t>
  </si>
  <si>
    <t>Giro Cajero Automático</t>
  </si>
  <si>
    <t xml:space="preserve">Cristina Casanovas                           </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</si>
  <si>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</si>
  <si>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</si>
  <si>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</si>
  <si>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</si>
  <si>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</si>
  <si>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</si>
  <si>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</si>
  <si>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</si>
  <si>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</si>
  <si>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</si>
  <si>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</si>
  <si>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</si>
  <si>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</si>
  <si>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</si>
  <si>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</si>
  <si>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</si>
  <si>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</si>
  <si>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</si>
  <si>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</si>
  <si>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</si>
  <si>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</si>
  <si>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</si>
  <si>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</si>
  <si>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</si>
  <si>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</si>
  <si>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</si>
  <si>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</si>
  <si>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</si>
  <si>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</si>
  <si>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</si>
  <si>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</si>
  <si>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</si>
  <si>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</si>
  <si>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</si>
  <si>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</si>
  <si>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</si>
  <si>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</si>
  <si>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</si>
  <si>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</si>
  <si>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</si>
  <si>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</si>
  <si>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</si>
  <si>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</si>
  <si>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</si>
  <si>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</si>
  <si>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</si>
  <si>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</si>
  <si>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</si>
  <si>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</si>
  <si>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</si>
  <si>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</si>
  <si>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</si>
  <si>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</si>
  <si>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</si>
  <si>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</si>
  <si>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</si>
  <si>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</si>
  <si>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</si>
  <si>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</si>
  <si>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</si>
  <si>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</si>
  <si>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</si>
  <si>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</si>
  <si>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</si>
  <si>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</si>
  <si>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</si>
  <si>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</si>
  <si>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</si>
  <si>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</si>
  <si>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</si>
  <si>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</si>
  <si>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</si>
  <si>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</si>
  <si>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25033894</t>
  </si>
  <si>
    <t>25173415</t>
  </si>
  <si>
    <t>Deposito En Efectivo Por Caja</t>
  </si>
  <si>
    <t>71507092</t>
  </si>
  <si>
    <t xml:space="preserve">Mara Jose Paez Zumaran                       </t>
  </si>
  <si>
    <t xml:space="preserve">SCOTIABANK                         </t>
  </si>
  <si>
    <t>AGRO</t>
  </si>
  <si>
    <t>MALL</t>
  </si>
  <si>
    <t>BKNG</t>
  </si>
  <si>
    <t>PARKING MALL</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</si>
  <si>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</si>
  <si>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</si>
  <si>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</si>
  <si>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</si>
  <si>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</si>
  <si>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</si>
  <si>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</si>
  <si>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</si>
  <si>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</si>
  <si>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</si>
  <si>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</si>
  <si>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</si>
  <si>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Guests</t>
  </si>
  <si>
    <t>Adults</t>
  </si>
  <si>
    <t>Channel</t>
  </si>
  <si>
    <t>Booking.com</t>
  </si>
  <si>
    <t>Expedia</t>
  </si>
  <si>
    <t>BookingButton</t>
  </si>
  <si>
    <t>BB</t>
  </si>
  <si>
    <t>VICENTE</t>
  </si>
  <si>
    <t>LIDER</t>
  </si>
  <si>
    <t>dolares deteriorados, deposito en pesos el 30 de abril</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</si>
  <si>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</si>
  <si>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</si>
  <si>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</si>
  <si>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</si>
  <si>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</si>
  <si>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</si>
  <si>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</si>
  <si>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</si>
  <si>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</si>
  <si>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</si>
  <si>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</si>
  <si>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</si>
  <si>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</si>
  <si>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</si>
  <si>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</si>
  <si>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</si>
  <si>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PARKING AGRO</t>
  </si>
  <si>
    <t>96.982.330-6</t>
  </si>
  <si>
    <t>21066477</t>
  </si>
  <si>
    <t xml:space="preserve">CESPA Ltda                                   </t>
  </si>
  <si>
    <t>72.809.800-7</t>
  </si>
  <si>
    <t>54003610</t>
  </si>
  <si>
    <t xml:space="preserve">Comite de Agua San Pedro de Atacama          </t>
  </si>
  <si>
    <t>Comb. Calefacción</t>
  </si>
  <si>
    <t>SODIMAC</t>
  </si>
  <si>
    <t>VALIMPORT</t>
  </si>
  <si>
    <t>BERTITA</t>
  </si>
  <si>
    <t>NORTEVERDE</t>
  </si>
  <si>
    <t>SITEMINDER</t>
  </si>
  <si>
    <t>WWW.HOTELOGIX.COM</t>
  </si>
  <si>
    <t>deposito 27 de  sept</t>
  </si>
  <si>
    <t>Anulación $</t>
  </si>
  <si>
    <t>ECA</t>
  </si>
  <si>
    <t>Abono Por Transf De Fondos Autoservicio</t>
  </si>
  <si>
    <t>Retiros Acumulados 2018-Angelica</t>
  </si>
  <si>
    <t>Retiros Acumulados 2018-Maria</t>
  </si>
  <si>
    <t>Retiros Acumulados 2018-Sergio</t>
  </si>
  <si>
    <t>Retiros Acumulados 2018-Carlos</t>
  </si>
  <si>
    <t>DB</t>
  </si>
  <si>
    <t>-</t>
  </si>
  <si>
    <t>Pago1</t>
  </si>
  <si>
    <t>Pago2</t>
  </si>
  <si>
    <t>Pago3</t>
  </si>
  <si>
    <t>transbank</t>
  </si>
  <si>
    <t>975172031</t>
  </si>
  <si>
    <t xml:space="preserve">Carlos Moscoso                               </t>
  </si>
  <si>
    <t>76.572.506-2</t>
  </si>
  <si>
    <t>70792372</t>
  </si>
  <si>
    <t xml:space="preserve">Panaderia La Franchuteria                    </t>
  </si>
  <si>
    <t>Anulación USD$</t>
  </si>
  <si>
    <t>63</t>
  </si>
  <si>
    <t>64</t>
  </si>
  <si>
    <t>24.814.519-6</t>
  </si>
  <si>
    <t>24814519</t>
  </si>
  <si>
    <t xml:space="preserve">Marcela Camata                               </t>
  </si>
  <si>
    <t>76.248.923-6</t>
  </si>
  <si>
    <t xml:space="preserve">BANCO ITAU                         </t>
  </si>
  <si>
    <t>212890774</t>
  </si>
  <si>
    <t xml:space="preserve">Pagos y Servicios Astropay Ltda              </t>
  </si>
  <si>
    <t>76.173.509-8</t>
  </si>
  <si>
    <t>66653927</t>
  </si>
  <si>
    <t xml:space="preserve">Nieva Soft EIRL                              </t>
  </si>
  <si>
    <t>96.591.760-8</t>
  </si>
  <si>
    <t xml:space="preserve">BANCO DE CHILE-EDWARDS             </t>
  </si>
  <si>
    <t>1787215104</t>
  </si>
  <si>
    <t xml:space="preserve">Truly Nolen Chile SA                         </t>
  </si>
  <si>
    <t>boleta ta</t>
  </si>
  <si>
    <t>96</t>
  </si>
  <si>
    <t>61</t>
  </si>
  <si>
    <t>93</t>
  </si>
  <si>
    <t>374614XXXXXX4010</t>
  </si>
  <si>
    <t>EL SALVADOR</t>
  </si>
  <si>
    <t>JUTURI</t>
  </si>
  <si>
    <t>- MC ****8447  $160.836  Fecha de venta: 27-12-2018 Fecha anulación: 08-01</t>
  </si>
  <si>
    <t>553636XXXXXXX3625</t>
  </si>
  <si>
    <t>475117XXXXXXX9817</t>
  </si>
  <si>
    <t>452001XXXXXXX0066</t>
  </si>
  <si>
    <t>475115XXXXXXX0002</t>
  </si>
  <si>
    <t>414709XXXXXXX0811</t>
  </si>
  <si>
    <t>DI</t>
  </si>
  <si>
    <t>414720XXXXXXX4423</t>
  </si>
  <si>
    <t>438857XXXXXXX8694</t>
  </si>
  <si>
    <t>546616XXXXXXX2004</t>
  </si>
  <si>
    <t>498406XXXXXXX9617</t>
  </si>
  <si>
    <t>492910XXXXXXX6001</t>
  </si>
  <si>
    <t>498408XXXXXXX2755</t>
  </si>
  <si>
    <t>553636XXXXXXX0418</t>
  </si>
  <si>
    <t>376478XXXXXX2940</t>
  </si>
  <si>
    <t>553636XXXXXXX3187</t>
  </si>
  <si>
    <t>14</t>
  </si>
  <si>
    <t>457038XXXXXXX4810</t>
  </si>
  <si>
    <t>469380XXXXXXX1296</t>
  </si>
  <si>
    <t>414709XXXXXXX7778</t>
  </si>
  <si>
    <t>522948XXXXXXX6988</t>
  </si>
  <si>
    <t>428291XXXXXXX0175</t>
  </si>
  <si>
    <t>497490XXXXXXX4155</t>
  </si>
  <si>
    <t>515590XXXXXXX5424</t>
  </si>
  <si>
    <t>438857XXXXXXX2610</t>
  </si>
  <si>
    <t>522832XXXXXXX5788</t>
  </si>
  <si>
    <t>414720XXXXXXX7236</t>
  </si>
  <si>
    <t>513351XXXXXXX6981</t>
  </si>
  <si>
    <t>450745XXXXXXX6814</t>
  </si>
  <si>
    <t>96.919.050-8</t>
  </si>
  <si>
    <t>1638114</t>
  </si>
  <si>
    <t xml:space="preserve">Acepta.com                                   </t>
  </si>
  <si>
    <t>16.104.959-K</t>
  </si>
  <si>
    <t>16104959</t>
  </si>
  <si>
    <t xml:space="preserve">Francisco Vargas                             </t>
  </si>
  <si>
    <t>25.231.859-3</t>
  </si>
  <si>
    <t>25231859</t>
  </si>
  <si>
    <t xml:space="preserve">Leslie Canaviri                              </t>
  </si>
  <si>
    <t>VERDURAS ALMUERZO</t>
  </si>
  <si>
    <t>PARKING CENTRO</t>
  </si>
  <si>
    <t>01/03/2019 08:49</t>
  </si>
  <si>
    <t>451461XXXXXXX2959</t>
  </si>
  <si>
    <t>850202</t>
  </si>
  <si>
    <t>01/03/2019 11:14</t>
  </si>
  <si>
    <t>496670XXXXXXX6831</t>
  </si>
  <si>
    <t>613767</t>
  </si>
  <si>
    <t>01/03/2019 11:15</t>
  </si>
  <si>
    <t>552033XXXXXXX4232</t>
  </si>
  <si>
    <t>017609</t>
  </si>
  <si>
    <t>01/03/2019 11:16</t>
  </si>
  <si>
    <t>426101XXXXXXX4921</t>
  </si>
  <si>
    <t>60427S</t>
  </si>
  <si>
    <t>01/03/2019 11:39</t>
  </si>
  <si>
    <t>473747</t>
  </si>
  <si>
    <t>01/03/2019 20:35</t>
  </si>
  <si>
    <t>242606</t>
  </si>
  <si>
    <t>01/03/2019 21:51</t>
  </si>
  <si>
    <t>522840XXXXXXX8405</t>
  </si>
  <si>
    <t>523462</t>
  </si>
  <si>
    <t>01/03/2019 22:32</t>
  </si>
  <si>
    <t>531664XXXXXXX6937</t>
  </si>
  <si>
    <t>635450</t>
  </si>
  <si>
    <t>02/03/2019 14:02</t>
  </si>
  <si>
    <t>02/03/2019 16:29</t>
  </si>
  <si>
    <t>930565</t>
  </si>
  <si>
    <t>02/03/2019 17:10</t>
  </si>
  <si>
    <t>454657XXXXXXX6649</t>
  </si>
  <si>
    <t>007345</t>
  </si>
  <si>
    <t>02/03/2019 22:03</t>
  </si>
  <si>
    <t>515590XXXXXXX6693</t>
  </si>
  <si>
    <t>040774</t>
  </si>
  <si>
    <t>03/03/2019 10:58</t>
  </si>
  <si>
    <t>08664I</t>
  </si>
  <si>
    <t>03/03/2019 17:48</t>
  </si>
  <si>
    <t>048410</t>
  </si>
  <si>
    <t>04/03/2019 13:06</t>
  </si>
  <si>
    <t>379727XXXXXX1001</t>
  </si>
  <si>
    <t>04/03/2019 13:08</t>
  </si>
  <si>
    <t>371789XXXXXX2000</t>
  </si>
  <si>
    <t>47</t>
  </si>
  <si>
    <t>04/03/2019 13:12</t>
  </si>
  <si>
    <t>515590XXXXXXX1014</t>
  </si>
  <si>
    <t>134753</t>
  </si>
  <si>
    <t>04/03/2019 13:18</t>
  </si>
  <si>
    <t>414720XXXXXXX3723</t>
  </si>
  <si>
    <t>07766D</t>
  </si>
  <si>
    <t>04/03/2019 13:19</t>
  </si>
  <si>
    <t>558955XXXXXXX2947</t>
  </si>
  <si>
    <t>15689J</t>
  </si>
  <si>
    <t>04/03/2019 13:23</t>
  </si>
  <si>
    <t>400682XXXXXXX0596</t>
  </si>
  <si>
    <t>008085</t>
  </si>
  <si>
    <t>04/03/2019 13:24</t>
  </si>
  <si>
    <t>414720XXXXXXX0747</t>
  </si>
  <si>
    <t>05738I</t>
  </si>
  <si>
    <t>04/03/2019 13:26</t>
  </si>
  <si>
    <t>515590XXXXXXX2708</t>
  </si>
  <si>
    <t>271875</t>
  </si>
  <si>
    <t>04/03/2019 14:53</t>
  </si>
  <si>
    <t>553471XXXXXXX0604</t>
  </si>
  <si>
    <t>307573</t>
  </si>
  <si>
    <t>05/03/2019 10:27</t>
  </si>
  <si>
    <t>428083XXXXXXX2023</t>
  </si>
  <si>
    <t>009064</t>
  </si>
  <si>
    <t>05/03/2019 16:18</t>
  </si>
  <si>
    <t>512687XXXXXXX5045</t>
  </si>
  <si>
    <t>078510</t>
  </si>
  <si>
    <t>06/03/2019 13:52</t>
  </si>
  <si>
    <t>549138XXXXXXX2024</t>
  </si>
  <si>
    <t>036963</t>
  </si>
  <si>
    <t>06/03/2019 13:57</t>
  </si>
  <si>
    <t>498408XXXXXXX7516</t>
  </si>
  <si>
    <t>851795</t>
  </si>
  <si>
    <t>06/03/2019 13:58</t>
  </si>
  <si>
    <t>498408XXXXXXX5668</t>
  </si>
  <si>
    <t>856006</t>
  </si>
  <si>
    <t>07/03/2019 16:21</t>
  </si>
  <si>
    <t>521892XXXXXXX0681</t>
  </si>
  <si>
    <t>401976</t>
  </si>
  <si>
    <t>07/03/2019 18:11</t>
  </si>
  <si>
    <t>121462</t>
  </si>
  <si>
    <t>08/03/2019 11:25</t>
  </si>
  <si>
    <t>522840XXXXXXX4017</t>
  </si>
  <si>
    <t>265354</t>
  </si>
  <si>
    <t>08/03/2019 13:36</t>
  </si>
  <si>
    <t>376639XXXXXX1005</t>
  </si>
  <si>
    <t>89</t>
  </si>
  <si>
    <t>08/03/2019 18:55</t>
  </si>
  <si>
    <t>453211XXXXXXX8672</t>
  </si>
  <si>
    <t>665900</t>
  </si>
  <si>
    <t>09/03/2019 12:44</t>
  </si>
  <si>
    <t>06606F</t>
  </si>
  <si>
    <t>09/03/2019 14:17</t>
  </si>
  <si>
    <t>552236XXXXXXX1329</t>
  </si>
  <si>
    <t>054247</t>
  </si>
  <si>
    <t>09/03/2019 14:19</t>
  </si>
  <si>
    <t>431947XXXXXXX3954</t>
  </si>
  <si>
    <t>908945</t>
  </si>
  <si>
    <t>09/03/2019 14:20</t>
  </si>
  <si>
    <t>557914XXXXXXX9155</t>
  </si>
  <si>
    <t>06164S</t>
  </si>
  <si>
    <t>10/03/2019 11:13</t>
  </si>
  <si>
    <t>542532XXXXXXX2548</t>
  </si>
  <si>
    <t>B69790</t>
  </si>
  <si>
    <t>10/03/2019 13:24</t>
  </si>
  <si>
    <t>552350XXXXXXX5284</t>
  </si>
  <si>
    <t>019067</t>
  </si>
  <si>
    <t>10/03/2019 13:25</t>
  </si>
  <si>
    <t>414740XXXXXXX1574</t>
  </si>
  <si>
    <t>09049D</t>
  </si>
  <si>
    <t>10/03/2019 18:13</t>
  </si>
  <si>
    <t>057592</t>
  </si>
  <si>
    <t>11/03/2019 09:45</t>
  </si>
  <si>
    <t>475117XXXXXXX0294</t>
  </si>
  <si>
    <t>900223</t>
  </si>
  <si>
    <t>11/03/2019 10:45</t>
  </si>
  <si>
    <t>414709XXXXXXX9094</t>
  </si>
  <si>
    <t>08881D</t>
  </si>
  <si>
    <t>11/03/2019 11:56</t>
  </si>
  <si>
    <t>448165XXXXXXX0341</t>
  </si>
  <si>
    <t>660903</t>
  </si>
  <si>
    <t>11/03/2019 12:02</t>
  </si>
  <si>
    <t>374769XXXXXX4935</t>
  </si>
  <si>
    <t>11/03/2019 12:48</t>
  </si>
  <si>
    <t>414720XXXXXXX6864</t>
  </si>
  <si>
    <t>08625D</t>
  </si>
  <si>
    <t>11/03/2019 13:03</t>
  </si>
  <si>
    <t>171172</t>
  </si>
  <si>
    <t>11/03/2019 14:33</t>
  </si>
  <si>
    <t>546616XXXXXXX0387</t>
  </si>
  <si>
    <t>13824P</t>
  </si>
  <si>
    <t>11/03/2019 15:39</t>
  </si>
  <si>
    <t>11/03/2019 17:22</t>
  </si>
  <si>
    <t>02369D</t>
  </si>
  <si>
    <t>12/03/2019 08:48</t>
  </si>
  <si>
    <t>498408XXXXXXX0051</t>
  </si>
  <si>
    <t>001103</t>
  </si>
  <si>
    <t>12/03/2019 09:36</t>
  </si>
  <si>
    <t>479030XXXXXXX2691</t>
  </si>
  <si>
    <t>099621</t>
  </si>
  <si>
    <t>12/03/2019 09:38</t>
  </si>
  <si>
    <t>455390XXXXXXX8732</t>
  </si>
  <si>
    <t>719080</t>
  </si>
  <si>
    <t>12/03/2019 09:42</t>
  </si>
  <si>
    <t>458123XXXXXXX3180</t>
  </si>
  <si>
    <t>433627</t>
  </si>
  <si>
    <t>13/03/2019 14:10</t>
  </si>
  <si>
    <t>063156</t>
  </si>
  <si>
    <t>13/03/2019 14:44</t>
  </si>
  <si>
    <t>377111XXXXXX3001</t>
  </si>
  <si>
    <t>17</t>
  </si>
  <si>
    <t>14/03/2019 10:57</t>
  </si>
  <si>
    <t>024655</t>
  </si>
  <si>
    <t>14/03/2019 21:04</t>
  </si>
  <si>
    <t>489396XXXXXXX0847</t>
  </si>
  <si>
    <t>065162</t>
  </si>
  <si>
    <t>15/03/2019 10:41</t>
  </si>
  <si>
    <t>07135D</t>
  </si>
  <si>
    <t>15/03/2019 11:14</t>
  </si>
  <si>
    <t>60429P</t>
  </si>
  <si>
    <t>15/03/2019 11:26</t>
  </si>
  <si>
    <t>717177</t>
  </si>
  <si>
    <t>15/03/2019 13:03</t>
  </si>
  <si>
    <t>521729XXXXXXX8198</t>
  </si>
  <si>
    <t>896359</t>
  </si>
  <si>
    <t>15/03/2019 13:55</t>
  </si>
  <si>
    <t>552253XXXXXXX1187</t>
  </si>
  <si>
    <t>T76948</t>
  </si>
  <si>
    <t>15/03/2019 14:06</t>
  </si>
  <si>
    <t>379598XXXXXX1009</t>
  </si>
  <si>
    <t>15/03/2019 14:45</t>
  </si>
  <si>
    <t>536805XXXXXXX4384</t>
  </si>
  <si>
    <t>672362</t>
  </si>
  <si>
    <t>15/03/2019 14:47</t>
  </si>
  <si>
    <t>691322</t>
  </si>
  <si>
    <t>15/03/2019 18:15</t>
  </si>
  <si>
    <t>01269D</t>
  </si>
  <si>
    <t>15/03/2019 22:13</t>
  </si>
  <si>
    <t>088632</t>
  </si>
  <si>
    <t>16/03/2019 08:26</t>
  </si>
  <si>
    <t>434960XXXXXXX8365</t>
  </si>
  <si>
    <t>724299</t>
  </si>
  <si>
    <t>16/03/2019 11:09</t>
  </si>
  <si>
    <t>080996</t>
  </si>
  <si>
    <t>16/03/2019 13:55</t>
  </si>
  <si>
    <t>046652</t>
  </si>
  <si>
    <t>16/03/2019 15:37</t>
  </si>
  <si>
    <t>521729XXXXXXX6912</t>
  </si>
  <si>
    <t>656645</t>
  </si>
  <si>
    <t>17/03/2019 16:39</t>
  </si>
  <si>
    <t>549159XXXXXXX0788</t>
  </si>
  <si>
    <t>604110</t>
  </si>
  <si>
    <t>17/03/2019 17:54</t>
  </si>
  <si>
    <t>056119</t>
  </si>
  <si>
    <t>18/03/2019 11:31</t>
  </si>
  <si>
    <t>523421XXXXXXX9584</t>
  </si>
  <si>
    <t>714848</t>
  </si>
  <si>
    <t>18/03/2019 11:33</t>
  </si>
  <si>
    <t>455702XXXXXXX8572</t>
  </si>
  <si>
    <t>126217</t>
  </si>
  <si>
    <t>18/03/2019 11:35</t>
  </si>
  <si>
    <t>536497XXXXXXX7400</t>
  </si>
  <si>
    <t>001836</t>
  </si>
  <si>
    <t>18/03/2019 11:37</t>
  </si>
  <si>
    <t>552343XXXXXXX4193</t>
  </si>
  <si>
    <t>T53957</t>
  </si>
  <si>
    <t>18/03/2019 11:58</t>
  </si>
  <si>
    <t>440066XXXXXXX4795</t>
  </si>
  <si>
    <t>09776B</t>
  </si>
  <si>
    <t>19/03/2019 11:04</t>
  </si>
  <si>
    <t>475776XXXXXXX3896</t>
  </si>
  <si>
    <t>764606</t>
  </si>
  <si>
    <t>19/03/2019 12:02</t>
  </si>
  <si>
    <t>230540XXXXXXX4476</t>
  </si>
  <si>
    <t>664875</t>
  </si>
  <si>
    <t>19/03/2019 14:44</t>
  </si>
  <si>
    <t>110472</t>
  </si>
  <si>
    <t>19/03/2019 16:43</t>
  </si>
  <si>
    <t>549167XXXXXXX5616</t>
  </si>
  <si>
    <t>028693</t>
  </si>
  <si>
    <t>19/03/2019 21:33</t>
  </si>
  <si>
    <t>515711XXXXXXX9409</t>
  </si>
  <si>
    <t>028594</t>
  </si>
  <si>
    <t>20/03/2019 12:14</t>
  </si>
  <si>
    <t>410039XXXXXXX7359</t>
  </si>
  <si>
    <t>49034D</t>
  </si>
  <si>
    <t>20/03/2019 15:09</t>
  </si>
  <si>
    <t>024527</t>
  </si>
  <si>
    <t>20/03/2019 18:25</t>
  </si>
  <si>
    <t>456468XXXXXXX6364</t>
  </si>
  <si>
    <t>84087C</t>
  </si>
  <si>
    <t>20/03/2019 18:32</t>
  </si>
  <si>
    <t>20/03/2019 18:45</t>
  </si>
  <si>
    <t>415281XXXXXXX8066</t>
  </si>
  <si>
    <t>953829</t>
  </si>
  <si>
    <t>20/03/2019 18:49</t>
  </si>
  <si>
    <t>522832XXXXXXX2205</t>
  </si>
  <si>
    <t>556598</t>
  </si>
  <si>
    <t>20/03/2019 18:51</t>
  </si>
  <si>
    <t>522840XXXXXXX3049</t>
  </si>
  <si>
    <t>532065</t>
  </si>
  <si>
    <t>21/03/2019 11:56</t>
  </si>
  <si>
    <t>01121D</t>
  </si>
  <si>
    <t>21/03/2019 15:48</t>
  </si>
  <si>
    <t>377747XXXXXX1001</t>
  </si>
  <si>
    <t>10</t>
  </si>
  <si>
    <t>21/03/2019 17:50</t>
  </si>
  <si>
    <t>531238XXXXXXX7606</t>
  </si>
  <si>
    <t>647540</t>
  </si>
  <si>
    <t>21/03/2019 17:51</t>
  </si>
  <si>
    <t>647541</t>
  </si>
  <si>
    <t>21/03/2019 17:58</t>
  </si>
  <si>
    <t>522832XXXXXXX4911</t>
  </si>
  <si>
    <t>488312</t>
  </si>
  <si>
    <t>443438XXXXXXX9822</t>
  </si>
  <si>
    <t>917528</t>
  </si>
  <si>
    <t>21/03/2019 20:22</t>
  </si>
  <si>
    <t>401212</t>
  </si>
  <si>
    <t>21/03/2019 20:57</t>
  </si>
  <si>
    <t>516885XXXXXXX2546</t>
  </si>
  <si>
    <t>203477</t>
  </si>
  <si>
    <t>21/03/2019 22:47</t>
  </si>
  <si>
    <t>520387XXXXXXX0065</t>
  </si>
  <si>
    <t>797649</t>
  </si>
  <si>
    <t>22/03/2019 15:45</t>
  </si>
  <si>
    <t>456468XXXXXXX6175</t>
  </si>
  <si>
    <t>18255C</t>
  </si>
  <si>
    <t>22/03/2019 22:05</t>
  </si>
  <si>
    <t>540905XXXXXXX2087</t>
  </si>
  <si>
    <t>002850</t>
  </si>
  <si>
    <t>22/03/2019 22:07</t>
  </si>
  <si>
    <t>514945XXXXXXX9758</t>
  </si>
  <si>
    <t>017741</t>
  </si>
  <si>
    <t>23/03/2019 15:32</t>
  </si>
  <si>
    <t>543484XXXXXXX5495</t>
  </si>
  <si>
    <t>098330</t>
  </si>
  <si>
    <t>23/03/2019 17:01</t>
  </si>
  <si>
    <t>475144XXXXXXX5506</t>
  </si>
  <si>
    <t>121913</t>
  </si>
  <si>
    <t>23/03/2019 17:44</t>
  </si>
  <si>
    <t>03209D</t>
  </si>
  <si>
    <t>23/03/2019 18:11</t>
  </si>
  <si>
    <t>022626</t>
  </si>
  <si>
    <t>23/03/2019 18:34</t>
  </si>
  <si>
    <t>051200</t>
  </si>
  <si>
    <t>24/03/2019 13:28</t>
  </si>
  <si>
    <t>063718</t>
  </si>
  <si>
    <t>24/03/2019 15:57</t>
  </si>
  <si>
    <t>214545</t>
  </si>
  <si>
    <t>25/03/2019 08:02</t>
  </si>
  <si>
    <t>427427XXXXXXX8410</t>
  </si>
  <si>
    <t>522501</t>
  </si>
  <si>
    <t>25/03/2019 17:25</t>
  </si>
  <si>
    <t>459454XXXXXXX8441</t>
  </si>
  <si>
    <t>022182</t>
  </si>
  <si>
    <t>25/03/2019 19:46</t>
  </si>
  <si>
    <t>439188XXXXXXX0533</t>
  </si>
  <si>
    <t>290172</t>
  </si>
  <si>
    <t>25/03/2019 19:49</t>
  </si>
  <si>
    <t>299054</t>
  </si>
  <si>
    <t>26/03/2019 08:06</t>
  </si>
  <si>
    <t>08568I</t>
  </si>
  <si>
    <t>26/03/2019 10:16</t>
  </si>
  <si>
    <t>422005XXXXXXX8104</t>
  </si>
  <si>
    <t>070745</t>
  </si>
  <si>
    <t>26/03/2019 10:17</t>
  </si>
  <si>
    <t>531001XXXXXXX9861</t>
  </si>
  <si>
    <t>645267</t>
  </si>
  <si>
    <t>26/03/2019 11:00</t>
  </si>
  <si>
    <t>01447D</t>
  </si>
  <si>
    <t>26/03/2019 14:03</t>
  </si>
  <si>
    <t>607237</t>
  </si>
  <si>
    <t>26/03/2019 16:43</t>
  </si>
  <si>
    <t>538450XXXXXXX5073</t>
  </si>
  <si>
    <t>299219</t>
  </si>
  <si>
    <t>26/03/2019 16:44</t>
  </si>
  <si>
    <t>453259</t>
  </si>
  <si>
    <t>26/03/2019 19:58</t>
  </si>
  <si>
    <t>544036XXXXXXX8548</t>
  </si>
  <si>
    <t>686346</t>
  </si>
  <si>
    <t>26/03/2019 19:59</t>
  </si>
  <si>
    <t>686393</t>
  </si>
  <si>
    <t>27/03/2019 12:26</t>
  </si>
  <si>
    <t>529757XXXXXXX2666</t>
  </si>
  <si>
    <t>102362</t>
  </si>
  <si>
    <t>27/03/2019 12:31</t>
  </si>
  <si>
    <t>456794XXXXXXX7007</t>
  </si>
  <si>
    <t>934929</t>
  </si>
  <si>
    <t>27/03/2019 14:00</t>
  </si>
  <si>
    <t>403003XXXXXXX4412</t>
  </si>
  <si>
    <t>170429</t>
  </si>
  <si>
    <t>27/03/2019 18:55</t>
  </si>
  <si>
    <t>371297XXXXXX1007</t>
  </si>
  <si>
    <t>12</t>
  </si>
  <si>
    <t>28/03/2019 12:49</t>
  </si>
  <si>
    <t>826030</t>
  </si>
  <si>
    <t>28/03/2019 13:10</t>
  </si>
  <si>
    <t>392826</t>
  </si>
  <si>
    <t>28/03/2019 17:36</t>
  </si>
  <si>
    <t>546630XXXXXXX8984</t>
  </si>
  <si>
    <t>09514Z</t>
  </si>
  <si>
    <t>28/03/2019 19:52</t>
  </si>
  <si>
    <t>935463</t>
  </si>
  <si>
    <t>29/03/2019 08:43</t>
  </si>
  <si>
    <t>82</t>
  </si>
  <si>
    <t>29/03/2019 08:46</t>
  </si>
  <si>
    <t>521892XXXXXXX8713</t>
  </si>
  <si>
    <t>822990</t>
  </si>
  <si>
    <t>29/03/2019 11:20</t>
  </si>
  <si>
    <t>523254XXXXXXX1166</t>
  </si>
  <si>
    <t>822986</t>
  </si>
  <si>
    <t>29/03/2019 11:30</t>
  </si>
  <si>
    <t>498401XXXXXXX8541</t>
  </si>
  <si>
    <t>985520</t>
  </si>
  <si>
    <t>29/03/2019 11:43</t>
  </si>
  <si>
    <t>552273XXXXXXX5748</t>
  </si>
  <si>
    <t>730724</t>
  </si>
  <si>
    <t>29/03/2019 13:57</t>
  </si>
  <si>
    <t>964692</t>
  </si>
  <si>
    <t>29/03/2019 13:59</t>
  </si>
  <si>
    <t>964797</t>
  </si>
  <si>
    <t>29/03/2019 14:07</t>
  </si>
  <si>
    <t>456468XXXXXXX3213</t>
  </si>
  <si>
    <t>19606C</t>
  </si>
  <si>
    <t>29/03/2019 14:10</t>
  </si>
  <si>
    <t>423471XXXXXXX3286</t>
  </si>
  <si>
    <t>368333</t>
  </si>
  <si>
    <t>29/03/2019 14:35</t>
  </si>
  <si>
    <t>522832XXXXXXX8704</t>
  </si>
  <si>
    <t>533336</t>
  </si>
  <si>
    <t>29/03/2019 16:08</t>
  </si>
  <si>
    <t>413520XXXXXXX7201</t>
  </si>
  <si>
    <t>543349</t>
  </si>
  <si>
    <t>29/03/2019 16:18</t>
  </si>
  <si>
    <t>377854XXXXXX1004</t>
  </si>
  <si>
    <t>30/03/2019 11:52</t>
  </si>
  <si>
    <t>553658XXXXXXX9419</t>
  </si>
  <si>
    <t>135545</t>
  </si>
  <si>
    <t>30/03/2019 11:53</t>
  </si>
  <si>
    <t>410863XXXXXXX6885</t>
  </si>
  <si>
    <t>541376</t>
  </si>
  <si>
    <t>30/03/2019 11:55</t>
  </si>
  <si>
    <t>561576</t>
  </si>
  <si>
    <t>30/03/2019 11:57</t>
  </si>
  <si>
    <t>446844</t>
  </si>
  <si>
    <t>30/03/2019 12:00</t>
  </si>
  <si>
    <t>374905XXXXXX2005</t>
  </si>
  <si>
    <t>35</t>
  </si>
  <si>
    <t>30/03/2019 17:36</t>
  </si>
  <si>
    <t>044641</t>
  </si>
  <si>
    <t>31/03/2019 08:32</t>
  </si>
  <si>
    <t>414720XXXXXXX4611</t>
  </si>
  <si>
    <t>00049I</t>
  </si>
  <si>
    <t>31/03/2019 10:38</t>
  </si>
  <si>
    <t>778712</t>
  </si>
  <si>
    <t>31/03/2019 13:19</t>
  </si>
  <si>
    <t>522832XXXXXXX3884</t>
  </si>
  <si>
    <t>678152</t>
  </si>
  <si>
    <t>31/03/2019 19:31</t>
  </si>
  <si>
    <t>412487XXXXXXX1229</t>
  </si>
  <si>
    <t>253870</t>
  </si>
  <si>
    <t>31/03/2019 22:28</t>
  </si>
  <si>
    <t>516292XXXXXXX1869</t>
  </si>
  <si>
    <t>600124</t>
  </si>
  <si>
    <t>31/03/2019 22:49</t>
  </si>
  <si>
    <t>552289XXXXXXX5750</t>
  </si>
  <si>
    <t>071953</t>
  </si>
  <si>
    <t>A-Hotels.com</t>
  </si>
  <si>
    <t>hotelpascualandinodirect</t>
  </si>
  <si>
    <t>A-Expedia</t>
  </si>
  <si>
    <t>A-Expedia Affiliate Network</t>
  </si>
  <si>
    <t>MANUEL LEPERVANCHE</t>
  </si>
  <si>
    <t>04/03/2019</t>
  </si>
  <si>
    <t>07/03/2019</t>
  </si>
  <si>
    <t>08/03/2019</t>
  </si>
  <si>
    <t>Pago Deuda Tarjeta Crédito US$</t>
  </si>
  <si>
    <t>11/03/2019</t>
  </si>
  <si>
    <t>12/03/2019</t>
  </si>
  <si>
    <t>14/03/2019</t>
  </si>
  <si>
    <t>15/03/2019</t>
  </si>
  <si>
    <t>18/03/2019</t>
  </si>
  <si>
    <t>19/03/2019</t>
  </si>
  <si>
    <t>22/03/2019</t>
  </si>
  <si>
    <t>25/03/2019</t>
  </si>
  <si>
    <t>26/03/2019</t>
  </si>
  <si>
    <t>27/03/2019</t>
  </si>
  <si>
    <t>16.189.852-K</t>
  </si>
  <si>
    <t>16189852</t>
  </si>
  <si>
    <t xml:space="preserve">Norma Gavia                                  </t>
  </si>
  <si>
    <t>Sueldo mar19</t>
  </si>
  <si>
    <t>28/03/2019</t>
  </si>
  <si>
    <t>16.339.235-6</t>
  </si>
  <si>
    <t>16339235</t>
  </si>
  <si>
    <t xml:space="preserve">Diego Maldonado                              </t>
  </si>
  <si>
    <t>76.207.347-1</t>
  </si>
  <si>
    <t xml:space="preserve">BANCO BICE                         </t>
  </si>
  <si>
    <t>6727859</t>
  </si>
  <si>
    <t xml:space="preserve">SERVICIOS CONTABLES JABR EIRL                </t>
  </si>
  <si>
    <t>CENCOSUD RETAIL INT SANTIAGO</t>
  </si>
  <si>
    <t>SANTIAGO</t>
  </si>
  <si>
    <t>PAMPA EXPEDITION SANTIAGO</t>
  </si>
  <si>
    <t>S.P. DE ATA</t>
  </si>
  <si>
    <t>05/03/2019</t>
  </si>
  <si>
    <t>Entel</t>
  </si>
  <si>
    <t>IMSPA</t>
  </si>
  <si>
    <t>REVS. TEC.</t>
  </si>
  <si>
    <t>mes anterior</t>
  </si>
  <si>
    <t>01/03/2019</t>
  </si>
  <si>
    <t>13/03/2019</t>
  </si>
  <si>
    <t>PAN DESAYUNO</t>
  </si>
  <si>
    <t>PALTA Y TOMATE DESAYUNO</t>
  </si>
  <si>
    <t>CAMION CELES</t>
  </si>
  <si>
    <t>08 BIDONES DE AGUA JUTURI</t>
  </si>
  <si>
    <t>FRUTA DESAYUNO</t>
  </si>
  <si>
    <t>FERIA</t>
  </si>
  <si>
    <t>CARUSO</t>
  </si>
  <si>
    <t>SOCIEDAD CARWASH</t>
  </si>
  <si>
    <t>CAJON DE TOMATE AGRO</t>
  </si>
  <si>
    <t>QUESILLO FRESCO DESAYUNO</t>
  </si>
  <si>
    <t>DONDE EL UCA</t>
  </si>
  <si>
    <t>EL AGRO</t>
  </si>
  <si>
    <t>FLETE STARKEN</t>
  </si>
  <si>
    <t>STARKEN</t>
  </si>
  <si>
    <t>PAPEL HIGIENICO</t>
  </si>
  <si>
    <t>BCI SEGUROS CAMIONETA</t>
  </si>
  <si>
    <t>ATUN ALMUERZO</t>
  </si>
  <si>
    <t>13 BIDONES AGUA JUTURI</t>
  </si>
  <si>
    <t>AFILADOR Y CUCHILLO FERIA JUBILA</t>
  </si>
  <si>
    <t>FERIA JUBILA</t>
  </si>
  <si>
    <t>S/B</t>
  </si>
  <si>
    <t>TOMATES</t>
  </si>
  <si>
    <t>MELL</t>
  </si>
  <si>
    <t>PARKING</t>
  </si>
  <si>
    <t>BROCHES METALICOS HOJAS</t>
  </si>
  <si>
    <t>TODO MODA</t>
  </si>
  <si>
    <t>CLIPS</t>
  </si>
  <si>
    <t>AYUDANTE DE MANTENCIÓN</t>
  </si>
  <si>
    <t>GIANCARLO</t>
  </si>
  <si>
    <t>CHARLES CONNOLLY</t>
  </si>
  <si>
    <t>BRUNO ARAUJO</t>
  </si>
  <si>
    <t>ANTJE HOPER</t>
  </si>
  <si>
    <t>SUSANA DA SILVA JACO</t>
  </si>
  <si>
    <t>URS TSCHOPP</t>
  </si>
  <si>
    <t>JUNE LING</t>
  </si>
  <si>
    <t>MEGAH SAHA</t>
  </si>
  <si>
    <t>CRISTINA MEDRI</t>
  </si>
  <si>
    <t>JIMENA MIRANDA</t>
  </si>
  <si>
    <t>ARTURO PAYAN AGUILAR</t>
  </si>
  <si>
    <t>STEPHANIE SIRWIN</t>
  </si>
  <si>
    <t>MARCELO RIEIRO</t>
  </si>
  <si>
    <t>GINEVRA TRAVERSO</t>
  </si>
  <si>
    <t>OSCAR RIOS LILLO</t>
  </si>
  <si>
    <t>GUILERME HENRIQUE DA SILVA</t>
  </si>
  <si>
    <t>MARY LORD</t>
  </si>
  <si>
    <t>CELINE KO</t>
  </si>
  <si>
    <t>PAOLA SOBAN</t>
  </si>
  <si>
    <t>JULIANA TESIMA</t>
  </si>
  <si>
    <t>DIANA LEFEROVICH</t>
  </si>
  <si>
    <t>LIN JUNCHAO</t>
  </si>
  <si>
    <t>JOHN OEI</t>
  </si>
  <si>
    <t>JULIANA MORAES</t>
  </si>
  <si>
    <t>SALLY TOLMIE</t>
  </si>
  <si>
    <t>GUSTAVO FERNANDO SILVA</t>
  </si>
  <si>
    <t>WARADANA DE SILVA</t>
  </si>
  <si>
    <t>MARTA FRAZAO</t>
  </si>
  <si>
    <t>PILAR RIADI</t>
  </si>
  <si>
    <t>VICENTE GABILONDO</t>
  </si>
  <si>
    <t>FEDERICO MARTINEZ</t>
  </si>
  <si>
    <t>MARCEL FAUCHER</t>
  </si>
  <si>
    <t>JULIA NICHOLLS</t>
  </si>
  <si>
    <t>JOAO C RATO</t>
  </si>
  <si>
    <t>KOJI MATSUKI</t>
  </si>
  <si>
    <t>LUISA PERROTI</t>
  </si>
  <si>
    <t>SIMONE HORST</t>
  </si>
  <si>
    <t>PEDRO DUARTE</t>
  </si>
  <si>
    <t>FENELLA MURGATH</t>
  </si>
  <si>
    <t>RACHEL HAMADA</t>
  </si>
  <si>
    <t>BRUNO BUENO</t>
  </si>
  <si>
    <t>BOI FALTINGS</t>
  </si>
  <si>
    <t>BRUNO TANAKA</t>
  </si>
  <si>
    <t>ALEXANDRE DE SALLES OLIVEIRA</t>
  </si>
  <si>
    <t>MARY NOONAN</t>
  </si>
  <si>
    <t>VIOREL ALIN COSMA</t>
  </si>
  <si>
    <t>ALEXANDRE DE SALLES</t>
  </si>
  <si>
    <t>CAMILA PERES</t>
  </si>
  <si>
    <t>CLEMENT DIVANACH</t>
  </si>
  <si>
    <t>CORINA KAHAN</t>
  </si>
  <si>
    <t>LAURA MONDANI</t>
  </si>
  <si>
    <t>JORGE TRAPAGLIA</t>
  </si>
  <si>
    <t>ROBERTO CURRIE</t>
  </si>
  <si>
    <t>GUILLERMO RIQUELME</t>
  </si>
  <si>
    <t>BIKE MOUNTAIN ATACAMA</t>
  </si>
  <si>
    <t>FERNANDO ARANGUIZ</t>
  </si>
  <si>
    <t>VERONICA LÓPEZ</t>
  </si>
  <si>
    <t>CHRISTIAN GAVIÑO</t>
  </si>
  <si>
    <t>GISELE HORA</t>
  </si>
  <si>
    <t>CARLOS NUÑEZ FIGUERO</t>
  </si>
  <si>
    <t>STEFANIE KOH</t>
  </si>
  <si>
    <t>KEVIN ROACH</t>
  </si>
  <si>
    <t>AMY MACKENNA</t>
  </si>
  <si>
    <t>FRANCIS KAIZAWA</t>
  </si>
  <si>
    <t>HENLEE WANG</t>
  </si>
  <si>
    <t>NGNAN PING CHOU</t>
  </si>
  <si>
    <t>STEFAN BUGMANN</t>
  </si>
  <si>
    <t>SUZANNE CROUDACE</t>
  </si>
  <si>
    <t>CARLOS GOMEZ</t>
  </si>
  <si>
    <t xml:space="preserve">EMILIO BLANCO </t>
  </si>
  <si>
    <t>JENNES INGE</t>
  </si>
  <si>
    <t>LIESBETH DECKMYN</t>
  </si>
  <si>
    <t>GEK ENG SIA</t>
  </si>
  <si>
    <t>INGE JENNES</t>
  </si>
  <si>
    <t>STELLA DUENAS</t>
  </si>
  <si>
    <t>Bruno Araujo</t>
  </si>
  <si>
    <t>Charles Connolly</t>
  </si>
  <si>
    <t>Kevin Roach</t>
  </si>
  <si>
    <t>Susana da Silva Jaco</t>
  </si>
  <si>
    <t>Amy McKenna Smith</t>
  </si>
  <si>
    <t>Stefanie Koh</t>
  </si>
  <si>
    <t>Antje Hoper</t>
  </si>
  <si>
    <t>June LING</t>
  </si>
  <si>
    <t>Megha Shah</t>
  </si>
  <si>
    <t>cristina medri</t>
  </si>
  <si>
    <t>Urs Tschopp</t>
  </si>
  <si>
    <t>Pamela Gillespie</t>
  </si>
  <si>
    <t>Arturo Payan aguilar</t>
  </si>
  <si>
    <t>Farid Yaber/Guillermo Riquelme</t>
  </si>
  <si>
    <t>marcelo rieiro</t>
  </si>
  <si>
    <t>Ginevra Traverso</t>
  </si>
  <si>
    <t>Stephanie Sirwin Kong</t>
  </si>
  <si>
    <t>Oscar Rios Lillo</t>
  </si>
  <si>
    <t>Celine Ko</t>
  </si>
  <si>
    <t>Francis Kaizawa</t>
  </si>
  <si>
    <t>MARY lord</t>
  </si>
  <si>
    <t>Guilherme Henrique da Silva</t>
  </si>
  <si>
    <t>Paola Soban</t>
  </si>
  <si>
    <t>Henlee Wang</t>
  </si>
  <si>
    <t>Diana Leferovich</t>
  </si>
  <si>
    <t>Juliana Tesima</t>
  </si>
  <si>
    <t>Ngan ping Chou</t>
  </si>
  <si>
    <t>John Oei</t>
  </si>
  <si>
    <t>A-ebookers</t>
  </si>
  <si>
    <t>Stefan Bugmann</t>
  </si>
  <si>
    <t>PAUL WILKINSON</t>
  </si>
  <si>
    <t>RAY JEPPS/PETER MARRONEY</t>
  </si>
  <si>
    <t>MONICA PRINCICB/ANDREW WHITE</t>
  </si>
  <si>
    <t>Marcelo Croce</t>
  </si>
  <si>
    <t>Juliana Moraes</t>
  </si>
  <si>
    <t>Sally Tolmie</t>
  </si>
  <si>
    <t>Suzanne Croudace</t>
  </si>
  <si>
    <t>Gustavo Fernando Silva</t>
  </si>
  <si>
    <t>Fernando Aranguiz</t>
  </si>
  <si>
    <t>vicente gabilondo</t>
  </si>
  <si>
    <t>Waradana De Silva</t>
  </si>
  <si>
    <t>Emilio BLANCO MANGUDO</t>
  </si>
  <si>
    <t>Pilar Riadi</t>
  </si>
  <si>
    <t>Federico Martinez</t>
  </si>
  <si>
    <t>Veronica Lopez</t>
  </si>
  <si>
    <t>Marta Frazao Rodrigues</t>
  </si>
  <si>
    <t>A-Orbitz</t>
  </si>
  <si>
    <t>Carlos Gomez</t>
  </si>
  <si>
    <t>Julia Nicholls</t>
  </si>
  <si>
    <t>Joao C. Rato</t>
  </si>
  <si>
    <t>Marcel Faucher</t>
  </si>
  <si>
    <t>Simone Horst</t>
  </si>
  <si>
    <t>Pedro Duarte</t>
  </si>
  <si>
    <t>Luisa Perrotti</t>
  </si>
  <si>
    <t>Jennes Inge</t>
  </si>
  <si>
    <t>Liesbeth Deckmyn</t>
  </si>
  <si>
    <t>Fenella Murtagh</t>
  </si>
  <si>
    <t>Rachel Hamada</t>
  </si>
  <si>
    <t>Bruno Tanaka Lazari</t>
  </si>
  <si>
    <t>Boi Faltings</t>
  </si>
  <si>
    <t>Bruno Bueno</t>
  </si>
  <si>
    <t>christian gaviño</t>
  </si>
  <si>
    <t>Gek Eng Sia</t>
  </si>
  <si>
    <t>Gisele Hora</t>
  </si>
  <si>
    <t>Alexandre De Salles Oliveira</t>
  </si>
  <si>
    <t>Viorel Alin Cosma</t>
  </si>
  <si>
    <t>Mary Noonan</t>
  </si>
  <si>
    <t>camila peres</t>
  </si>
  <si>
    <t>Inge Jennes</t>
  </si>
  <si>
    <t>Carlos Núñez Figueroa</t>
  </si>
  <si>
    <t>Corina Kahan</t>
  </si>
  <si>
    <t>clement DIVANACH</t>
  </si>
  <si>
    <t>Laura Mondaini</t>
  </si>
  <si>
    <t>STELLA CAMARGO FERRO DUENAS</t>
  </si>
  <si>
    <t>Marcos Hagerman/Jorge Trapaglia</t>
  </si>
  <si>
    <t>01/04/2019 09:20</t>
  </si>
  <si>
    <t>552851XXXXXXX5045</t>
  </si>
  <si>
    <t>04147C</t>
  </si>
  <si>
    <t>01/04/2019 09:55</t>
  </si>
  <si>
    <t>651653XXXXXXX2724</t>
  </si>
  <si>
    <t>014129</t>
  </si>
  <si>
    <t>01/04/2019 11:49</t>
  </si>
  <si>
    <t>521892XXXXXXX6228</t>
  </si>
  <si>
    <t>168313</t>
  </si>
  <si>
    <t>01/04/2019 17:32</t>
  </si>
  <si>
    <t>523254XXXXXXX0683</t>
  </si>
  <si>
    <t>893559</t>
  </si>
  <si>
    <t>01/04/2019 21:03</t>
  </si>
  <si>
    <t>957430</t>
  </si>
  <si>
    <t>546887XXXXXXX3028</t>
  </si>
  <si>
    <t>02/04/2019 10:53</t>
  </si>
  <si>
    <t>434956XXXXXXX5280</t>
  </si>
  <si>
    <t>568355</t>
  </si>
  <si>
    <t>02/04/2019 10:54</t>
  </si>
  <si>
    <t>512655XXXXXXX7402</t>
  </si>
  <si>
    <t>T10001</t>
  </si>
  <si>
    <t>02/04/2019 13:57</t>
  </si>
  <si>
    <t>497040XXXXXXX1151</t>
  </si>
  <si>
    <t>852651</t>
  </si>
  <si>
    <t>02/04/2019 15:31</t>
  </si>
  <si>
    <t>80</t>
  </si>
  <si>
    <t>02/04/2019 17:02</t>
  </si>
  <si>
    <t>424631XXXXXXX9945</t>
  </si>
  <si>
    <t>09209G</t>
  </si>
  <si>
    <t>02/04/2019 18:14</t>
  </si>
  <si>
    <t>455390XXXXXXX4920</t>
  </si>
  <si>
    <t>164793</t>
  </si>
  <si>
    <t>03/04/2019 14:00</t>
  </si>
  <si>
    <t>514945XXXXXXX2685</t>
  </si>
  <si>
    <t>065601</t>
  </si>
  <si>
    <t>03/04/2019 14:02</t>
  </si>
  <si>
    <t>454638XXXXXXX0985</t>
  </si>
  <si>
    <t>004271</t>
  </si>
  <si>
    <t>03/04/2019 14:05</t>
  </si>
  <si>
    <t>414720XXXXXXX9181</t>
  </si>
  <si>
    <t>06128I</t>
  </si>
  <si>
    <t>03/04/2019 17:56</t>
  </si>
  <si>
    <t>018739</t>
  </si>
  <si>
    <t>03/04/2019 18:08</t>
  </si>
  <si>
    <t>003100</t>
  </si>
  <si>
    <t>04/04/2019 15:29</t>
  </si>
  <si>
    <t>014641</t>
  </si>
  <si>
    <t>04/04/2019 15:31</t>
  </si>
  <si>
    <t>042613</t>
  </si>
  <si>
    <t>04/04/2019 15:45</t>
  </si>
  <si>
    <t>759983</t>
  </si>
  <si>
    <t>05/04/2019 09:13</t>
  </si>
  <si>
    <t>515590XXXXXXX8348</t>
  </si>
  <si>
    <t>145174</t>
  </si>
  <si>
    <t>05/04/2019 10:56</t>
  </si>
  <si>
    <t>438402</t>
  </si>
  <si>
    <t>05/04/2019 11:14</t>
  </si>
  <si>
    <t>038195</t>
  </si>
  <si>
    <t>05/04/2019 22:36</t>
  </si>
  <si>
    <t>498831</t>
  </si>
  <si>
    <t>06/04/2019 11:19</t>
  </si>
  <si>
    <t>414720XXXXXXX7076</t>
  </si>
  <si>
    <t>01062I</t>
  </si>
  <si>
    <t>06/04/2019 13:11</t>
  </si>
  <si>
    <t>552343XXXXXXX4028</t>
  </si>
  <si>
    <t>H49360</t>
  </si>
  <si>
    <t>06/04/2019 16:02</t>
  </si>
  <si>
    <t>529930XXXXXXX0461</t>
  </si>
  <si>
    <t>H99980</t>
  </si>
  <si>
    <t>06/04/2019 17:32</t>
  </si>
  <si>
    <t>372655XXXXXX1009</t>
  </si>
  <si>
    <t>11</t>
  </si>
  <si>
    <t>07/04/2019 13:43</t>
  </si>
  <si>
    <t>453211XXXXXXX3921</t>
  </si>
  <si>
    <t>634386</t>
  </si>
  <si>
    <t>07/04/2019 15:42</t>
  </si>
  <si>
    <t>536805XXXXXXX6454</t>
  </si>
  <si>
    <t>623977</t>
  </si>
  <si>
    <t>07/04/2019 16:09</t>
  </si>
  <si>
    <t>522840XXXXXXX7158</t>
  </si>
  <si>
    <t>093059</t>
  </si>
  <si>
    <t>07/04/2019 17:19</t>
  </si>
  <si>
    <t>679710</t>
  </si>
  <si>
    <t>07/04/2019 18:27</t>
  </si>
  <si>
    <t>02744S</t>
  </si>
  <si>
    <t>07/04/2019 20:38</t>
  </si>
  <si>
    <t>536143XXXXXXX9876</t>
  </si>
  <si>
    <t>049641</t>
  </si>
  <si>
    <t>08/04/2019 08:37</t>
  </si>
  <si>
    <t>516291XXXXXXX4409</t>
  </si>
  <si>
    <t>036089</t>
  </si>
  <si>
    <t>08/04/2019 10:22</t>
  </si>
  <si>
    <t>414720XXXXXXX5892</t>
  </si>
  <si>
    <t>09628C</t>
  </si>
  <si>
    <t>08/04/2019 12:18</t>
  </si>
  <si>
    <t>459313XXXXXXX8376</t>
  </si>
  <si>
    <t>075745</t>
  </si>
  <si>
    <t>08/04/2019 13:34</t>
  </si>
  <si>
    <t>542532XXXXXXX8304</t>
  </si>
  <si>
    <t>B30095</t>
  </si>
  <si>
    <t>09/04/2019 16:25</t>
  </si>
  <si>
    <t>546638XXXXXXX5520</t>
  </si>
  <si>
    <t>08693P</t>
  </si>
  <si>
    <t>10/04/2019 14:29</t>
  </si>
  <si>
    <t>466057XXXXXXX0272</t>
  </si>
  <si>
    <t>003539</t>
  </si>
  <si>
    <t>11/04/2019 12:49</t>
  </si>
  <si>
    <t>402856XXXXXXX5653</t>
  </si>
  <si>
    <t>549152</t>
  </si>
  <si>
    <t>12/04/2019 17:04</t>
  </si>
  <si>
    <t>836840</t>
  </si>
  <si>
    <t>13/04/2019 14:23</t>
  </si>
  <si>
    <t>451210XXXXXXX4467</t>
  </si>
  <si>
    <t>021555</t>
  </si>
  <si>
    <t>13/04/2019 19:31</t>
  </si>
  <si>
    <t>621325</t>
  </si>
  <si>
    <t>13/04/2019 19:32</t>
  </si>
  <si>
    <t>630662</t>
  </si>
  <si>
    <t>14/04/2019 10:05</t>
  </si>
  <si>
    <t>414709XXXXXXX1958</t>
  </si>
  <si>
    <t>08917D</t>
  </si>
  <si>
    <t>14/04/2019 10:08</t>
  </si>
  <si>
    <t>546258XXXXXXX8205</t>
  </si>
  <si>
    <t>072114</t>
  </si>
  <si>
    <t>14/04/2019 11:35</t>
  </si>
  <si>
    <t>514868XXXXXXX7254</t>
  </si>
  <si>
    <t>063160</t>
  </si>
  <si>
    <t>14/04/2019 11:47</t>
  </si>
  <si>
    <t>490172XXXXXXX3285</t>
  </si>
  <si>
    <t>009022</t>
  </si>
  <si>
    <t>15/04/2019 12:38</t>
  </si>
  <si>
    <t>515590XXXXXXX5261</t>
  </si>
  <si>
    <t>394859</t>
  </si>
  <si>
    <t>16/04/2019 09:04</t>
  </si>
  <si>
    <t>536805XXXXXXX0630</t>
  </si>
  <si>
    <t>652712</t>
  </si>
  <si>
    <t>16/04/2019 09:16</t>
  </si>
  <si>
    <t>454073XXXXXXX1345</t>
  </si>
  <si>
    <t>003556</t>
  </si>
  <si>
    <t>16/04/2019 10:58</t>
  </si>
  <si>
    <t>007560</t>
  </si>
  <si>
    <t>16/04/2019 19:15</t>
  </si>
  <si>
    <t>525303XXXXXXX5063</t>
  </si>
  <si>
    <t>T69186</t>
  </si>
  <si>
    <t>17/04/2019 17:33</t>
  </si>
  <si>
    <t>448165XXXXXXX9134</t>
  </si>
  <si>
    <t>CFE</t>
  </si>
  <si>
    <t>011369</t>
  </si>
  <si>
    <t>17/04/2019 19:05</t>
  </si>
  <si>
    <t>531260XXXXXXX3641</t>
  </si>
  <si>
    <t>110362</t>
  </si>
  <si>
    <t>18/04/2019 10:00</t>
  </si>
  <si>
    <t>04067D</t>
  </si>
  <si>
    <t>18/04/2019 11:37</t>
  </si>
  <si>
    <t>57602C</t>
  </si>
  <si>
    <t>18/04/2019 14:23</t>
  </si>
  <si>
    <t>647546</t>
  </si>
  <si>
    <t>18/04/2019 15:45</t>
  </si>
  <si>
    <t>377279XXXXXX5006</t>
  </si>
  <si>
    <t>68</t>
  </si>
  <si>
    <t>18/04/2019 16:33</t>
  </si>
  <si>
    <t>170582</t>
  </si>
  <si>
    <t>19/04/2019 12:05</t>
  </si>
  <si>
    <t>459080XXXXXXX8950</t>
  </si>
  <si>
    <t>084523</t>
  </si>
  <si>
    <t>19/04/2019 12:06</t>
  </si>
  <si>
    <t>493000XXXXXXX0749</t>
  </si>
  <si>
    <t>053904</t>
  </si>
  <si>
    <t>19/04/2019 14:23</t>
  </si>
  <si>
    <t>033780</t>
  </si>
  <si>
    <t>19/04/2019 14:51</t>
  </si>
  <si>
    <t>526430XXXXXXX2336</t>
  </si>
  <si>
    <t>H93711</t>
  </si>
  <si>
    <t>19/04/2019 15:56</t>
  </si>
  <si>
    <t>377828XXXXXX5324</t>
  </si>
  <si>
    <t>525493</t>
  </si>
  <si>
    <t>19/04/2019 16:52</t>
  </si>
  <si>
    <t>322884</t>
  </si>
  <si>
    <t>20/04/2019 12:14</t>
  </si>
  <si>
    <t>491256XXXXXXX4114</t>
  </si>
  <si>
    <t>035229</t>
  </si>
  <si>
    <t>20/04/2019 19:22</t>
  </si>
  <si>
    <t>584805</t>
  </si>
  <si>
    <t>21/04/2019 07:52</t>
  </si>
  <si>
    <t>647257</t>
  </si>
  <si>
    <t>21/04/2019 12:12</t>
  </si>
  <si>
    <t>376684XXXXXX1000</t>
  </si>
  <si>
    <t>21</t>
  </si>
  <si>
    <t>21/04/2019 13:42</t>
  </si>
  <si>
    <t>497402XXXXXXX0051</t>
  </si>
  <si>
    <t>21/04/2019 13:44</t>
  </si>
  <si>
    <t>003421</t>
  </si>
  <si>
    <t>21/04/2019 13:46</t>
  </si>
  <si>
    <t>375601XXXXXX1002</t>
  </si>
  <si>
    <t>55</t>
  </si>
  <si>
    <t>21/04/2019 13:48</t>
  </si>
  <si>
    <t>498423XXXXXXX8470</t>
  </si>
  <si>
    <t>683815</t>
  </si>
  <si>
    <t>21/04/2019 14:03</t>
  </si>
  <si>
    <t>498449XXXXXXX3717</t>
  </si>
  <si>
    <t>709710</t>
  </si>
  <si>
    <t>21/04/2019 14:05</t>
  </si>
  <si>
    <t>525664XXXXXXX9772</t>
  </si>
  <si>
    <t>013906</t>
  </si>
  <si>
    <t>21/04/2019 21:29</t>
  </si>
  <si>
    <t>522840XXXXXXX8946</t>
  </si>
  <si>
    <t>310767</t>
  </si>
  <si>
    <t>22/04/2019 10:07</t>
  </si>
  <si>
    <t>621996XXXXXXXXX9016</t>
  </si>
  <si>
    <t>709756</t>
  </si>
  <si>
    <t>22/04/2019 10:09</t>
  </si>
  <si>
    <t>013219</t>
  </si>
  <si>
    <t>22/04/2019 13:47</t>
  </si>
  <si>
    <t>525303XXXXXXX7333</t>
  </si>
  <si>
    <t>T25303</t>
  </si>
  <si>
    <t>22/04/2019 14:17</t>
  </si>
  <si>
    <t>514521</t>
  </si>
  <si>
    <t>22/04/2019 17:33</t>
  </si>
  <si>
    <t>284892</t>
  </si>
  <si>
    <t>22/04/2019 17:34</t>
  </si>
  <si>
    <t>284934</t>
  </si>
  <si>
    <t>22/04/2019 18:56</t>
  </si>
  <si>
    <t>377825XXXXXX9028</t>
  </si>
  <si>
    <t>474318</t>
  </si>
  <si>
    <t>23/04/2019 11:07</t>
  </si>
  <si>
    <t>422061XXXXXXX7984</t>
  </si>
  <si>
    <t>083267</t>
  </si>
  <si>
    <t>23/04/2019 17:39</t>
  </si>
  <si>
    <t>465922XXXXXXX1022</t>
  </si>
  <si>
    <t>094021</t>
  </si>
  <si>
    <t>23/04/2019 21:24</t>
  </si>
  <si>
    <t>558727XXXXXXX3951</t>
  </si>
  <si>
    <t>372438</t>
  </si>
  <si>
    <t>24/04/2019 10:26</t>
  </si>
  <si>
    <t>451134XXXXXXX8027</t>
  </si>
  <si>
    <t>002186</t>
  </si>
  <si>
    <t>24/04/2019 10:49</t>
  </si>
  <si>
    <t>048456</t>
  </si>
  <si>
    <t>24/04/2019 12:55</t>
  </si>
  <si>
    <t>553636XXXXXXX2572</t>
  </si>
  <si>
    <t>084805</t>
  </si>
  <si>
    <t>24/04/2019 14:38</t>
  </si>
  <si>
    <t>521892XXXXXXX5613</t>
  </si>
  <si>
    <t>515311</t>
  </si>
  <si>
    <t>24/04/2019 19:04</t>
  </si>
  <si>
    <t>06406I</t>
  </si>
  <si>
    <t>24/04/2019 19:18</t>
  </si>
  <si>
    <t>528599XXXXXXX3652</t>
  </si>
  <si>
    <t>298227</t>
  </si>
  <si>
    <t>25/04/2019 11:01</t>
  </si>
  <si>
    <t>406669XXXXXXX9319</t>
  </si>
  <si>
    <t>623218</t>
  </si>
  <si>
    <t>25/04/2019 11:06</t>
  </si>
  <si>
    <t>374769XXXXXX6422</t>
  </si>
  <si>
    <t>25/04/2019 11:09</t>
  </si>
  <si>
    <t>055078</t>
  </si>
  <si>
    <t>25/04/2019 11:45</t>
  </si>
  <si>
    <t>014933</t>
  </si>
  <si>
    <t>25/04/2019 14:01</t>
  </si>
  <si>
    <t>552289XXXXXXX9651</t>
  </si>
  <si>
    <t>073887</t>
  </si>
  <si>
    <t>25/04/2019 16:06</t>
  </si>
  <si>
    <t>497993XXXXXXX3942</t>
  </si>
  <si>
    <t>128608</t>
  </si>
  <si>
    <t>25/04/2019 18:56</t>
  </si>
  <si>
    <t>375241XXXXXX1006</t>
  </si>
  <si>
    <t>95</t>
  </si>
  <si>
    <t>26/04/2019 07:10</t>
  </si>
  <si>
    <t>498408XXXXXXX9278</t>
  </si>
  <si>
    <t>064719</t>
  </si>
  <si>
    <t>MG</t>
  </si>
  <si>
    <t>047413</t>
  </si>
  <si>
    <t>27/04/2019 12:02</t>
  </si>
  <si>
    <t>513108XXXXXXX1486</t>
  </si>
  <si>
    <t>786381</t>
  </si>
  <si>
    <t>27/04/2019 13:14</t>
  </si>
  <si>
    <t>529757XXXXXXX9936</t>
  </si>
  <si>
    <t>052700</t>
  </si>
  <si>
    <t>27/04/2019 14:15</t>
  </si>
  <si>
    <t>376042XXXXXX1007</t>
  </si>
  <si>
    <t>56</t>
  </si>
  <si>
    <t>27/04/2019 14:18</t>
  </si>
  <si>
    <t>441030XXXXXXX8550</t>
  </si>
  <si>
    <t>005392</t>
  </si>
  <si>
    <t>27/04/2019 14:20</t>
  </si>
  <si>
    <t>422695XXXXXXX1299</t>
  </si>
  <si>
    <t>04250C</t>
  </si>
  <si>
    <t>27/04/2019 15:41</t>
  </si>
  <si>
    <t>527497</t>
  </si>
  <si>
    <t>28/04/2019 07:38</t>
  </si>
  <si>
    <t>498406XXXXXXX9698</t>
  </si>
  <si>
    <t>078066</t>
  </si>
  <si>
    <t>28/04/2019 10:28</t>
  </si>
  <si>
    <t>002327</t>
  </si>
  <si>
    <t>28/04/2019 14:00</t>
  </si>
  <si>
    <t>554906XXXXXXX4308</t>
  </si>
  <si>
    <t>041783</t>
  </si>
  <si>
    <t>28/04/2019 14:42</t>
  </si>
  <si>
    <t>514945XXXXXXX9848</t>
  </si>
  <si>
    <t>001505</t>
  </si>
  <si>
    <t>28/04/2019 20:26</t>
  </si>
  <si>
    <t>407691XXXXXXX1124</t>
  </si>
  <si>
    <t>054094</t>
  </si>
  <si>
    <t>29/04/2019 08:09</t>
  </si>
  <si>
    <t>530826XXXXXXX9240</t>
  </si>
  <si>
    <t>474519</t>
  </si>
  <si>
    <t>29/04/2019 11:45</t>
  </si>
  <si>
    <t>556671XXXXXXX6011</t>
  </si>
  <si>
    <t>472366</t>
  </si>
  <si>
    <t>30/04/2019 09:36</t>
  </si>
  <si>
    <t>411911XXXXXXX4166</t>
  </si>
  <si>
    <t>009860</t>
  </si>
  <si>
    <t>01-4-2019</t>
  </si>
  <si>
    <t>Ingesos por Venta  BB</t>
  </si>
  <si>
    <t>01/04/2019</t>
  </si>
  <si>
    <t>02/04/2019</t>
  </si>
  <si>
    <t>Cheque Cobrado/Depositado BCI</t>
  </si>
  <si>
    <t>5699001</t>
  </si>
  <si>
    <t>03/04/2019</t>
  </si>
  <si>
    <t>05/04/2019</t>
  </si>
  <si>
    <t>08/04/2019</t>
  </si>
  <si>
    <t>09/04/2019</t>
  </si>
  <si>
    <t>10/04/2019</t>
  </si>
  <si>
    <t>11/04/2019</t>
  </si>
  <si>
    <t>12/04/2019</t>
  </si>
  <si>
    <t>15/04/2019</t>
  </si>
  <si>
    <t>16/04/2019</t>
  </si>
  <si>
    <t>17/04/2019</t>
  </si>
  <si>
    <t>18/04/2019</t>
  </si>
  <si>
    <t>22/04/2019</t>
  </si>
  <si>
    <t>23/04/2019</t>
  </si>
  <si>
    <t>5699002</t>
  </si>
  <si>
    <t>5699003</t>
  </si>
  <si>
    <t>25/04/2019</t>
  </si>
  <si>
    <t>26/04/2019</t>
  </si>
  <si>
    <t>29/04/2019</t>
  </si>
  <si>
    <t>01-04-2019</t>
  </si>
  <si>
    <t>10770330</t>
  </si>
  <si>
    <t>05-04-2019</t>
  </si>
  <si>
    <t>10770775</t>
  </si>
  <si>
    <t>08-04-2019</t>
  </si>
  <si>
    <t>10770463</t>
  </si>
  <si>
    <t>09-04-2019</t>
  </si>
  <si>
    <t>10770483</t>
  </si>
  <si>
    <t>16-04-2019</t>
  </si>
  <si>
    <t>10770207</t>
  </si>
  <si>
    <t>23-04-2019</t>
  </si>
  <si>
    <t>10770399</t>
  </si>
  <si>
    <t>29-04-2019</t>
  </si>
  <si>
    <t>10770428</t>
  </si>
  <si>
    <t>65513371</t>
  </si>
  <si>
    <t>11.505.642-5</t>
  </si>
  <si>
    <t>690051804</t>
  </si>
  <si>
    <t xml:space="preserve">Sergio Zamora Bco Chile                      </t>
  </si>
  <si>
    <t>arriendo casa marzo</t>
  </si>
  <si>
    <t>65498400</t>
  </si>
  <si>
    <t>fact 12739,12938,13060,13017</t>
  </si>
  <si>
    <t>65498519</t>
  </si>
  <si>
    <t>fact 223155</t>
  </si>
  <si>
    <t>65498462</t>
  </si>
  <si>
    <t>96.568.740-8</t>
  </si>
  <si>
    <t>1610169807</t>
  </si>
  <si>
    <t xml:space="preserve">GASCO GLP S.A                                </t>
  </si>
  <si>
    <t>fact 8899427</t>
  </si>
  <si>
    <t>65498648</t>
  </si>
  <si>
    <t>Marzo19</t>
  </si>
  <si>
    <t>65498576</t>
  </si>
  <si>
    <t>fact 675992</t>
  </si>
  <si>
    <t>65486962</t>
  </si>
  <si>
    <t>65486748</t>
  </si>
  <si>
    <t>25.558.629-7</t>
  </si>
  <si>
    <t>25558629</t>
  </si>
  <si>
    <t xml:space="preserve">Edmilson Misericordia                        </t>
  </si>
  <si>
    <t>65846290</t>
  </si>
  <si>
    <t>Documentos 3112,3111,2987,2986</t>
  </si>
  <si>
    <t>65911116</t>
  </si>
  <si>
    <t>Sueldo mar19- pendientes</t>
  </si>
  <si>
    <t>13/04/2019</t>
  </si>
  <si>
    <t>65994511</t>
  </si>
  <si>
    <t>fact 16364</t>
  </si>
  <si>
    <t>65994156</t>
  </si>
  <si>
    <t>Factura 1537513140</t>
  </si>
  <si>
    <t>65994281</t>
  </si>
  <si>
    <t>Factura 1920324359</t>
  </si>
  <si>
    <t>66040661</t>
  </si>
  <si>
    <t>Sueldo Abr19</t>
  </si>
  <si>
    <t>66040619</t>
  </si>
  <si>
    <t>66112571</t>
  </si>
  <si>
    <t>Fact   13370</t>
  </si>
  <si>
    <t>24/04/2019</t>
  </si>
  <si>
    <t>66346108</t>
  </si>
  <si>
    <t>Fact 3557,3549,3510,3443,3328,</t>
  </si>
  <si>
    <t>66379689</t>
  </si>
  <si>
    <t>66379714</t>
  </si>
  <si>
    <t>66379754</t>
  </si>
  <si>
    <t>66379858</t>
  </si>
  <si>
    <t>66379965</t>
  </si>
  <si>
    <t>66379931</t>
  </si>
  <si>
    <t>66379912</t>
  </si>
  <si>
    <t>66379890</t>
  </si>
  <si>
    <t>66379823</t>
  </si>
  <si>
    <t>66380017</t>
  </si>
  <si>
    <t>66380294</t>
  </si>
  <si>
    <t>26.609.949-5</t>
  </si>
  <si>
    <t>26609949</t>
  </si>
  <si>
    <t xml:space="preserve">Joel Aruquipa                                </t>
  </si>
  <si>
    <t>66380054</t>
  </si>
  <si>
    <t>66379791</t>
  </si>
  <si>
    <t>66380174</t>
  </si>
  <si>
    <t>66380150</t>
  </si>
  <si>
    <t>66380121</t>
  </si>
  <si>
    <t>66380090</t>
  </si>
  <si>
    <t>23.487.541-8</t>
  </si>
  <si>
    <t>87353130</t>
  </si>
  <si>
    <t xml:space="preserve">Ausberto Vilacagua Lenis                     </t>
  </si>
  <si>
    <t>1503 88956171</t>
  </si>
  <si>
    <t>2503 88486324</t>
  </si>
  <si>
    <t>2503 88386898</t>
  </si>
  <si>
    <t>DANES AEROPUERTO SANTIAGO</t>
  </si>
  <si>
    <t>2503 88694491</t>
  </si>
  <si>
    <t>23/03/2019</t>
  </si>
  <si>
    <t>ALMACEN VICENTE S.P. DE ATAC</t>
  </si>
  <si>
    <t>2503 88315288</t>
  </si>
  <si>
    <t>24/03/2019</t>
  </si>
  <si>
    <t>MAXXIMIZA S A SANTIAGO</t>
  </si>
  <si>
    <t>0204 88173708</t>
  </si>
  <si>
    <t>LAN COM SANTIAGO</t>
  </si>
  <si>
    <t>1103 00000000</t>
  </si>
  <si>
    <t>2603 00000000</t>
  </si>
  <si>
    <t>0204 00000000</t>
  </si>
  <si>
    <t>1103 24492159067637332199528</t>
  </si>
  <si>
    <t>2603 24492159084637083764867</t>
  </si>
  <si>
    <t>Ver deposito en Marzo USD</t>
  </si>
  <si>
    <t>PC factory UPS, Impresora</t>
  </si>
  <si>
    <t>2544897-Transacciones operaciones financieras ABONO</t>
  </si>
  <si>
    <t>ABONO POR PAGO A COMERCIO POR TARJETA D</t>
  </si>
  <si>
    <t>COMEX ORDEN PAGO ENTRANTE. OPE408256</t>
  </si>
  <si>
    <t>COMEX ORDEN PAGO ENTRANTE. OPE408943</t>
  </si>
  <si>
    <t>COMEX ORDEN PAGO ENTRANTE. OPE409868</t>
  </si>
  <si>
    <t>2544897-Transacciones operaciones financieras CARGO</t>
  </si>
  <si>
    <t>COMEX ORDEN PAGO ENTRANTE. OPE410822</t>
  </si>
  <si>
    <t>COMEX ORDEN PAGO ENTRANTE. OPE411289</t>
  </si>
  <si>
    <t>COMEX ORDEN PAGO ENTRANTE. OPE412034</t>
  </si>
  <si>
    <t>EBDIT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</si>
</sst>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3" applyNumberFormat="0" applyAlignment="0" applyProtection="0"/>
    <xf numFmtId="0" fontId="29" fillId="13" borderId="14" applyNumberFormat="0" applyAlignment="0" applyProtection="0"/>
    <xf numFmtId="0" fontId="30" fillId="13" borderId="13" applyNumberFormat="0" applyAlignment="0" applyProtection="0"/>
    <xf numFmtId="0" fontId="31" fillId="0" borderId="15" applyNumberFormat="0" applyFill="0" applyAlignment="0" applyProtection="0"/>
    <xf numFmtId="0" fontId="32" fillId="14" borderId="16" applyNumberFormat="0" applyAlignment="0" applyProtection="0"/>
    <xf numFmtId="0" fontId="2" fillId="0" borderId="0" applyNumberFormat="0" applyFill="0" applyBorder="0" applyAlignment="0" applyProtection="0"/>
    <xf numFmtId="0" fontId="1" fillId="15" borderId="17" applyNumberFormat="0" applyFont="0" applyAlignment="0" applyProtection="0"/>
    <xf numFmtId="0" fontId="33" fillId="0" borderId="0" applyNumberFormat="0" applyFill="0" applyBorder="0" applyAlignment="0" applyProtection="0"/>
    <xf numFmtId="0" fontId="13" fillId="0" borderId="18" applyNumberFormat="0" applyFill="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4" fillId="39" borderId="0" applyNumberFormat="0" applyBorder="0" applyAlignment="0" applyProtection="0"/>
    <xf numFmtId="0" fontId="36" fillId="0" borderId="0"/>
    <xf numFmtId="41" fontId="1" fillId="0" borderId="0" applyFont="0" applyFill="0" applyBorder="0" applyAlignment="0" applyProtection="0"/>
  </cellStyleXfs>
  <cellXfs count="354">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0" fontId="3" fillId="0" borderId="1" xfId="3"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0" fontId="8" fillId="0" borderId="1" xfId="0" applyFont="1" applyFill="1" applyBorder="1"/>
    <xf numFmtId="168" fontId="8" fillId="0" borderId="0" xfId="2" applyNumberFormat="1" applyFont="1" applyFill="1"/>
    <xf numFmtId="0" fontId="8" fillId="0" borderId="0" xfId="0" applyFont="1" applyFill="1" applyAlignment="1">
      <alignment horizontal="center"/>
    </xf>
    <xf numFmtId="167" fontId="8" fillId="0" borderId="1" xfId="1" applyNumberFormat="1" applyFont="1" applyFill="1" applyBorder="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8" fontId="8" fillId="0" borderId="1" xfId="2" applyNumberFormat="1" applyFont="1" applyFill="1" applyBorder="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0" fontId="8" fillId="8" borderId="1" xfId="0" applyFont="1" applyFill="1" applyBorder="1"/>
    <xf numFmtId="167" fontId="3" fillId="8" borderId="1" xfId="3" applyNumberFormat="1" applyFill="1" applyBorder="1"/>
    <xf numFmtId="167" fontId="8" fillId="8" borderId="1" xfId="1" applyNumberFormat="1" applyFont="1" applyFill="1" applyBorder="1" applyAlignment="1">
      <alignment horizontal="center"/>
    </xf>
    <xf numFmtId="167" fontId="8" fillId="8" borderId="1" xfId="0" applyNumberFormat="1" applyFont="1" applyFill="1" applyBorder="1"/>
    <xf numFmtId="167" fontId="3" fillId="0" borderId="5" xfId="3" applyNumberFormat="1" applyBorder="1"/>
    <xf numFmtId="167" fontId="8" fillId="0" borderId="5" xfId="1" applyNumberFormat="1" applyFont="1" applyFill="1" applyBorder="1" applyAlignment="1">
      <alignment horizontal="center"/>
    </xf>
    <xf numFmtId="167" fontId="8" fillId="0" borderId="5" xfId="0" applyNumberFormat="1" applyFont="1" applyFill="1" applyBorder="1"/>
    <xf numFmtId="164" fontId="3" fillId="0" borderId="0" xfId="3" applyNumberFormat="1"/>
    <xf numFmtId="1" fontId="0" fillId="0" borderId="0" xfId="0" applyNumberFormat="1"/>
    <xf numFmtId="167" fontId="0" fillId="0" borderId="0" xfId="1" applyNumberFormat="1" applyFont="1" applyFill="1"/>
    <xf numFmtId="0" fontId="8" fillId="0" borderId="5" xfId="0" applyFont="1" applyFill="1" applyBorder="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8" fillId="8" borderId="6" xfId="0" applyFont="1" applyFill="1" applyBorder="1"/>
    <xf numFmtId="168" fontId="20" fillId="0" borderId="8" xfId="2" applyNumberFormat="1" applyFont="1" applyFill="1" applyBorder="1"/>
    <xf numFmtId="167" fontId="20" fillId="0" borderId="9" xfId="1" applyNumberFormat="1" applyFont="1" applyFill="1" applyBorder="1"/>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40"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9" xfId="0" applyNumberFormat="1" applyFont="1" applyBorder="1" applyAlignment="1">
      <alignment horizontal="left" vertical="center" wrapText="1"/>
    </xf>
    <xf numFmtId="0" fontId="39" fillId="0" borderId="19" xfId="0" applyFont="1" applyBorder="1" applyAlignment="1">
      <alignment horizontal="left" vertical="center" wrapText="1"/>
    </xf>
    <xf numFmtId="167" fontId="39" fillId="0" borderId="19" xfId="1" applyNumberFormat="1" applyFont="1" applyBorder="1" applyAlignment="1">
      <alignment horizontal="left" vertical="center" wrapText="1"/>
    </xf>
    <xf numFmtId="3" fontId="39" fillId="0" borderId="19" xfId="0" applyNumberFormat="1" applyFont="1" applyBorder="1" applyAlignment="1">
      <alignment horizontal="right" vertical="center" wrapText="1"/>
    </xf>
    <xf numFmtId="22" fontId="39" fillId="0" borderId="19" xfId="0" applyNumberFormat="1" applyFont="1" applyBorder="1" applyAlignment="1">
      <alignment horizontal="left" vertical="center" wrapText="1"/>
    </xf>
    <xf numFmtId="167" fontId="39" fillId="0" borderId="19"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167" fontId="3" fillId="7" borderId="1" xfId="3" applyNumberFormat="1" applyFill="1" applyBorder="1"/>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9"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170" fontId="19" fillId="7" borderId="1" xfId="1" applyNumberFormat="1" applyFont="1" applyFill="1" applyBorder="1"/>
    <xf numFmtId="167" fontId="19" fillId="7" borderId="1" xfId="1" applyNumberFormat="1" applyFont="1" applyFill="1" applyBorder="1"/>
    <xf numFmtId="41" fontId="19" fillId="7" borderId="1" xfId="49" applyFont="1" applyFill="1" applyBorder="1"/>
    <xf numFmtId="3" fontId="0" fillId="0" borderId="0" xfId="0" applyNumberFormat="1"/>
    <xf numFmtId="41" fontId="0" fillId="2" borderId="0" xfId="49" applyFont="1" applyFill="1"/>
    <xf numFmtId="41" fontId="8" fillId="5" borderId="1" xfId="49" applyFont="1" applyFill="1" applyBorder="1"/>
    <xf numFmtId="0" fontId="37" fillId="7" borderId="1" xfId="0"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167" fontId="7" fillId="7" borderId="1" xfId="1" applyNumberFormat="1" applyFont="1" applyFill="1" applyBorder="1"/>
    <xf numFmtId="0" fontId="0" fillId="7" borderId="1" xfId="0" applyFill="1" applyBorder="1"/>
    <xf numFmtId="0" fontId="42" fillId="0" borderId="21" xfId="0" applyFont="1" applyBorder="1" applyAlignment="1">
      <alignment horizontal="right" vertical="center" wrapText="1"/>
    </xf>
    <xf numFmtId="0" fontId="42" fillId="0" borderId="22"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167" fontId="38" fillId="5" borderId="1" xfId="1" applyNumberFormat="1" applyFont="1" applyFill="1" applyBorder="1" applyAlignment="1">
      <alignment horizontal="center"/>
    </xf>
    <xf numFmtId="0" fontId="38" fillId="5" borderId="1" xfId="0" applyFont="1" applyFill="1" applyBorder="1" applyAlignment="1">
      <alignment horizontal="center"/>
    </xf>
    <xf numFmtId="167" fontId="38" fillId="5" borderId="1" xfId="1" applyNumberFormat="1" applyFont="1" applyFill="1" applyBorder="1"/>
    <xf numFmtId="41" fontId="7" fillId="5" borderId="1" xfId="49" applyFont="1" applyFill="1" applyBorder="1" applyAlignment="1">
      <alignment horizontal="center"/>
    </xf>
    <xf numFmtId="0" fontId="42" fillId="0" borderId="23" xfId="0" applyFont="1" applyBorder="1" applyAlignment="1">
      <alignment horizontal="left" vertical="center" wrapText="1"/>
    </xf>
    <xf numFmtId="0" fontId="42" fillId="0" borderId="25" xfId="0" applyFont="1" applyBorder="1" applyAlignment="1">
      <alignment horizontal="left" vertical="center" wrapText="1"/>
    </xf>
    <xf numFmtId="0" fontId="42" fillId="0" borderId="26" xfId="0" applyFont="1" applyBorder="1" applyAlignment="1">
      <alignment horizontal="left" vertical="center" wrapText="1"/>
    </xf>
    <xf numFmtId="14" fontId="42" fillId="0" borderId="27" xfId="0" applyNumberFormat="1" applyFont="1" applyBorder="1" applyAlignment="1">
      <alignment horizontal="left" vertical="center" wrapText="1"/>
    </xf>
    <xf numFmtId="0" fontId="42" fillId="0" borderId="27" xfId="0" applyFont="1" applyBorder="1" applyAlignment="1">
      <alignment horizontal="left" vertical="center" wrapText="1"/>
    </xf>
    <xf numFmtId="0" fontId="44" fillId="0" borderId="27" xfId="0" applyFont="1" applyBorder="1" applyAlignment="1">
      <alignment horizontal="right" vertical="center" wrapText="1"/>
    </xf>
    <xf numFmtId="167" fontId="8" fillId="7" borderId="1" xfId="0" applyNumberFormat="1" applyFont="1" applyFill="1" applyBorder="1"/>
    <xf numFmtId="14" fontId="38" fillId="5" borderId="1" xfId="0" applyNumberFormat="1" applyFont="1" applyFill="1" applyBorder="1" applyAlignment="1">
      <alignment horizontal="center"/>
    </xf>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167" fontId="38" fillId="4" borderId="1" xfId="1" applyNumberFormat="1" applyFont="1" applyFill="1" applyBorder="1" applyAlignment="1">
      <alignment horizontal="center"/>
    </xf>
    <xf numFmtId="14" fontId="38" fillId="4" borderId="1" xfId="0" applyNumberFormat="1" applyFont="1" applyFill="1" applyBorder="1" applyAlignment="1">
      <alignment horizontal="center"/>
    </xf>
    <xf numFmtId="0" fontId="38" fillId="4" borderId="1" xfId="0" applyFont="1" applyFill="1" applyBorder="1" applyAlignment="1">
      <alignment horizontal="center"/>
    </xf>
    <xf numFmtId="167" fontId="38" fillId="4" borderId="1" xfId="1" applyNumberFormat="1" applyFont="1" applyFill="1" applyBorder="1"/>
    <xf numFmtId="167" fontId="11" fillId="4" borderId="0" xfId="1" applyNumberFormat="1" applyFont="1" applyFill="1"/>
    <xf numFmtId="0" fontId="46" fillId="0" borderId="23" xfId="0" applyFont="1" applyBorder="1" applyAlignment="1">
      <alignment horizontal="left" vertical="center" wrapText="1"/>
    </xf>
    <xf numFmtId="14" fontId="46" fillId="0" borderId="24" xfId="0" applyNumberFormat="1" applyFont="1" applyBorder="1" applyAlignment="1">
      <alignment horizontal="left" vertical="center" wrapText="1"/>
    </xf>
    <xf numFmtId="0" fontId="46" fillId="0" borderId="24" xfId="0" applyFont="1" applyBorder="1" applyAlignment="1">
      <alignment horizontal="left" vertical="center" wrapText="1"/>
    </xf>
    <xf numFmtId="0" fontId="47" fillId="0" borderId="24" xfId="0" applyFont="1" applyBorder="1" applyAlignment="1">
      <alignment horizontal="right" vertical="center" wrapText="1"/>
    </xf>
    <xf numFmtId="0" fontId="46" fillId="0" borderId="20" xfId="0" applyFont="1" applyBorder="1" applyAlignment="1">
      <alignment horizontal="right" vertical="center" wrapText="1"/>
    </xf>
    <xf numFmtId="0" fontId="46" fillId="0" borderId="26" xfId="0" applyFont="1" applyBorder="1" applyAlignment="1">
      <alignment horizontal="left" vertical="center" wrapText="1"/>
    </xf>
    <xf numFmtId="14" fontId="46" fillId="0" borderId="27" xfId="0" applyNumberFormat="1" applyFont="1" applyBorder="1" applyAlignment="1">
      <alignment horizontal="left" vertical="center" wrapText="1"/>
    </xf>
    <xf numFmtId="0" fontId="46" fillId="0" borderId="27" xfId="0" applyFont="1" applyBorder="1" applyAlignment="1">
      <alignment horizontal="left" vertical="center" wrapText="1"/>
    </xf>
    <xf numFmtId="0" fontId="47" fillId="0" borderId="27" xfId="0" applyFont="1" applyBorder="1" applyAlignment="1">
      <alignment horizontal="right" vertical="center" wrapText="1"/>
    </xf>
    <xf numFmtId="0" fontId="46" fillId="0" borderId="22" xfId="0" applyFont="1" applyBorder="1" applyAlignment="1">
      <alignment horizontal="right" vertical="center" wrapText="1"/>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3">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TEL%20PASCUAL/EERR/2015/2-Febrero/Libro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bank"/>
    </sheetNames>
    <sheetDataSet>
      <sheetData sheetId="0">
        <row r="2">
          <cell r="A2">
            <v>754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8" sqref="C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1323</v>
      </c>
    </row>
    <row r="2" spans="2:8" ht="15.75" x14ac:dyDescent="0.25">
      <c r="B2" s="6" t="s">
        <v>14</v>
      </c>
      <c r="C2" s="6"/>
      <c r="D2" s="89">
        <v>667.4</v>
      </c>
      <c r="F2" s="327"/>
    </row>
    <row r="3" spans="2:8" x14ac:dyDescent="0.25">
      <c r="B3" s="6" t="s">
        <v>20</v>
      </c>
      <c r="C3" s="6"/>
      <c r="D3" s="40">
        <v>27558.46</v>
      </c>
    </row>
    <row r="4" spans="2:8" x14ac:dyDescent="0.25">
      <c r="B4" s="6" t="s">
        <v>13</v>
      </c>
      <c r="C4" s="6"/>
      <c r="D4" s="6">
        <f>Abr!J112</f>
        <v>245</v>
      </c>
      <c r="E4" s="83">
        <f>+Siteminder!M111</f>
        <v>244</v>
      </c>
    </row>
    <row r="5" spans="2:8" x14ac:dyDescent="0.25">
      <c r="B5" s="6" t="s">
        <v>15</v>
      </c>
      <c r="C5" s="6"/>
      <c r="D5" s="158">
        <f>D4/(30*10)</f>
        <v>0.81666666666666665</v>
      </c>
      <c r="E5" s="158">
        <f>E4/(30*10)</f>
        <v>0.81333333333333335</v>
      </c>
      <c r="G5" s="299"/>
    </row>
    <row r="6" spans="2:8" x14ac:dyDescent="0.25">
      <c r="D6" s="9"/>
      <c r="E6" s="1"/>
    </row>
    <row r="7" spans="2:8" x14ac:dyDescent="0.25">
      <c r="C7" t="s">
        <v>17</v>
      </c>
      <c r="D7" t="s">
        <v>12</v>
      </c>
    </row>
    <row r="8" spans="2:8" x14ac:dyDescent="0.25">
      <c r="B8" s="6" t="s">
        <v>9</v>
      </c>
      <c r="C8" s="7">
        <f>SUM(C9:C11)</f>
        <v>33314100.915221579</v>
      </c>
      <c r="D8" s="8">
        <f>C8/D4</f>
        <v>135975.92210294522</v>
      </c>
      <c r="E8" s="5">
        <f>+D8/D2</f>
        <v>203.73976940806895</v>
      </c>
      <c r="F8" s="5"/>
      <c r="H8" s="293"/>
    </row>
    <row r="9" spans="2:8" x14ac:dyDescent="0.25">
      <c r="B9" t="s">
        <v>7</v>
      </c>
      <c r="C9" s="1">
        <f>Abr!V65/(1.038)</f>
        <v>21181746.628131021</v>
      </c>
      <c r="D9" s="9">
        <f>C9/$C$8</f>
        <v>0.63581924909319243</v>
      </c>
    </row>
    <row r="10" spans="2:8" x14ac:dyDescent="0.25">
      <c r="B10" t="s">
        <v>1324</v>
      </c>
      <c r="C10" s="1">
        <f>Abr!V84/(1.038)</f>
        <v>6290996.8689788049</v>
      </c>
      <c r="D10" s="9">
        <f>C10/$C$8</f>
        <v>0.1888388609072256</v>
      </c>
    </row>
    <row r="11" spans="2:8" x14ac:dyDescent="0.25">
      <c r="B11" t="s">
        <v>66</v>
      </c>
      <c r="C11" s="1">
        <f>Abr!V108/(1.038)</f>
        <v>5841357.4181117527</v>
      </c>
      <c r="D11" s="9">
        <f>C11/$C$8</f>
        <v>0.17534188999958189</v>
      </c>
      <c r="E11" s="1"/>
    </row>
    <row r="13" spans="2:8" x14ac:dyDescent="0.25">
      <c r="B13" s="6" t="s">
        <v>8</v>
      </c>
      <c r="C13" s="8">
        <f>SUM(C14:C21)</f>
        <v>9190395.879999999</v>
      </c>
      <c r="D13" s="8">
        <f>C13/D4</f>
        <v>37511.819918367342</v>
      </c>
      <c r="E13" s="5">
        <f>C13+C22+C27+C30</f>
        <v>25504177.890000001</v>
      </c>
      <c r="F13" s="94"/>
      <c r="G13" s="106"/>
    </row>
    <row r="14" spans="2:8" x14ac:dyDescent="0.25">
      <c r="B14" t="str">
        <f>'BCI FondRendir'!B142</f>
        <v>Comisión Bco</v>
      </c>
      <c r="C14" s="1">
        <f>'BCI FondRendir'!F142</f>
        <v>19153</v>
      </c>
      <c r="D14" s="5">
        <f>C14/$D$4</f>
        <v>78.175510204081633</v>
      </c>
      <c r="E14" s="5"/>
    </row>
    <row r="15" spans="2:8" x14ac:dyDescent="0.25">
      <c r="B15" t="str">
        <f>'BCI FondRendir'!B143</f>
        <v>Comisión Booking</v>
      </c>
      <c r="C15" s="1">
        <f>+'BCI FondRendir'!F143</f>
        <v>2555384</v>
      </c>
      <c r="D15" s="5">
        <f t="shared" ref="D15:D23" si="0">C15/$D$4</f>
        <v>10430.138775510204</v>
      </c>
      <c r="E15" s="5"/>
    </row>
    <row r="16" spans="2:8" x14ac:dyDescent="0.25">
      <c r="B16" t="str">
        <f>'BCI FondRendir'!B144</f>
        <v>Comisión Expedia</v>
      </c>
      <c r="C16" s="1">
        <f>+'BCI FondRendir'!F144</f>
        <v>1570887</v>
      </c>
      <c r="D16" s="5">
        <f t="shared" si="0"/>
        <v>6411.7836734693874</v>
      </c>
      <c r="E16" s="5"/>
    </row>
    <row r="17" spans="2:6" x14ac:dyDescent="0.25">
      <c r="B17" t="str">
        <f>'BCI FondRendir'!B145</f>
        <v>Comisión otras</v>
      </c>
      <c r="C17" s="1">
        <f>+'BCI FondRendir'!F145</f>
        <v>197683.87999999998</v>
      </c>
      <c r="D17" s="5">
        <f t="shared" si="0"/>
        <v>806.87297959183661</v>
      </c>
      <c r="E17" s="5"/>
    </row>
    <row r="18" spans="2:6" x14ac:dyDescent="0.25">
      <c r="B18" t="str">
        <f>'BCI FondRendir'!B146</f>
        <v>Costos Directos</v>
      </c>
      <c r="C18" s="1">
        <f>+'BCI FondRendir'!F146</f>
        <v>493743</v>
      </c>
      <c r="D18" s="5">
        <f t="shared" si="0"/>
        <v>2015.2775510204081</v>
      </c>
      <c r="E18" s="5"/>
    </row>
    <row r="19" spans="2:6" x14ac:dyDescent="0.25">
      <c r="C19" s="1">
        <f>+'BCI FondRendir'!F147</f>
        <v>2500000</v>
      </c>
      <c r="D19" s="5">
        <f t="shared" si="0"/>
        <v>10204.081632653062</v>
      </c>
      <c r="E19" s="5"/>
    </row>
    <row r="20" spans="2:6" x14ac:dyDescent="0.25">
      <c r="B20" t="s">
        <v>190</v>
      </c>
      <c r="C20" s="1">
        <f>'BCI FondRendir'!F153</f>
        <v>1853545</v>
      </c>
      <c r="D20" s="5">
        <f>C20/$D$4</f>
        <v>7565.4897959183672</v>
      </c>
      <c r="E20" s="5"/>
    </row>
    <row r="21" spans="2:6" x14ac:dyDescent="0.25">
      <c r="B21" t="s">
        <v>58</v>
      </c>
      <c r="C21" s="1">
        <f>'BCI FondRendir'!H159</f>
        <v>0</v>
      </c>
      <c r="D21" s="5">
        <f t="shared" si="0"/>
        <v>0</v>
      </c>
    </row>
    <row r="22" spans="2:6" x14ac:dyDescent="0.25">
      <c r="B22" s="6" t="s">
        <v>10</v>
      </c>
      <c r="C22" s="8">
        <f>SUM(C23:C26)</f>
        <v>11117906.01</v>
      </c>
      <c r="D22" s="8">
        <f>C22/D4</f>
        <v>45379.208204081631</v>
      </c>
      <c r="E22" s="5"/>
      <c r="F22" s="5"/>
    </row>
    <row r="23" spans="2:6" x14ac:dyDescent="0.25">
      <c r="B23" t="s">
        <v>30</v>
      </c>
      <c r="C23" s="1">
        <f>'BCI FondRendir'!F154</f>
        <v>9608581</v>
      </c>
      <c r="D23" s="5">
        <f t="shared" si="0"/>
        <v>39218.697959183672</v>
      </c>
    </row>
    <row r="24" spans="2:6" s="210" customFormat="1" x14ac:dyDescent="0.25">
      <c r="B24" t="str">
        <f>'BCI FondRendir'!B149</f>
        <v>Gastos Operación</v>
      </c>
      <c r="C24" s="1">
        <f>+'BCI FondRendir'!F149</f>
        <v>747584.01</v>
      </c>
      <c r="D24" s="5">
        <f>C24/$D$4</f>
        <v>3051.3633061224491</v>
      </c>
    </row>
    <row r="25" spans="2:6" x14ac:dyDescent="0.25">
      <c r="B25" s="14" t="s">
        <v>21</v>
      </c>
      <c r="C25" s="15"/>
      <c r="D25" s="5">
        <f t="shared" ref="D25:D26" si="1">C25/$D$4</f>
        <v>0</v>
      </c>
    </row>
    <row r="26" spans="2:6" x14ac:dyDescent="0.25">
      <c r="B26" s="14" t="s">
        <v>39</v>
      </c>
      <c r="C26" s="1">
        <f>'BCI FondRendir'!F148</f>
        <v>761741</v>
      </c>
      <c r="D26" s="5">
        <f t="shared" si="1"/>
        <v>3109.1469387755101</v>
      </c>
    </row>
    <row r="27" spans="2:6" x14ac:dyDescent="0.25">
      <c r="B27" s="6" t="s">
        <v>18</v>
      </c>
      <c r="C27" s="8">
        <f>SUM(C28:C29)</f>
        <v>5195876</v>
      </c>
      <c r="D27" s="8">
        <f>C27/D4</f>
        <v>21207.657142857144</v>
      </c>
    </row>
    <row r="28" spans="2:6" x14ac:dyDescent="0.25">
      <c r="B28" t="s">
        <v>19</v>
      </c>
      <c r="C28" s="1">
        <f>+'BCI FondRendir'!F152</f>
        <v>5195876</v>
      </c>
      <c r="E28" s="125"/>
    </row>
    <row r="29" spans="2:6" x14ac:dyDescent="0.25">
      <c r="C29" s="1"/>
    </row>
    <row r="30" spans="2:6" x14ac:dyDescent="0.25">
      <c r="B30" s="6" t="s">
        <v>11</v>
      </c>
      <c r="C30" s="7">
        <f>SUM(C31:C32)</f>
        <v>0</v>
      </c>
      <c r="D30" s="8">
        <f>C30/D4</f>
        <v>0</v>
      </c>
      <c r="E30" s="5">
        <f>+D27+D22</f>
        <v>66586.865346938779</v>
      </c>
      <c r="F30">
        <f>+E30/650</f>
        <v>102.44133130298273</v>
      </c>
    </row>
    <row r="31" spans="2:6" x14ac:dyDescent="0.25">
      <c r="B31" t="s">
        <v>11</v>
      </c>
      <c r="C31" s="1">
        <f>-'BCI FondRendir'!F151</f>
        <v>0</v>
      </c>
    </row>
    <row r="32" spans="2:6" x14ac:dyDescent="0.25">
      <c r="B32" t="s">
        <v>122</v>
      </c>
      <c r="C32" s="1"/>
    </row>
    <row r="33" spans="2:13" x14ac:dyDescent="0.25">
      <c r="B33" t="str">
        <f>'BCI FondRendir'!B150</f>
        <v>Impuestos</v>
      </c>
      <c r="C33" s="1">
        <f>+'BCI FondRendir'!F150</f>
        <v>1819288</v>
      </c>
      <c r="D33" s="5">
        <f>C33/$D$4</f>
        <v>7425.6653061224488</v>
      </c>
    </row>
    <row r="35" spans="2:13" x14ac:dyDescent="0.25">
      <c r="B35" s="2" t="s">
        <v>1454</v>
      </c>
      <c r="C35" s="10">
        <f>C8-C13-C22-C30-C27</f>
        <v>7809923.0252215806</v>
      </c>
    </row>
    <row r="36" spans="2:13" x14ac:dyDescent="0.25">
      <c r="B36" s="2" t="s">
        <v>32</v>
      </c>
      <c r="C36" s="10">
        <f>C33</f>
        <v>1819288</v>
      </c>
      <c r="D36" s="10">
        <f>C35*0.25</f>
        <v>1952480.7563053952</v>
      </c>
    </row>
    <row r="37" spans="2:13" x14ac:dyDescent="0.25">
      <c r="B37" s="2" t="s">
        <v>97</v>
      </c>
      <c r="C37" s="10">
        <f>'BCI FondRendir'!G159</f>
        <v>1063025.6819</v>
      </c>
    </row>
    <row r="38" spans="2:13" x14ac:dyDescent="0.25">
      <c r="B38" s="2" t="s">
        <v>98</v>
      </c>
      <c r="C38" s="10">
        <f>Abr!F129</f>
        <v>484535.53</v>
      </c>
    </row>
    <row r="39" spans="2:13" x14ac:dyDescent="0.25">
      <c r="B39" s="16" t="s">
        <v>16</v>
      </c>
      <c r="C39" s="17">
        <f>C35-D36</f>
        <v>5857442.2689161859</v>
      </c>
    </row>
    <row r="40" spans="2:13" x14ac:dyDescent="0.25">
      <c r="B40" s="16" t="s">
        <v>134</v>
      </c>
      <c r="C40" s="10">
        <f>C8-C13-C22</f>
        <v>13005799.025221581</v>
      </c>
      <c r="J40" s="93"/>
      <c r="K40" s="93"/>
      <c r="L40" s="93"/>
      <c r="M40" s="93"/>
    </row>
    <row r="41" spans="2:13" x14ac:dyDescent="0.25">
      <c r="C41" s="20" t="s">
        <v>47</v>
      </c>
      <c r="D41" s="20" t="s">
        <v>48</v>
      </c>
      <c r="E41" s="20" t="s">
        <v>278</v>
      </c>
      <c r="F41" s="20" t="s">
        <v>40</v>
      </c>
      <c r="G41" s="20" t="s">
        <v>41</v>
      </c>
      <c r="J41" s="94"/>
    </row>
    <row r="42" spans="2:13" x14ac:dyDescent="0.25">
      <c r="B42" s="2" t="s">
        <v>33</v>
      </c>
      <c r="C42" s="10"/>
      <c r="D42" s="10"/>
      <c r="E42" s="10"/>
      <c r="F42" s="10"/>
      <c r="G42" s="10"/>
    </row>
    <row r="43" spans="2:13" x14ac:dyDescent="0.25">
      <c r="B43" s="2" t="s">
        <v>52</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102"/>
      <c r="I45" s="166"/>
    </row>
    <row r="46" spans="2:13" x14ac:dyDescent="0.25">
      <c r="B46" s="2" t="s">
        <v>305</v>
      </c>
      <c r="C46" s="10"/>
      <c r="D46" s="10"/>
      <c r="E46" s="10"/>
      <c r="F46" s="10"/>
      <c r="G46" s="10">
        <f t="shared" ref="G46:G49" si="2">F46*$D$3</f>
        <v>0</v>
      </c>
      <c r="H46" s="270"/>
      <c r="I46" s="270"/>
      <c r="J46" s="270"/>
      <c r="K46" s="166"/>
      <c r="L46" s="166"/>
      <c r="M46" s="166"/>
    </row>
    <row r="47" spans="2:13" x14ac:dyDescent="0.25">
      <c r="B47" s="2" t="s">
        <v>306</v>
      </c>
      <c r="C47" s="10"/>
      <c r="D47" s="10"/>
      <c r="E47" s="10"/>
      <c r="F47" s="10"/>
      <c r="G47" s="10">
        <f t="shared" si="2"/>
        <v>0</v>
      </c>
      <c r="H47" s="270"/>
      <c r="I47" s="270"/>
      <c r="J47" s="270"/>
      <c r="K47" s="166"/>
      <c r="L47" s="166"/>
      <c r="M47" s="166"/>
    </row>
    <row r="48" spans="2:13" x14ac:dyDescent="0.25">
      <c r="B48" s="2" t="s">
        <v>307</v>
      </c>
      <c r="C48" s="10"/>
      <c r="D48" s="10"/>
      <c r="E48" s="10"/>
      <c r="F48" s="10"/>
      <c r="G48" s="10"/>
      <c r="H48" s="270"/>
      <c r="I48" s="270"/>
      <c r="J48" s="270"/>
      <c r="K48" s="166"/>
      <c r="L48" s="243"/>
      <c r="M48" s="166"/>
    </row>
    <row r="49" spans="1:15" x14ac:dyDescent="0.25">
      <c r="B49" s="2" t="s">
        <v>308</v>
      </c>
      <c r="C49" s="10"/>
      <c r="D49" s="10"/>
      <c r="E49" s="10"/>
      <c r="F49" s="10">
        <f>30000000/26561.4-4000000/26798.14-13500000/27558.46</f>
        <v>490.32672565966504</v>
      </c>
      <c r="G49" s="10">
        <f t="shared" si="2"/>
        <v>13512649.456022853</v>
      </c>
      <c r="H49" s="270"/>
      <c r="I49" s="270"/>
      <c r="J49" s="270"/>
      <c r="K49" s="166"/>
      <c r="L49" s="243"/>
      <c r="M49" s="166"/>
    </row>
    <row r="50" spans="1:15" x14ac:dyDescent="0.25">
      <c r="B50" s="101" t="s">
        <v>93</v>
      </c>
      <c r="C50" s="102">
        <f>SUM(C42:C49)</f>
        <v>0</v>
      </c>
      <c r="D50" s="102">
        <f>SUM(D42:D49)</f>
        <v>0</v>
      </c>
      <c r="E50" s="102">
        <f>SUM(E42:E49)</f>
        <v>0</v>
      </c>
      <c r="F50" s="102"/>
      <c r="G50" s="102"/>
      <c r="H50" s="270"/>
      <c r="I50" s="270"/>
      <c r="J50" s="270"/>
      <c r="K50" s="166"/>
      <c r="L50" s="166"/>
      <c r="M50" s="166"/>
    </row>
    <row r="51" spans="1:15" x14ac:dyDescent="0.25">
      <c r="B51" s="101"/>
      <c r="C51" s="102"/>
      <c r="D51" s="102">
        <f>D50*D3</f>
        <v>0</v>
      </c>
      <c r="E51" s="102"/>
      <c r="F51" s="102"/>
      <c r="G51" s="102"/>
      <c r="I51" s="166"/>
      <c r="J51" s="210"/>
      <c r="K51" s="210"/>
      <c r="L51" s="210"/>
      <c r="M51" s="210"/>
      <c r="N51" s="210"/>
      <c r="O51" s="210"/>
    </row>
    <row r="52" spans="1:15" x14ac:dyDescent="0.25">
      <c r="I52" s="166"/>
      <c r="J52" s="210"/>
      <c r="K52" s="210"/>
      <c r="L52" s="210"/>
      <c r="M52" s="210"/>
      <c r="N52" s="210"/>
      <c r="O52" s="210"/>
    </row>
    <row r="55" spans="1:15" x14ac:dyDescent="0.25">
      <c r="A55" s="125"/>
      <c r="B55" s="125"/>
      <c r="C55" s="125"/>
      <c r="D55" s="125"/>
      <c r="E55" s="125"/>
      <c r="F55" s="125"/>
    </row>
    <row r="56" spans="1:15" x14ac:dyDescent="0.25">
      <c r="A56" s="125"/>
      <c r="B56" s="125"/>
      <c r="C56" s="125"/>
      <c r="D56" s="125"/>
      <c r="E56" s="125"/>
      <c r="F56" s="125"/>
    </row>
    <row r="57" spans="1:15" x14ac:dyDescent="0.25">
      <c r="A57" s="125"/>
      <c r="B57" s="125"/>
      <c r="C57" s="125"/>
      <c r="D57" s="125"/>
      <c r="E57" s="125"/>
      <c r="F57" s="125"/>
    </row>
    <row r="58" spans="1:15" x14ac:dyDescent="0.25">
      <c r="A58" s="125"/>
      <c r="B58" s="125"/>
      <c r="C58" s="125"/>
      <c r="D58" s="125"/>
      <c r="E58" s="125"/>
      <c r="F58" s="125"/>
    </row>
    <row r="59" spans="1:15" x14ac:dyDescent="0.25">
      <c r="A59" s="125"/>
      <c r="B59" s="125"/>
      <c r="C59" s="125"/>
      <c r="D59" s="125"/>
      <c r="E59" s="125"/>
      <c r="F59" s="125"/>
    </row>
    <row r="60" spans="1:15" x14ac:dyDescent="0.25">
      <c r="A60" s="125"/>
      <c r="B60" s="125"/>
      <c r="C60" s="125"/>
      <c r="D60" s="125"/>
      <c r="E60" s="125"/>
      <c r="F60" s="125"/>
    </row>
    <row r="61" spans="1:15" x14ac:dyDescent="0.25">
      <c r="A61" s="125"/>
      <c r="B61" s="125"/>
      <c r="C61" s="125"/>
      <c r="D61" s="125"/>
      <c r="E61" s="125"/>
      <c r="F61" s="125"/>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FD195"/>
  <sheetViews>
    <sheetView topLeftCell="A83" zoomScale="70" zoomScaleNormal="70" workbookViewId="0">
      <selection activeCell="B66" sqref="B66"/>
    </sheetView>
  </sheetViews>
  <sheetFormatPr baseColWidth="10" defaultColWidth="11.28515625" defaultRowHeight="15" outlineLevelCol="1" x14ac:dyDescent="0.25"/>
  <cols>
    <col min="1" max="1" width="9.85546875" style="33" customWidth="1"/>
    <col min="2" max="4" width="9.5703125" style="148" customWidth="1"/>
    <col min="5" max="5" width="26.7109375" style="33" customWidth="1"/>
    <col min="6" max="6" width="8.28515625" style="33" customWidth="1"/>
    <col min="7" max="7" width="16" style="33" customWidth="1"/>
    <col min="8" max="9" width="14.140625" style="36" customWidth="1"/>
    <col min="10" max="10" width="12.5703125" style="33" customWidth="1"/>
    <col min="11" max="11" width="13.7109375" style="35" customWidth="1" outlineLevel="1"/>
    <col min="12" max="12" width="9.5703125" customWidth="1" outlineLevel="1"/>
    <col min="13" max="13" width="12.5703125" style="35" customWidth="1" outlineLevel="1"/>
    <col min="14" max="18" width="9.5703125" style="35" customWidth="1" outlineLevel="1"/>
    <col min="19" max="19" width="10.7109375" style="33" customWidth="1"/>
    <col min="20" max="20" width="11" style="33" customWidth="1"/>
    <col min="21" max="21" width="10.140625" style="38" customWidth="1"/>
    <col min="22" max="22" width="13.28515625" style="33" customWidth="1"/>
    <col min="23" max="23" width="14.28515625" style="148" customWidth="1"/>
    <col min="24" max="24" width="15.28515625" style="148" customWidth="1"/>
    <col min="25" max="25" width="14" style="148" customWidth="1"/>
    <col min="26" max="26" width="21.7109375" style="33" customWidth="1"/>
    <col min="27" max="16384" width="11.28515625" style="33"/>
  </cols>
  <sheetData>
    <row r="1" spans="1:26" ht="15" customHeight="1" x14ac:dyDescent="0.2">
      <c r="A1" s="244"/>
      <c r="B1" s="348" t="s">
        <v>314</v>
      </c>
      <c r="C1" s="349"/>
      <c r="D1" s="350"/>
      <c r="E1" s="244"/>
      <c r="F1" s="244"/>
      <c r="G1" s="244"/>
      <c r="H1" s="245"/>
      <c r="I1" s="245"/>
      <c r="J1" s="244"/>
      <c r="K1" s="353" t="s">
        <v>90</v>
      </c>
      <c r="L1" s="353"/>
      <c r="M1" s="353" t="s">
        <v>91</v>
      </c>
      <c r="N1" s="353"/>
      <c r="O1" s="353" t="s">
        <v>92</v>
      </c>
      <c r="P1" s="353"/>
      <c r="Q1" s="353" t="s">
        <v>154</v>
      </c>
      <c r="R1" s="353"/>
      <c r="S1" s="244"/>
      <c r="T1" s="244"/>
      <c r="U1" s="248"/>
      <c r="V1" s="244"/>
      <c r="W1" s="244"/>
      <c r="X1" s="244"/>
      <c r="Y1" s="244"/>
    </row>
    <row r="2" spans="1:26" ht="30" customHeight="1" x14ac:dyDescent="0.2">
      <c r="A2" s="244" t="s">
        <v>84</v>
      </c>
      <c r="B2" s="244" t="s">
        <v>311</v>
      </c>
      <c r="C2" s="244" t="s">
        <v>312</v>
      </c>
      <c r="D2" s="244" t="s">
        <v>313</v>
      </c>
      <c r="E2" s="244" t="s">
        <v>0</v>
      </c>
      <c r="F2" s="244" t="s">
        <v>49</v>
      </c>
      <c r="G2" s="244" t="s">
        <v>85</v>
      </c>
      <c r="H2" s="245" t="s">
        <v>1</v>
      </c>
      <c r="I2" s="245" t="s">
        <v>2</v>
      </c>
      <c r="J2" s="245" t="s">
        <v>3</v>
      </c>
      <c r="K2" s="246" t="s">
        <v>86</v>
      </c>
      <c r="L2" s="247" t="s">
        <v>53</v>
      </c>
      <c r="M2" s="246" t="s">
        <v>86</v>
      </c>
      <c r="N2" s="246" t="s">
        <v>53</v>
      </c>
      <c r="O2" s="246" t="s">
        <v>86</v>
      </c>
      <c r="P2" s="246" t="s">
        <v>53</v>
      </c>
      <c r="Q2" s="246" t="s">
        <v>86</v>
      </c>
      <c r="R2" s="246" t="s">
        <v>53</v>
      </c>
      <c r="S2" s="244" t="s">
        <v>87</v>
      </c>
      <c r="T2" s="244" t="s">
        <v>89</v>
      </c>
      <c r="U2" s="248" t="s">
        <v>50</v>
      </c>
      <c r="V2" s="244" t="s">
        <v>155</v>
      </c>
      <c r="W2" s="244" t="s">
        <v>49</v>
      </c>
      <c r="X2" s="244" t="s">
        <v>6</v>
      </c>
      <c r="Y2" s="244" t="s">
        <v>6</v>
      </c>
    </row>
    <row r="3" spans="1:26" s="148" customFormat="1" ht="15" customHeight="1" x14ac:dyDescent="0.25">
      <c r="A3" s="260">
        <v>3846</v>
      </c>
      <c r="B3" s="297">
        <v>1072</v>
      </c>
      <c r="C3" s="297">
        <v>1209</v>
      </c>
      <c r="D3" s="297"/>
      <c r="E3" s="261" t="s">
        <v>862</v>
      </c>
      <c r="F3" s="261" t="s">
        <v>247</v>
      </c>
      <c r="G3" s="261">
        <v>2032600277</v>
      </c>
      <c r="H3" s="262">
        <v>43556</v>
      </c>
      <c r="I3" s="262">
        <v>43559</v>
      </c>
      <c r="J3" s="261">
        <v>3</v>
      </c>
      <c r="K3" s="263"/>
      <c r="L3" s="264"/>
      <c r="M3" s="263"/>
      <c r="N3" s="263">
        <v>410</v>
      </c>
      <c r="O3" s="263"/>
      <c r="P3" s="263"/>
      <c r="Q3" s="263"/>
      <c r="R3" s="263">
        <v>205</v>
      </c>
      <c r="S3" s="153">
        <f t="shared" ref="S3:S62" si="0">L3+N3+P3+R3</f>
        <v>615</v>
      </c>
      <c r="T3" s="153">
        <f t="shared" ref="T3:T62" si="1">M3+O3+K3+Q3</f>
        <v>0</v>
      </c>
      <c r="U3" s="151">
        <f>IF(J3=0,(S3+T3/EERR!$D$2/1.19),(S3+T3/EERR!$D$2/1.19)/J3)</f>
        <v>205</v>
      </c>
      <c r="V3" s="153">
        <f>T3+S3*EERR!$D$2</f>
        <v>410451</v>
      </c>
      <c r="W3" s="148">
        <f ca="1">SUMIF(Siteminder!$A$5:$L$164,Abr!G3,Siteminder!$P$5:$P$164)</f>
        <v>3</v>
      </c>
      <c r="X3" s="267">
        <f>SUMIF(Transbank!$A$2:$A$470,B3,Transbank!$L$2:$L$470)+SUMIF(Transbank!$A$2:$A$470,C3,Transbank!$L$2:$L$470)+SUMIF(Transbank!$A$2:$A$470,D3,Transbank!$L$2:$L$470)+(K3+O3)+(L3+P3)*EERR!$D$2</f>
        <v>410508.4</v>
      </c>
      <c r="Y3" s="267">
        <f>X3/EERR!$D$2</f>
        <v>615.08600539406655</v>
      </c>
      <c r="Z3" s="277">
        <f t="shared" ref="Z3:Z67" si="2">+X3-V3</f>
        <v>57.400000000023283</v>
      </c>
    </row>
    <row r="4" spans="1:26" s="148" customFormat="1" ht="15" customHeight="1" x14ac:dyDescent="0.25">
      <c r="A4" s="260">
        <v>3847</v>
      </c>
      <c r="B4" s="297">
        <v>1080</v>
      </c>
      <c r="C4" s="297">
        <v>1210</v>
      </c>
      <c r="D4" s="297"/>
      <c r="E4" s="261" t="s">
        <v>863</v>
      </c>
      <c r="F4" s="261" t="s">
        <v>247</v>
      </c>
      <c r="G4" s="261">
        <v>1940510914</v>
      </c>
      <c r="H4" s="262">
        <v>43556</v>
      </c>
      <c r="I4" s="262">
        <v>43561</v>
      </c>
      <c r="J4" s="261">
        <v>5</v>
      </c>
      <c r="K4" s="263"/>
      <c r="L4" s="264"/>
      <c r="M4" s="263"/>
      <c r="N4" s="263">
        <v>820</v>
      </c>
      <c r="O4" s="263"/>
      <c r="P4" s="263"/>
      <c r="Q4" s="263"/>
      <c r="R4" s="263">
        <v>205</v>
      </c>
      <c r="S4" s="153">
        <f t="shared" si="0"/>
        <v>1025</v>
      </c>
      <c r="T4" s="153">
        <f t="shared" si="1"/>
        <v>0</v>
      </c>
      <c r="U4" s="151">
        <f>IF(J4=0,(S4+T4/EERR!$D$2/1.19),(S4+T4/EERR!$D$2/1.19)/J4)</f>
        <v>205</v>
      </c>
      <c r="V4" s="153">
        <f>T4+S4*EERR!$D$2</f>
        <v>684085</v>
      </c>
      <c r="W4" s="148">
        <f ca="1">SUMIF(Siteminder!$A$5:$L$164,Abr!G4,Siteminder!$P$5:$P$164)</f>
        <v>5</v>
      </c>
      <c r="X4" s="267">
        <f>SUMIF(Transbank!$A$2:$A$470,B4,Transbank!$L$2:$L$470)+SUMIF(Transbank!$A$2:$A$470,C4,Transbank!$L$2:$L$470)+SUMIF(Transbank!$A$2:$A$470,D4,Transbank!$L$2:$L$470)+(K4+O4)+(L4+P4)*EERR!$D$2</f>
        <v>684142.4</v>
      </c>
      <c r="Y4" s="267">
        <f>X4/EERR!$D$2</f>
        <v>1025.0860053940667</v>
      </c>
      <c r="Z4" s="277">
        <f t="shared" si="2"/>
        <v>57.400000000023283</v>
      </c>
    </row>
    <row r="5" spans="1:26" s="148" customFormat="1" ht="15" customHeight="1" x14ac:dyDescent="0.25">
      <c r="A5" s="260">
        <v>3848</v>
      </c>
      <c r="B5" s="297">
        <v>1187</v>
      </c>
      <c r="C5" s="297">
        <v>1212</v>
      </c>
      <c r="D5" s="297"/>
      <c r="E5" s="261" t="s">
        <v>864</v>
      </c>
      <c r="F5" s="261" t="s">
        <v>247</v>
      </c>
      <c r="G5" s="261">
        <v>2645033388</v>
      </c>
      <c r="H5" s="262">
        <v>43556</v>
      </c>
      <c r="I5" s="262">
        <v>43560</v>
      </c>
      <c r="J5" s="261">
        <v>4</v>
      </c>
      <c r="K5" s="263"/>
      <c r="L5" s="264"/>
      <c r="M5" s="263"/>
      <c r="N5" s="263">
        <v>615</v>
      </c>
      <c r="O5" s="263"/>
      <c r="P5" s="263"/>
      <c r="Q5" s="263"/>
      <c r="R5" s="263">
        <v>205</v>
      </c>
      <c r="S5" s="153">
        <f t="shared" si="0"/>
        <v>820</v>
      </c>
      <c r="T5" s="153">
        <f t="shared" si="1"/>
        <v>0</v>
      </c>
      <c r="U5" s="151">
        <f>IF(J5=0,(S5+T5/EERR!$D$2/1.19),(S5+T5/EERR!$D$2/1.19)/J5)</f>
        <v>205</v>
      </c>
      <c r="V5" s="153">
        <f>T5+S5*EERR!$D$2</f>
        <v>547268</v>
      </c>
      <c r="W5" s="148">
        <f ca="1">SUMIF(Siteminder!$A$5:$L$164,Abr!G5,Siteminder!$P$5:$P$164)</f>
        <v>4</v>
      </c>
      <c r="X5" s="267">
        <f>SUMIF(Transbank!$A$2:$A$470,B5,Transbank!$L$2:$L$470)+SUMIF(Transbank!$A$2:$A$470,C5,Transbank!$L$2:$L$470)+SUMIF(Transbank!$A$2:$A$470,D5,Transbank!$L$2:$L$470)+(K5+O5)+(L5+P5)*EERR!$D$2</f>
        <v>547325.4</v>
      </c>
      <c r="Y5" s="267">
        <f>X5/EERR!$D$2</f>
        <v>820.08600539406655</v>
      </c>
      <c r="Z5" s="277">
        <f t="shared" si="2"/>
        <v>57.400000000023283</v>
      </c>
    </row>
    <row r="6" spans="1:26" s="148" customFormat="1" ht="15" customHeight="1" x14ac:dyDescent="0.25">
      <c r="A6" s="260">
        <v>3858</v>
      </c>
      <c r="B6" s="297">
        <v>1075</v>
      </c>
      <c r="C6" s="297"/>
      <c r="D6" s="297"/>
      <c r="E6" s="261" t="s">
        <v>865</v>
      </c>
      <c r="F6" s="261" t="s">
        <v>247</v>
      </c>
      <c r="G6" s="261">
        <v>1304966762</v>
      </c>
      <c r="H6" s="262">
        <v>43556</v>
      </c>
      <c r="I6" s="262">
        <v>43560</v>
      </c>
      <c r="J6" s="261">
        <v>4</v>
      </c>
      <c r="K6" s="263"/>
      <c r="L6" s="264">
        <v>615</v>
      </c>
      <c r="M6" s="263"/>
      <c r="N6" s="263"/>
      <c r="O6" s="263"/>
      <c r="P6" s="263"/>
      <c r="Q6" s="263"/>
      <c r="R6" s="263">
        <v>205</v>
      </c>
      <c r="S6" s="153">
        <f t="shared" si="0"/>
        <v>820</v>
      </c>
      <c r="T6" s="153">
        <f t="shared" si="1"/>
        <v>0</v>
      </c>
      <c r="U6" s="151">
        <f>IF(J6=0,(S6+T6/EERR!$D$2/1.19),(S6+T6/EERR!$D$2/1.19)/J6)</f>
        <v>205</v>
      </c>
      <c r="V6" s="153">
        <f>T6+S6*EERR!$D$2</f>
        <v>547268</v>
      </c>
      <c r="W6" s="148">
        <f ca="1">SUMIF(Siteminder!$A$5:$L$164,Abr!G6,Siteminder!$P$5:$P$164)</f>
        <v>4</v>
      </c>
      <c r="X6" s="267">
        <f>SUMIF(Transbank!$A$2:$A$470,B6,Transbank!$L$2:$L$470)+SUMIF(Transbank!$A$2:$A$470,C6,Transbank!$L$2:$L$470)+SUMIF(Transbank!$A$2:$A$470,D6,Transbank!$L$2:$L$470)+(K6+O6)+(L6+P6)*EERR!$D$2</f>
        <v>547325.4</v>
      </c>
      <c r="Y6" s="267">
        <f>X6/EERR!$D$2</f>
        <v>820.08600539406655</v>
      </c>
      <c r="Z6" s="277">
        <f t="shared" si="2"/>
        <v>57.400000000023283</v>
      </c>
    </row>
    <row r="7" spans="1:26" s="148" customFormat="1" ht="15" customHeight="1" x14ac:dyDescent="0.25">
      <c r="A7" s="260">
        <v>3852</v>
      </c>
      <c r="B7" s="297">
        <v>1216</v>
      </c>
      <c r="C7" s="297"/>
      <c r="D7" s="297"/>
      <c r="E7" s="261" t="s">
        <v>866</v>
      </c>
      <c r="F7" s="261" t="s">
        <v>247</v>
      </c>
      <c r="G7" s="261">
        <v>2436493124</v>
      </c>
      <c r="H7" s="262">
        <v>43557</v>
      </c>
      <c r="I7" s="262">
        <v>43558</v>
      </c>
      <c r="J7" s="261">
        <v>1</v>
      </c>
      <c r="K7" s="263"/>
      <c r="L7" s="264"/>
      <c r="M7" s="263"/>
      <c r="N7" s="263"/>
      <c r="O7" s="263"/>
      <c r="P7" s="263"/>
      <c r="Q7" s="263"/>
      <c r="R7" s="263">
        <v>205</v>
      </c>
      <c r="S7" s="153">
        <f t="shared" si="0"/>
        <v>205</v>
      </c>
      <c r="T7" s="153">
        <f t="shared" si="1"/>
        <v>0</v>
      </c>
      <c r="U7" s="151">
        <f>IF(J7=0,(S7+T7/EERR!$D$2/1.19),(S7+T7/EERR!$D$2/1.19)/J7)</f>
        <v>205</v>
      </c>
      <c r="V7" s="153">
        <f>T7+S7*EERR!$D$2</f>
        <v>136817</v>
      </c>
      <c r="W7" s="148">
        <f ca="1">SUMIF(Siteminder!$A$5:$L$164,Abr!G7,Siteminder!$P$5:$P$164)</f>
        <v>1</v>
      </c>
      <c r="X7" s="267">
        <f>SUMIF(Transbank!$A$2:$A$470,B7,Transbank!$L$2:$L$470)+SUMIF(Transbank!$A$2:$A$470,C7,Transbank!$L$2:$L$470)+SUMIF(Transbank!$A$2:$A$470,D7,Transbank!$L$2:$L$470)+(K7+O7)+(L7+P7)*EERR!$D$2</f>
        <v>136817</v>
      </c>
      <c r="Y7" s="267">
        <f>X7/EERR!$D$2</f>
        <v>205</v>
      </c>
      <c r="Z7" s="277">
        <f t="shared" si="2"/>
        <v>0</v>
      </c>
    </row>
    <row r="8" spans="1:26" s="148" customFormat="1" ht="15" customHeight="1" x14ac:dyDescent="0.25">
      <c r="A8" s="260">
        <v>3853</v>
      </c>
      <c r="B8" s="297">
        <v>1069</v>
      </c>
      <c r="C8" s="297">
        <v>1217</v>
      </c>
      <c r="D8" s="297"/>
      <c r="E8" s="261" t="s">
        <v>867</v>
      </c>
      <c r="F8" s="261" t="s">
        <v>247</v>
      </c>
      <c r="G8" s="261">
        <v>1717786928</v>
      </c>
      <c r="H8" s="262">
        <v>43557</v>
      </c>
      <c r="I8" s="262">
        <v>43561</v>
      </c>
      <c r="J8" s="261">
        <v>4</v>
      </c>
      <c r="K8" s="263"/>
      <c r="L8" s="264"/>
      <c r="M8" s="263"/>
      <c r="N8" s="263">
        <v>615</v>
      </c>
      <c r="O8" s="263"/>
      <c r="P8" s="263"/>
      <c r="Q8" s="263"/>
      <c r="R8" s="263">
        <v>205</v>
      </c>
      <c r="S8" s="153">
        <f t="shared" si="0"/>
        <v>820</v>
      </c>
      <c r="T8" s="153">
        <f t="shared" si="1"/>
        <v>0</v>
      </c>
      <c r="U8" s="151">
        <f>IF(J8=0,(S8+T8/EERR!$D$2/1.19),(S8+T8/EERR!$D$2/1.19)/J8)</f>
        <v>205</v>
      </c>
      <c r="V8" s="153">
        <f>T8+S8*EERR!$D$2</f>
        <v>547268</v>
      </c>
      <c r="W8" s="148">
        <f ca="1">SUMIF(Siteminder!$A$5:$L$164,Abr!G8,Siteminder!$P$5:$P$164)</f>
        <v>4</v>
      </c>
      <c r="X8" s="267">
        <f>SUMIF(Transbank!$A$2:$A$470,B8,Transbank!$L$2:$L$470)+SUMIF(Transbank!$A$2:$A$470,C8,Transbank!$L$2:$L$470)+SUMIF(Transbank!$A$2:$A$470,D8,Transbank!$L$2:$L$470)+(K8+O8)+(L8+P8)*EERR!$D$2</f>
        <v>547325.4</v>
      </c>
      <c r="Y8" s="267">
        <f>X8/EERR!$D$2</f>
        <v>820.08600539406655</v>
      </c>
      <c r="Z8" s="277">
        <f t="shared" si="2"/>
        <v>57.400000000023283</v>
      </c>
    </row>
    <row r="9" spans="1:26" s="148" customFormat="1" ht="15" customHeight="1" x14ac:dyDescent="0.25">
      <c r="A9" s="260">
        <v>3854</v>
      </c>
      <c r="B9" s="297">
        <v>1106</v>
      </c>
      <c r="C9" s="297">
        <v>1219</v>
      </c>
      <c r="D9" s="297"/>
      <c r="E9" s="261" t="s">
        <v>868</v>
      </c>
      <c r="F9" s="261" t="s">
        <v>247</v>
      </c>
      <c r="G9" s="261">
        <v>1226449418</v>
      </c>
      <c r="H9" s="262">
        <v>43557</v>
      </c>
      <c r="I9" s="262">
        <v>43559</v>
      </c>
      <c r="J9" s="261">
        <v>2</v>
      </c>
      <c r="K9" s="263"/>
      <c r="L9" s="264"/>
      <c r="M9" s="295"/>
      <c r="N9" s="295">
        <v>205</v>
      </c>
      <c r="O9" s="295"/>
      <c r="P9" s="295"/>
      <c r="Q9" s="295"/>
      <c r="R9" s="295">
        <v>205</v>
      </c>
      <c r="S9" s="153">
        <f t="shared" si="0"/>
        <v>410</v>
      </c>
      <c r="T9" s="153">
        <f t="shared" si="1"/>
        <v>0</v>
      </c>
      <c r="U9" s="151">
        <f>IF(J9=0,(S9+T9/EERR!$D$2/1.19),(S9+T9/EERR!$D$2/1.19)/J9)</f>
        <v>205</v>
      </c>
      <c r="V9" s="153">
        <f>T9+S9*EERR!$D$2</f>
        <v>273634</v>
      </c>
      <c r="W9" s="148">
        <f ca="1">SUMIF(Siteminder!$A$5:$L$164,Abr!G9,Siteminder!$P$5:$P$164)</f>
        <v>2</v>
      </c>
      <c r="X9" s="267">
        <f>SUMIF(Transbank!$A$2:$A$470,B9,Transbank!$L$2:$L$470)+SUMIF(Transbank!$A$2:$A$470,C9,Transbank!$L$2:$L$470)+SUMIF(Transbank!$A$2:$A$470,D9,Transbank!$L$2:$L$470)+(K9+O9)+(L9+P9)*EERR!$D$2</f>
        <v>273691.40000000002</v>
      </c>
      <c r="Y9" s="267">
        <f>X9/EERR!$D$2</f>
        <v>410.0860053940666</v>
      </c>
      <c r="Z9" s="277">
        <f t="shared" si="2"/>
        <v>57.400000000023283</v>
      </c>
    </row>
    <row r="10" spans="1:26" s="148" customFormat="1" ht="15" customHeight="1" x14ac:dyDescent="0.25">
      <c r="A10" s="260">
        <v>3855</v>
      </c>
      <c r="B10" s="297">
        <v>1117</v>
      </c>
      <c r="C10" s="297">
        <v>1218</v>
      </c>
      <c r="D10" s="297"/>
      <c r="E10" s="261" t="s">
        <v>869</v>
      </c>
      <c r="F10" s="261" t="s">
        <v>247</v>
      </c>
      <c r="G10" s="261">
        <v>1520319851</v>
      </c>
      <c r="H10" s="262">
        <v>43557</v>
      </c>
      <c r="I10" s="262">
        <v>43559</v>
      </c>
      <c r="J10" s="261">
        <v>2</v>
      </c>
      <c r="K10" s="263"/>
      <c r="L10" s="264"/>
      <c r="M10" s="263"/>
      <c r="N10" s="263">
        <v>205</v>
      </c>
      <c r="O10" s="263"/>
      <c r="P10" s="263"/>
      <c r="Q10" s="263"/>
      <c r="R10" s="263">
        <v>205</v>
      </c>
      <c r="S10" s="153">
        <f t="shared" si="0"/>
        <v>410</v>
      </c>
      <c r="T10" s="153">
        <f t="shared" si="1"/>
        <v>0</v>
      </c>
      <c r="U10" s="151">
        <f>IF(J10=0,(S10+T10/EERR!$D$2/1.19),(S10+T10/EERR!$D$2/1.19)/J10)</f>
        <v>205</v>
      </c>
      <c r="V10" s="153">
        <f>T10+S10*EERR!$D$2</f>
        <v>273634</v>
      </c>
      <c r="W10" s="148">
        <f ca="1">SUMIF(Siteminder!$A$5:$L$164,Abr!G10,Siteminder!$P$5:$P$164)</f>
        <v>2</v>
      </c>
      <c r="X10" s="267">
        <f>SUMIF(Transbank!$A$2:$A$470,B10,Transbank!$L$2:$L$470)+SUMIF(Transbank!$A$2:$A$470,C10,Transbank!$L$2:$L$470)+SUMIF(Transbank!$A$2:$A$470,D10,Transbank!$L$2:$L$470)+(K10+O10)+(L10+P10)*EERR!$D$2</f>
        <v>273691.40000000002</v>
      </c>
      <c r="Y10" s="267">
        <f>X10/EERR!$D$2</f>
        <v>410.0860053940666</v>
      </c>
      <c r="Z10" s="277">
        <f t="shared" si="2"/>
        <v>57.400000000023283</v>
      </c>
    </row>
    <row r="11" spans="1:26" s="148" customFormat="1" ht="15" customHeight="1" x14ac:dyDescent="0.25">
      <c r="A11" s="260">
        <v>3856</v>
      </c>
      <c r="B11" s="297">
        <v>1077</v>
      </c>
      <c r="C11" s="297">
        <v>1224</v>
      </c>
      <c r="D11" s="297"/>
      <c r="E11" s="261" t="s">
        <v>870</v>
      </c>
      <c r="F11" s="261" t="s">
        <v>247</v>
      </c>
      <c r="G11" s="261">
        <v>1124043086</v>
      </c>
      <c r="H11" s="262">
        <v>43558</v>
      </c>
      <c r="I11" s="262">
        <v>43564</v>
      </c>
      <c r="J11" s="261">
        <v>6</v>
      </c>
      <c r="K11" s="263"/>
      <c r="L11" s="264"/>
      <c r="M11" s="263"/>
      <c r="N11" s="263">
        <v>1025</v>
      </c>
      <c r="O11" s="263"/>
      <c r="P11" s="263"/>
      <c r="Q11" s="263"/>
      <c r="R11" s="263">
        <v>205</v>
      </c>
      <c r="S11" s="153">
        <f t="shared" si="0"/>
        <v>1230</v>
      </c>
      <c r="T11" s="153">
        <f t="shared" si="1"/>
        <v>0</v>
      </c>
      <c r="U11" s="151">
        <f>IF(J11=0,(S11+T11/EERR!$D$2/1.19),(S11+T11/EERR!$D$2/1.19)/J11)</f>
        <v>205</v>
      </c>
      <c r="V11" s="153">
        <f>T11+S11*EERR!$D$2</f>
        <v>820902</v>
      </c>
      <c r="W11" s="148">
        <f ca="1">SUMIF(Siteminder!$A$5:$L$164,Abr!G11,Siteminder!$P$5:$P$164)</f>
        <v>6</v>
      </c>
      <c r="X11" s="267">
        <f>SUMIF(Transbank!$A$2:$A$470,B11,Transbank!$L$2:$L$470)+SUMIF(Transbank!$A$2:$A$470,C11,Transbank!$L$2:$L$470)+SUMIF(Transbank!$A$2:$A$470,D11,Transbank!$L$2:$L$470)+(K11+O11)+(L11+P11)*EERR!$D$2</f>
        <v>820959.4</v>
      </c>
      <c r="Y11" s="267">
        <f>X11/EERR!$D$2</f>
        <v>1230.0860053940667</v>
      </c>
      <c r="Z11" s="277">
        <f t="shared" si="2"/>
        <v>57.400000000023283</v>
      </c>
    </row>
    <row r="12" spans="1:26" s="148" customFormat="1" ht="15" customHeight="1" x14ac:dyDescent="0.25">
      <c r="A12" s="260">
        <v>3859</v>
      </c>
      <c r="B12" s="297">
        <v>1079</v>
      </c>
      <c r="C12" s="297">
        <v>1229</v>
      </c>
      <c r="D12" s="297"/>
      <c r="E12" s="261" t="s">
        <v>871</v>
      </c>
      <c r="F12" s="261" t="s">
        <v>247</v>
      </c>
      <c r="G12" s="261">
        <v>1523800284</v>
      </c>
      <c r="H12" s="262">
        <v>43559</v>
      </c>
      <c r="I12" s="262">
        <v>43561</v>
      </c>
      <c r="J12" s="261">
        <v>2</v>
      </c>
      <c r="K12" s="263"/>
      <c r="L12" s="264"/>
      <c r="M12" s="263"/>
      <c r="N12" s="263">
        <v>205</v>
      </c>
      <c r="O12" s="263"/>
      <c r="P12" s="263"/>
      <c r="Q12" s="263"/>
      <c r="R12" s="263">
        <v>205</v>
      </c>
      <c r="S12" s="153">
        <f t="shared" si="0"/>
        <v>410</v>
      </c>
      <c r="T12" s="153">
        <f t="shared" si="1"/>
        <v>0</v>
      </c>
      <c r="U12" s="151">
        <f>IF(J12=0,(S12+T12/EERR!$D$2/1.19),(S12+T12/EERR!$D$2/1.19)/J12)</f>
        <v>205</v>
      </c>
      <c r="V12" s="153">
        <f>T12+S12*EERR!$D$2</f>
        <v>273634</v>
      </c>
      <c r="W12" s="148">
        <f ca="1">SUMIF(Siteminder!$A$5:$L$164,Abr!G12,Siteminder!$P$5:$P$164)</f>
        <v>2</v>
      </c>
      <c r="X12" s="267">
        <f>SUMIF(Transbank!$A$2:$A$470,B12,Transbank!$L$2:$L$470)+SUMIF(Transbank!$A$2:$A$470,C12,Transbank!$L$2:$L$470)+SUMIF(Transbank!$A$2:$A$470,D12,Transbank!$L$2:$L$470)+(K12+O12)+(L12+P12)*EERR!$D$2</f>
        <v>273691.40000000002</v>
      </c>
      <c r="Y12" s="267">
        <f>X12/EERR!$D$2</f>
        <v>410.0860053940666</v>
      </c>
      <c r="Z12" s="277">
        <f t="shared" si="2"/>
        <v>57.400000000023283</v>
      </c>
    </row>
    <row r="13" spans="1:26" s="148" customFormat="1" ht="15" customHeight="1" x14ac:dyDescent="0.25">
      <c r="A13" s="260">
        <v>3861</v>
      </c>
      <c r="B13" s="297">
        <v>1131</v>
      </c>
      <c r="C13" s="297">
        <v>1233</v>
      </c>
      <c r="D13" s="297"/>
      <c r="E13" s="261" t="s">
        <v>872</v>
      </c>
      <c r="F13" s="261" t="s">
        <v>247</v>
      </c>
      <c r="G13" s="261">
        <v>1230751082</v>
      </c>
      <c r="H13" s="262">
        <v>43561</v>
      </c>
      <c r="I13" s="262">
        <v>43564</v>
      </c>
      <c r="J13" s="261">
        <v>3</v>
      </c>
      <c r="K13" s="263"/>
      <c r="L13" s="264"/>
      <c r="M13" s="263"/>
      <c r="N13" s="263">
        <v>390</v>
      </c>
      <c r="O13" s="263"/>
      <c r="P13" s="263"/>
      <c r="Q13" s="263"/>
      <c r="R13" s="263">
        <v>195</v>
      </c>
      <c r="S13" s="153">
        <f t="shared" si="0"/>
        <v>585</v>
      </c>
      <c r="T13" s="153">
        <f t="shared" si="1"/>
        <v>0</v>
      </c>
      <c r="U13" s="151">
        <f>IF(J13=0,(S13+T13/EERR!$D$2/1.19),(S13+T13/EERR!$D$2/1.19)/J13)</f>
        <v>195</v>
      </c>
      <c r="V13" s="153">
        <f>T13+S13*EERR!$D$2</f>
        <v>390429</v>
      </c>
      <c r="W13" s="148">
        <f ca="1">SUMIF(Siteminder!$A$5:$L$164,Abr!G13,Siteminder!$P$5:$P$164)</f>
        <v>3</v>
      </c>
      <c r="X13" s="267">
        <f>SUMIF(Transbank!$A$2:$A$470,B13,Transbank!$L$2:$L$470)+SUMIF(Transbank!$A$2:$A$470,C13,Transbank!$L$2:$L$470)+SUMIF(Transbank!$A$2:$A$470,D13,Transbank!$L$2:$L$470)+(K13+O13)+(L13+P13)*EERR!$D$2</f>
        <v>390483.6</v>
      </c>
      <c r="Y13" s="267">
        <f>X13/EERR!$D$2</f>
        <v>585.08181000899015</v>
      </c>
      <c r="Z13" s="277">
        <f t="shared" si="2"/>
        <v>54.599999999976717</v>
      </c>
    </row>
    <row r="14" spans="1:26" s="148" customFormat="1" ht="15" customHeight="1" x14ac:dyDescent="0.25">
      <c r="A14" s="260">
        <v>3862</v>
      </c>
      <c r="B14" s="297">
        <v>1085</v>
      </c>
      <c r="C14" s="297">
        <v>1235</v>
      </c>
      <c r="D14" s="297"/>
      <c r="E14" s="261" t="s">
        <v>873</v>
      </c>
      <c r="F14" s="261" t="s">
        <v>247</v>
      </c>
      <c r="G14" s="261">
        <v>2081982601</v>
      </c>
      <c r="H14" s="262">
        <v>43561</v>
      </c>
      <c r="I14" s="262">
        <v>43564</v>
      </c>
      <c r="J14" s="261">
        <v>3</v>
      </c>
      <c r="K14" s="263"/>
      <c r="L14" s="264"/>
      <c r="M14" s="263"/>
      <c r="N14" s="263">
        <v>615</v>
      </c>
      <c r="O14" s="263"/>
      <c r="P14" s="263"/>
      <c r="Q14" s="263"/>
      <c r="R14" s="263">
        <v>205</v>
      </c>
      <c r="S14" s="153">
        <f t="shared" si="0"/>
        <v>820</v>
      </c>
      <c r="T14" s="153">
        <f t="shared" si="1"/>
        <v>0</v>
      </c>
      <c r="U14" s="151">
        <f>IF(J14=0,(S14+T14/EERR!$D$2/1.19),(S14+T14/EERR!$D$2/1.19)/J14)</f>
        <v>273.33333333333331</v>
      </c>
      <c r="V14" s="153">
        <f>T14+S14*EERR!$D$2</f>
        <v>547268</v>
      </c>
      <c r="W14" s="148">
        <f ca="1">SUMIF(Siteminder!$A$5:$L$164,Abr!G14,Siteminder!$P$5:$P$164)</f>
        <v>3</v>
      </c>
      <c r="X14" s="267">
        <f>SUMIF(Transbank!$A$2:$A$470,B14,Transbank!$L$2:$L$470)+SUMIF(Transbank!$A$2:$A$470,C14,Transbank!$L$2:$L$470)+SUMIF(Transbank!$A$2:$A$470,D14,Transbank!$L$2:$L$470)+(K14+O14)+(L14+P14)*EERR!$D$2</f>
        <v>547325.4</v>
      </c>
      <c r="Y14" s="267">
        <f>X14/EERR!$D$2</f>
        <v>820.08600539406655</v>
      </c>
      <c r="Z14" s="277">
        <f t="shared" si="2"/>
        <v>57.400000000023283</v>
      </c>
    </row>
    <row r="15" spans="1:26" s="148" customFormat="1" ht="15" customHeight="1" x14ac:dyDescent="0.25">
      <c r="A15" s="260">
        <v>3863</v>
      </c>
      <c r="B15" s="297">
        <v>1130</v>
      </c>
      <c r="C15" s="297"/>
      <c r="D15" s="297"/>
      <c r="E15" s="261" t="s">
        <v>874</v>
      </c>
      <c r="F15" s="261" t="s">
        <v>247</v>
      </c>
      <c r="G15" s="261">
        <v>1584532122</v>
      </c>
      <c r="H15" s="262">
        <v>43561</v>
      </c>
      <c r="I15" s="262">
        <v>43562</v>
      </c>
      <c r="J15" s="261">
        <v>1</v>
      </c>
      <c r="K15" s="263"/>
      <c r="L15" s="264"/>
      <c r="M15" s="263"/>
      <c r="N15" s="263"/>
      <c r="O15" s="263"/>
      <c r="P15" s="263"/>
      <c r="Q15" s="263"/>
      <c r="R15" s="263">
        <v>195</v>
      </c>
      <c r="S15" s="153">
        <f t="shared" si="0"/>
        <v>195</v>
      </c>
      <c r="T15" s="153">
        <f t="shared" si="1"/>
        <v>0</v>
      </c>
      <c r="U15" s="151">
        <f>IF(J15=0,(S15+T15/EERR!$D$2/1.19),(S15+T15/EERR!$D$2/1.19)/J15)</f>
        <v>195</v>
      </c>
      <c r="V15" s="153">
        <f>T15+S15*EERR!$D$2</f>
        <v>130143</v>
      </c>
      <c r="W15" s="148">
        <f ca="1">SUMIF(Siteminder!$A$5:$L$164,Abr!G15,Siteminder!$P$5:$P$164)</f>
        <v>1</v>
      </c>
      <c r="X15" s="267">
        <f>SUMIF(Transbank!$A$2:$A$470,B15,Transbank!$L$2:$L$470)+SUMIF(Transbank!$A$2:$A$470,C15,Transbank!$L$2:$L$470)+SUMIF(Transbank!$A$2:$A$470,D15,Transbank!$L$2:$L$470)+(K15+O15)+(L15+P15)*EERR!$D$2</f>
        <v>130197.59999999999</v>
      </c>
      <c r="Y15" s="267">
        <f>X15/EERR!$D$2</f>
        <v>195.08181000899012</v>
      </c>
      <c r="Z15" s="277">
        <f t="shared" si="2"/>
        <v>54.599999999991269</v>
      </c>
    </row>
    <row r="16" spans="1:26" s="148" customFormat="1" ht="15" customHeight="1" x14ac:dyDescent="0.25">
      <c r="A16" s="260">
        <v>20917</v>
      </c>
      <c r="B16" s="297"/>
      <c r="C16" s="297"/>
      <c r="D16" s="297"/>
      <c r="E16" s="261" t="s">
        <v>875</v>
      </c>
      <c r="F16" s="261" t="s">
        <v>247</v>
      </c>
      <c r="G16" s="261">
        <v>3997720917</v>
      </c>
      <c r="H16" s="262">
        <v>43561</v>
      </c>
      <c r="I16" s="262">
        <v>43562</v>
      </c>
      <c r="J16" s="261">
        <v>1</v>
      </c>
      <c r="K16" s="263"/>
      <c r="L16" s="264"/>
      <c r="M16" s="263"/>
      <c r="N16" s="263"/>
      <c r="O16" s="263">
        <v>154545</v>
      </c>
      <c r="P16" s="263"/>
      <c r="Q16" s="263"/>
      <c r="R16" s="263"/>
      <c r="S16" s="153">
        <f t="shared" si="0"/>
        <v>0</v>
      </c>
      <c r="T16" s="153">
        <f t="shared" si="1"/>
        <v>154545</v>
      </c>
      <c r="U16" s="151">
        <f>IF(J16=0,(S16+T16/EERR!$D$2/1.19),(S16+T16/EERR!$D$2/1.19)/J16)</f>
        <v>194.59057221929828</v>
      </c>
      <c r="V16" s="153">
        <f>T16+S16*EERR!$D$2</f>
        <v>154545</v>
      </c>
      <c r="W16" s="148">
        <f ca="1">SUMIF(Siteminder!$A$5:$L$164,Abr!G16,Siteminder!$P$5:$P$164)</f>
        <v>1</v>
      </c>
      <c r="X16" s="267">
        <f>SUMIF(Transbank!$A$2:$A$470,B16,Transbank!$L$2:$L$470)+SUMIF(Transbank!$A$2:$A$470,C16,Transbank!$L$2:$L$470)+SUMIF(Transbank!$A$2:$A$470,D16,Transbank!$L$2:$L$470)+(K16+O16)+(L16+P16)*EERR!$D$2</f>
        <v>154545</v>
      </c>
      <c r="Y16" s="267">
        <f>X16/EERR!$D$2</f>
        <v>231.56278094096496</v>
      </c>
      <c r="Z16" s="277">
        <f t="shared" si="2"/>
        <v>0</v>
      </c>
    </row>
    <row r="17" spans="1:26" s="148" customFormat="1" ht="15" customHeight="1" x14ac:dyDescent="0.25">
      <c r="A17" s="260">
        <v>3864</v>
      </c>
      <c r="B17" s="297">
        <v>1144</v>
      </c>
      <c r="C17" s="297">
        <v>1238</v>
      </c>
      <c r="D17" s="297"/>
      <c r="E17" s="261" t="s">
        <v>876</v>
      </c>
      <c r="F17" s="261" t="s">
        <v>247</v>
      </c>
      <c r="G17" s="261">
        <v>3165743059</v>
      </c>
      <c r="H17" s="262">
        <v>43562</v>
      </c>
      <c r="I17" s="262">
        <v>43564</v>
      </c>
      <c r="J17" s="261">
        <v>2</v>
      </c>
      <c r="K17" s="263"/>
      <c r="L17" s="264"/>
      <c r="M17" s="263"/>
      <c r="N17" s="263">
        <v>195</v>
      </c>
      <c r="O17" s="263"/>
      <c r="P17" s="263"/>
      <c r="Q17" s="263"/>
      <c r="R17" s="263">
        <v>195</v>
      </c>
      <c r="S17" s="153">
        <f t="shared" si="0"/>
        <v>390</v>
      </c>
      <c r="T17" s="153">
        <f t="shared" si="1"/>
        <v>0</v>
      </c>
      <c r="U17" s="151">
        <f>IF(J17=0,(S17+T17/EERR!$D$2/1.19),(S17+T17/EERR!$D$2/1.19)/J17)</f>
        <v>195</v>
      </c>
      <c r="V17" s="153">
        <f>T17+S17*EERR!$D$2</f>
        <v>260286</v>
      </c>
      <c r="W17" s="148">
        <f ca="1">SUMIF(Siteminder!$A$5:$L$164,Abr!G17,Siteminder!$P$5:$P$164)</f>
        <v>2</v>
      </c>
      <c r="X17" s="267">
        <f>SUMIF(Transbank!$A$2:$A$470,B17,Transbank!$L$2:$L$470)+SUMIF(Transbank!$A$2:$A$470,C17,Transbank!$L$2:$L$470)+SUMIF(Transbank!$A$2:$A$470,D17,Transbank!$L$2:$L$470)+(K17+O17)+(L17+P17)*EERR!$D$2</f>
        <v>260340.59999999998</v>
      </c>
      <c r="Y17" s="267">
        <f>X17/EERR!$D$2</f>
        <v>390.08181000899009</v>
      </c>
      <c r="Z17" s="277">
        <f t="shared" si="2"/>
        <v>54.599999999976717</v>
      </c>
    </row>
    <row r="18" spans="1:26" s="148" customFormat="1" ht="15" customHeight="1" x14ac:dyDescent="0.25">
      <c r="A18" s="260">
        <v>3865</v>
      </c>
      <c r="B18" s="297">
        <v>1089</v>
      </c>
      <c r="C18" s="297">
        <v>1239</v>
      </c>
      <c r="D18" s="297"/>
      <c r="E18" s="261" t="s">
        <v>877</v>
      </c>
      <c r="F18" s="261" t="s">
        <v>247</v>
      </c>
      <c r="G18" s="261">
        <v>1310606002</v>
      </c>
      <c r="H18" s="262">
        <v>43562</v>
      </c>
      <c r="I18" s="262">
        <v>43565</v>
      </c>
      <c r="J18" s="261">
        <v>3</v>
      </c>
      <c r="K18" s="263"/>
      <c r="L18" s="264"/>
      <c r="M18" s="263"/>
      <c r="N18" s="263">
        <v>410</v>
      </c>
      <c r="O18" s="263"/>
      <c r="P18" s="263"/>
      <c r="Q18" s="263"/>
      <c r="R18" s="263">
        <v>205</v>
      </c>
      <c r="S18" s="153">
        <f t="shared" si="0"/>
        <v>615</v>
      </c>
      <c r="T18" s="153">
        <f t="shared" si="1"/>
        <v>0</v>
      </c>
      <c r="U18" s="151">
        <f>IF(J18=0,(S18+T18/EERR!$D$2/1.19),(S18+T18/EERR!$D$2/1.19)/J18)</f>
        <v>205</v>
      </c>
      <c r="V18" s="153">
        <f>T18+S18*EERR!$D$2</f>
        <v>410451</v>
      </c>
      <c r="W18" s="148">
        <f ca="1">SUMIF(Siteminder!$A$5:$L$164,Abr!G18,Siteminder!$P$5:$P$164)</f>
        <v>3</v>
      </c>
      <c r="X18" s="267">
        <f>SUMIF(Transbank!$A$2:$A$470,B18,Transbank!$L$2:$L$470)+SUMIF(Transbank!$A$2:$A$470,C18,Transbank!$L$2:$L$470)+SUMIF(Transbank!$A$2:$A$470,D18,Transbank!$L$2:$L$470)+(K18+O18)+(L18+P18)*EERR!$D$2</f>
        <v>410508.4</v>
      </c>
      <c r="Y18" s="267">
        <f>X18/EERR!$D$2</f>
        <v>615.08600539406655</v>
      </c>
      <c r="Z18" s="277">
        <f t="shared" si="2"/>
        <v>57.400000000023283</v>
      </c>
    </row>
    <row r="19" spans="1:26" s="148" customFormat="1" ht="15" customHeight="1" x14ac:dyDescent="0.25">
      <c r="A19" s="260">
        <v>3866</v>
      </c>
      <c r="B19" s="297">
        <v>1090</v>
      </c>
      <c r="C19" s="297">
        <v>1240</v>
      </c>
      <c r="D19" s="297"/>
      <c r="E19" s="261" t="s">
        <v>878</v>
      </c>
      <c r="F19" s="261" t="s">
        <v>247</v>
      </c>
      <c r="G19" s="261">
        <v>1273435569</v>
      </c>
      <c r="H19" s="262">
        <v>43562</v>
      </c>
      <c r="I19" s="262">
        <v>43566</v>
      </c>
      <c r="J19" s="261">
        <v>4</v>
      </c>
      <c r="K19" s="263"/>
      <c r="L19" s="264"/>
      <c r="M19" s="295"/>
      <c r="N19" s="295">
        <v>615</v>
      </c>
      <c r="O19" s="295"/>
      <c r="P19" s="295"/>
      <c r="Q19" s="295"/>
      <c r="R19" s="295">
        <v>205</v>
      </c>
      <c r="S19" s="153">
        <f t="shared" si="0"/>
        <v>820</v>
      </c>
      <c r="T19" s="153">
        <f t="shared" si="1"/>
        <v>0</v>
      </c>
      <c r="U19" s="151">
        <f>IF(J19=0,(S19+T19/EERR!$D$2/1.19),(S19+T19/EERR!$D$2/1.19)/J19)</f>
        <v>205</v>
      </c>
      <c r="V19" s="153">
        <f>T19+S19*EERR!$D$2</f>
        <v>547268</v>
      </c>
      <c r="W19" s="148">
        <f ca="1">SUMIF(Siteminder!$A$5:$L$164,Abr!G19,Siteminder!$P$5:$P$164)</f>
        <v>4</v>
      </c>
      <c r="X19" s="267">
        <f>SUMIF(Transbank!$A$2:$A$470,B19,Transbank!$L$2:$L$470)+SUMIF(Transbank!$A$2:$A$470,C19,Transbank!$L$2:$L$470)+SUMIF(Transbank!$A$2:$A$470,D19,Transbank!$L$2:$L$470)+(K19+O19)+(L19+P19)*EERR!$D$2</f>
        <v>547325.4</v>
      </c>
      <c r="Y19" s="267">
        <f>X19/EERR!$D$2</f>
        <v>820.08600539406655</v>
      </c>
      <c r="Z19" s="277">
        <f t="shared" si="2"/>
        <v>57.400000000023283</v>
      </c>
    </row>
    <row r="20" spans="1:26" s="148" customFormat="1" ht="15" customHeight="1" x14ac:dyDescent="0.25">
      <c r="A20" s="260">
        <v>3869</v>
      </c>
      <c r="B20" s="297">
        <v>1091</v>
      </c>
      <c r="C20" s="297">
        <v>1245</v>
      </c>
      <c r="D20" s="297"/>
      <c r="E20" s="261" t="s">
        <v>879</v>
      </c>
      <c r="F20" s="261" t="s">
        <v>247</v>
      </c>
      <c r="G20" s="261">
        <v>1997890778</v>
      </c>
      <c r="H20" s="262">
        <v>43563</v>
      </c>
      <c r="I20" s="262">
        <v>43566</v>
      </c>
      <c r="J20" s="261">
        <v>3</v>
      </c>
      <c r="K20" s="263"/>
      <c r="L20" s="264"/>
      <c r="M20" s="263"/>
      <c r="N20" s="263">
        <v>410</v>
      </c>
      <c r="O20" s="263"/>
      <c r="P20" s="263"/>
      <c r="Q20" s="263"/>
      <c r="R20" s="263">
        <v>205</v>
      </c>
      <c r="S20" s="153">
        <f t="shared" si="0"/>
        <v>615</v>
      </c>
      <c r="T20" s="153">
        <f t="shared" si="1"/>
        <v>0</v>
      </c>
      <c r="U20" s="151">
        <f>IF(J20=0,(S20+T20/EERR!$D$2/1.19),(S20+T20/EERR!$D$2/1.19)/J20)</f>
        <v>205</v>
      </c>
      <c r="V20" s="153">
        <f>T20+S20*EERR!$D$2</f>
        <v>410451</v>
      </c>
      <c r="W20" s="148">
        <f ca="1">SUMIF(Siteminder!$A$5:$L$164,Abr!G20,Siteminder!$P$5:$P$164)</f>
        <v>3</v>
      </c>
      <c r="X20" s="267">
        <f>SUMIF(Transbank!$A$2:$A$470,B20,Transbank!$L$2:$L$470)+SUMIF(Transbank!$A$2:$A$470,C20,Transbank!$L$2:$L$470)+SUMIF(Transbank!$A$2:$A$470,D20,Transbank!$L$2:$L$470)+(K20+O20)+(L20+P20)*EERR!$D$2</f>
        <v>410508.4</v>
      </c>
      <c r="Y20" s="267">
        <f>X20/EERR!$D$2</f>
        <v>615.08600539406655</v>
      </c>
      <c r="Z20" s="277">
        <f t="shared" si="2"/>
        <v>57.400000000023283</v>
      </c>
    </row>
    <row r="21" spans="1:26" s="148" customFormat="1" ht="15" customHeight="1" x14ac:dyDescent="0.25">
      <c r="A21" s="260">
        <v>3870</v>
      </c>
      <c r="B21" s="297">
        <v>1098</v>
      </c>
      <c r="C21" s="297"/>
      <c r="D21" s="297"/>
      <c r="E21" s="261" t="s">
        <v>880</v>
      </c>
      <c r="F21" s="261" t="s">
        <v>247</v>
      </c>
      <c r="G21" s="261">
        <v>1784841259</v>
      </c>
      <c r="H21" s="262">
        <v>43564</v>
      </c>
      <c r="I21" s="262">
        <v>43570</v>
      </c>
      <c r="J21" s="261">
        <v>6</v>
      </c>
      <c r="K21" s="263"/>
      <c r="L21" s="264">
        <v>1025</v>
      </c>
      <c r="M21" s="263"/>
      <c r="N21" s="263">
        <v>205</v>
      </c>
      <c r="O21" s="263"/>
      <c r="P21" s="263"/>
      <c r="Q21" s="263"/>
      <c r="R21" s="263"/>
      <c r="S21" s="153">
        <f t="shared" si="0"/>
        <v>1230</v>
      </c>
      <c r="T21" s="153">
        <f t="shared" si="1"/>
        <v>0</v>
      </c>
      <c r="U21" s="151">
        <f>IF(J21=0,(S21+T21/EERR!$D$2/1.19),(S21+T21/EERR!$D$2/1.19)/J21)</f>
        <v>205</v>
      </c>
      <c r="V21" s="153">
        <f>T21+S21*EERR!$D$2</f>
        <v>820902</v>
      </c>
      <c r="W21" s="148">
        <f ca="1">SUMIF(Siteminder!$A$5:$L$164,Abr!G21,Siteminder!$P$5:$P$164)</f>
        <v>6</v>
      </c>
      <c r="X21" s="267">
        <f>SUMIF(Transbank!$A$2:$A$470,B21,Transbank!$L$2:$L$470)+SUMIF(Transbank!$A$2:$A$470,C21,Transbank!$L$2:$L$470)+SUMIF(Transbank!$A$2:$A$470,D21,Transbank!$L$2:$L$470)+(K21+O21)+(L21+P21)*EERR!$D$2</f>
        <v>820959.4</v>
      </c>
      <c r="Y21" s="267">
        <f>X21/EERR!$D$2</f>
        <v>1230.0860053940667</v>
      </c>
      <c r="Z21" s="277">
        <f t="shared" si="2"/>
        <v>57.400000000023283</v>
      </c>
    </row>
    <row r="22" spans="1:26" s="148" customFormat="1" ht="15" customHeight="1" x14ac:dyDescent="0.25">
      <c r="A22" s="260">
        <v>3871</v>
      </c>
      <c r="B22" s="297">
        <v>1096</v>
      </c>
      <c r="C22" s="297">
        <v>1246</v>
      </c>
      <c r="D22" s="297"/>
      <c r="E22" s="261" t="s">
        <v>881</v>
      </c>
      <c r="F22" s="261" t="s">
        <v>247</v>
      </c>
      <c r="G22" s="261">
        <v>1829621722</v>
      </c>
      <c r="H22" s="262">
        <v>43564</v>
      </c>
      <c r="I22" s="262">
        <v>43567</v>
      </c>
      <c r="J22" s="261">
        <v>3</v>
      </c>
      <c r="K22" s="263"/>
      <c r="L22" s="264"/>
      <c r="M22" s="263"/>
      <c r="N22" s="263">
        <v>410</v>
      </c>
      <c r="O22" s="263"/>
      <c r="P22" s="263"/>
      <c r="Q22" s="263"/>
      <c r="R22" s="263">
        <v>205</v>
      </c>
      <c r="S22" s="153">
        <f t="shared" si="0"/>
        <v>615</v>
      </c>
      <c r="T22" s="153">
        <f t="shared" si="1"/>
        <v>0</v>
      </c>
      <c r="U22" s="151">
        <f>IF(J22=0,(S22+T22/EERR!$D$2/1.19),(S22+T22/EERR!$D$2/1.19)/J22)</f>
        <v>205</v>
      </c>
      <c r="V22" s="153">
        <f>T22+S22*EERR!$D$2</f>
        <v>410451</v>
      </c>
      <c r="W22" s="148">
        <f ca="1">SUMIF(Siteminder!$A$5:$L$164,Abr!G22,Siteminder!$P$5:$P$164)</f>
        <v>3</v>
      </c>
      <c r="X22" s="267">
        <f>SUMIF(Transbank!$A$2:$A$470,B22,Transbank!$L$2:$L$470)+SUMIF(Transbank!$A$2:$A$470,C22,Transbank!$L$2:$L$470)+SUMIF(Transbank!$A$2:$A$470,D22,Transbank!$L$2:$L$470)+(K22+O22)+(L22+P22)*EERR!$D$2</f>
        <v>410508.4</v>
      </c>
      <c r="Y22" s="267">
        <f>X22/EERR!$D$2</f>
        <v>615.08600539406655</v>
      </c>
      <c r="Z22" s="277">
        <f t="shared" si="2"/>
        <v>57.400000000023283</v>
      </c>
    </row>
    <row r="23" spans="1:26" s="148" customFormat="1" ht="15" customHeight="1" x14ac:dyDescent="0.25">
      <c r="A23" s="260">
        <v>3875</v>
      </c>
      <c r="B23" s="297">
        <v>1107</v>
      </c>
      <c r="C23" s="297">
        <v>1249</v>
      </c>
      <c r="D23" s="297"/>
      <c r="E23" s="261" t="s">
        <v>882</v>
      </c>
      <c r="F23" s="261" t="s">
        <v>247</v>
      </c>
      <c r="G23" s="261">
        <v>1960984400</v>
      </c>
      <c r="H23" s="262">
        <v>43565</v>
      </c>
      <c r="I23" s="262">
        <v>43568</v>
      </c>
      <c r="J23" s="261">
        <v>3</v>
      </c>
      <c r="K23" s="263"/>
      <c r="L23" s="264"/>
      <c r="M23" s="263"/>
      <c r="N23" s="263">
        <v>410</v>
      </c>
      <c r="O23" s="263"/>
      <c r="P23" s="263"/>
      <c r="Q23" s="263"/>
      <c r="R23" s="263">
        <v>205</v>
      </c>
      <c r="S23" s="153">
        <f t="shared" si="0"/>
        <v>615</v>
      </c>
      <c r="T23" s="153">
        <f t="shared" si="1"/>
        <v>0</v>
      </c>
      <c r="U23" s="151">
        <f>IF(J23=0,(S23+T23/EERR!$D$2/1.19),(S23+T23/EERR!$D$2/1.19)/J23)</f>
        <v>205</v>
      </c>
      <c r="V23" s="153">
        <f>T23+S23*EERR!$D$2</f>
        <v>410451</v>
      </c>
      <c r="W23" s="148">
        <f ca="1">SUMIF(Siteminder!$A$5:$L$164,Abr!G23,Siteminder!$P$5:$P$164)</f>
        <v>3</v>
      </c>
      <c r="X23" s="267">
        <f>SUMIF(Transbank!$A$2:$A$470,B23,Transbank!$L$2:$L$470)+SUMIF(Transbank!$A$2:$A$470,C23,Transbank!$L$2:$L$470)+SUMIF(Transbank!$A$2:$A$470,D23,Transbank!$L$2:$L$470)+(K23+O23)+(L23+P23)*EERR!$D$2</f>
        <v>410508.4</v>
      </c>
      <c r="Y23" s="267">
        <f>X23/EERR!$D$2</f>
        <v>615.08600539406655</v>
      </c>
      <c r="Z23" s="277">
        <f t="shared" si="2"/>
        <v>57.400000000023283</v>
      </c>
    </row>
    <row r="24" spans="1:26" s="148" customFormat="1" ht="15" customHeight="1" x14ac:dyDescent="0.25">
      <c r="A24" s="260">
        <v>3873</v>
      </c>
      <c r="B24" s="297">
        <v>1111</v>
      </c>
      <c r="C24" s="297"/>
      <c r="D24" s="297"/>
      <c r="E24" s="261" t="s">
        <v>883</v>
      </c>
      <c r="F24" s="261" t="s">
        <v>247</v>
      </c>
      <c r="G24" s="261">
        <v>1435728184</v>
      </c>
      <c r="H24" s="262">
        <v>43567</v>
      </c>
      <c r="I24" s="262">
        <v>43568</v>
      </c>
      <c r="J24" s="261">
        <v>1</v>
      </c>
      <c r="K24" s="263"/>
      <c r="L24" s="264"/>
      <c r="M24" s="263"/>
      <c r="N24" s="263"/>
      <c r="O24" s="263"/>
      <c r="P24" s="263"/>
      <c r="Q24" s="263"/>
      <c r="R24" s="263">
        <v>205</v>
      </c>
      <c r="S24" s="153">
        <f t="shared" si="0"/>
        <v>205</v>
      </c>
      <c r="T24" s="153">
        <f t="shared" si="1"/>
        <v>0</v>
      </c>
      <c r="U24" s="151">
        <f>IF(J24=0,(S24+T24/EERR!$D$2/1.19),(S24+T24/EERR!$D$2/1.19)/J24)</f>
        <v>205</v>
      </c>
      <c r="V24" s="153">
        <f>T24+S24*EERR!$D$2</f>
        <v>136817</v>
      </c>
      <c r="W24" s="148">
        <f ca="1">SUMIF(Siteminder!$A$5:$L$164,Abr!G24,Siteminder!$P$5:$P$164)</f>
        <v>1</v>
      </c>
      <c r="X24" s="267">
        <f>SUMIF(Transbank!$A$2:$A$470,B24,Transbank!$L$2:$L$470)+SUMIF(Transbank!$A$2:$A$470,C24,Transbank!$L$2:$L$470)+SUMIF(Transbank!$A$2:$A$470,D24,Transbank!$L$2:$L$470)+(K24+O24)+(L24+P24)*EERR!$D$2</f>
        <v>136874.4</v>
      </c>
      <c r="Y24" s="267">
        <f>X24/EERR!$D$2</f>
        <v>205.08600539406652</v>
      </c>
      <c r="Z24" s="277">
        <f t="shared" si="2"/>
        <v>57.399999999994179</v>
      </c>
    </row>
    <row r="25" spans="1:26" s="148" customFormat="1" ht="15" customHeight="1" x14ac:dyDescent="0.25">
      <c r="A25" s="260">
        <v>3877</v>
      </c>
      <c r="B25" s="297">
        <v>1119</v>
      </c>
      <c r="C25" s="297">
        <v>1251</v>
      </c>
      <c r="D25" s="297"/>
      <c r="E25" s="261" t="s">
        <v>884</v>
      </c>
      <c r="F25" s="261" t="s">
        <v>247</v>
      </c>
      <c r="G25" s="261">
        <v>1178819021</v>
      </c>
      <c r="H25" s="262">
        <v>43568</v>
      </c>
      <c r="I25" s="262">
        <v>43572</v>
      </c>
      <c r="J25" s="261">
        <v>4</v>
      </c>
      <c r="K25" s="263"/>
      <c r="L25" s="264"/>
      <c r="M25" s="263"/>
      <c r="N25" s="263">
        <v>615</v>
      </c>
      <c r="O25" s="263"/>
      <c r="P25" s="263"/>
      <c r="Q25" s="263"/>
      <c r="R25" s="263">
        <v>205</v>
      </c>
      <c r="S25" s="153">
        <f t="shared" si="0"/>
        <v>820</v>
      </c>
      <c r="T25" s="153">
        <f t="shared" si="1"/>
        <v>0</v>
      </c>
      <c r="U25" s="151">
        <f>IF(J25=0,(S25+T25/EERR!$D$2/1.19),(S25+T25/EERR!$D$2/1.19)/J25)</f>
        <v>205</v>
      </c>
      <c r="V25" s="153">
        <f>T25+S25*EERR!$D$2</f>
        <v>547268</v>
      </c>
      <c r="W25" s="148">
        <f ca="1">SUMIF(Siteminder!$A$5:$L$164,Abr!G25,Siteminder!$P$5:$P$164)</f>
        <v>4</v>
      </c>
      <c r="X25" s="267">
        <f>SUMIF(Transbank!$A$2:$A$470,B25,Transbank!$L$2:$L$470)+SUMIF(Transbank!$A$2:$A$470,C25,Transbank!$L$2:$L$470)+SUMIF(Transbank!$A$2:$A$470,D25,Transbank!$L$2:$L$470)+(K25+O25)+(L25+P25)*EERR!$D$2</f>
        <v>547325.4</v>
      </c>
      <c r="Y25" s="267">
        <f>X25/EERR!$D$2</f>
        <v>820.08600539406655</v>
      </c>
      <c r="Z25" s="277">
        <f t="shared" si="2"/>
        <v>57.400000000023283</v>
      </c>
    </row>
    <row r="26" spans="1:26" s="148" customFormat="1" ht="15" customHeight="1" x14ac:dyDescent="0.25">
      <c r="A26" s="260">
        <v>3879</v>
      </c>
      <c r="B26" s="297">
        <v>1129</v>
      </c>
      <c r="C26" s="297"/>
      <c r="D26" s="297"/>
      <c r="E26" s="261" t="s">
        <v>885</v>
      </c>
      <c r="F26" s="261" t="s">
        <v>247</v>
      </c>
      <c r="G26" s="261">
        <v>1100970466</v>
      </c>
      <c r="H26" s="262">
        <v>43570</v>
      </c>
      <c r="I26" s="262">
        <v>43571</v>
      </c>
      <c r="J26" s="261">
        <v>1</v>
      </c>
      <c r="K26" s="263"/>
      <c r="L26" s="264"/>
      <c r="M26" s="263"/>
      <c r="N26" s="263"/>
      <c r="O26" s="263"/>
      <c r="P26" s="263"/>
      <c r="Q26" s="263"/>
      <c r="R26" s="263">
        <v>205</v>
      </c>
      <c r="S26" s="153">
        <f t="shared" si="0"/>
        <v>205</v>
      </c>
      <c r="T26" s="153">
        <f t="shared" si="1"/>
        <v>0</v>
      </c>
      <c r="U26" s="151">
        <f>IF(J26=0,(S26+T26/EERR!$D$2/1.19),(S26+T26/EERR!$D$2/1.19)/J26)</f>
        <v>205</v>
      </c>
      <c r="V26" s="153">
        <f>T26+S26*EERR!$D$2</f>
        <v>136817</v>
      </c>
      <c r="W26" s="148">
        <f ca="1">SUMIF(Siteminder!$A$5:$L$164,Abr!G26,Siteminder!$P$5:$P$164)</f>
        <v>1</v>
      </c>
      <c r="X26" s="267">
        <f>SUMIF(Transbank!$A$2:$A$470,B26,Transbank!$L$2:$L$470)+SUMIF(Transbank!$A$2:$A$470,C26,Transbank!$L$2:$L$470)+SUMIF(Transbank!$A$2:$A$470,D26,Transbank!$L$2:$L$470)+(K26+O26)+(L26+P26)*EERR!$D$2</f>
        <v>136874.4</v>
      </c>
      <c r="Y26" s="267">
        <f>X26/EERR!$D$2</f>
        <v>205.08600539406652</v>
      </c>
      <c r="Z26" s="277">
        <f t="shared" si="2"/>
        <v>57.399999999994179</v>
      </c>
    </row>
    <row r="27" spans="1:26" s="148" customFormat="1" ht="15" customHeight="1" x14ac:dyDescent="0.25">
      <c r="A27" s="260">
        <v>3886</v>
      </c>
      <c r="B27" s="297">
        <v>1134</v>
      </c>
      <c r="C27" s="297">
        <v>1263</v>
      </c>
      <c r="D27" s="297"/>
      <c r="E27" s="261" t="s">
        <v>886</v>
      </c>
      <c r="F27" s="261" t="s">
        <v>247</v>
      </c>
      <c r="G27" s="261">
        <v>1622339780</v>
      </c>
      <c r="H27" s="262">
        <v>43572</v>
      </c>
      <c r="I27" s="262">
        <v>43576</v>
      </c>
      <c r="J27" s="261">
        <v>4</v>
      </c>
      <c r="K27" s="263"/>
      <c r="L27" s="264"/>
      <c r="M27" s="263"/>
      <c r="N27" s="263">
        <v>605</v>
      </c>
      <c r="O27" s="263"/>
      <c r="P27" s="263"/>
      <c r="Q27" s="263"/>
      <c r="R27" s="263">
        <v>195</v>
      </c>
      <c r="S27" s="153">
        <f t="shared" si="0"/>
        <v>800</v>
      </c>
      <c r="T27" s="153">
        <f t="shared" si="1"/>
        <v>0</v>
      </c>
      <c r="U27" s="151">
        <f>IF(J27=0,(S27+T27/EERR!$D$2/1.19),(S27+T27/EERR!$D$2/1.19)/J27)</f>
        <v>200</v>
      </c>
      <c r="V27" s="153">
        <f>T27+S27*EERR!$D$2</f>
        <v>533920</v>
      </c>
      <c r="W27" s="148">
        <f ca="1">SUMIF(Siteminder!$A$5:$L$164,Abr!G27,Siteminder!$P$5:$P$164)</f>
        <v>4</v>
      </c>
      <c r="X27" s="267">
        <f>SUMIF(Transbank!$A$2:$A$470,B27,Transbank!$L$2:$L$470)+SUMIF(Transbank!$A$2:$A$470,C27,Transbank!$L$2:$L$470)+SUMIF(Transbank!$A$2:$A$470,D27,Transbank!$L$2:$L$470)+(K27+O27)+(L27+P27)*EERR!$D$2</f>
        <v>533974.6</v>
      </c>
      <c r="Y27" s="267">
        <f>X27/EERR!$D$2</f>
        <v>800.08181000899015</v>
      </c>
      <c r="Z27" s="277">
        <f t="shared" si="2"/>
        <v>54.599999999976717</v>
      </c>
    </row>
    <row r="28" spans="1:26" s="148" customFormat="1" ht="15" customHeight="1" x14ac:dyDescent="0.25">
      <c r="A28" s="260">
        <v>3888</v>
      </c>
      <c r="B28" s="297">
        <v>1140</v>
      </c>
      <c r="C28" s="297">
        <v>1265</v>
      </c>
      <c r="D28" s="297"/>
      <c r="E28" s="261" t="s">
        <v>887</v>
      </c>
      <c r="F28" s="261" t="s">
        <v>247</v>
      </c>
      <c r="G28" s="261">
        <v>1053344143</v>
      </c>
      <c r="H28" s="262">
        <v>43573</v>
      </c>
      <c r="I28" s="262">
        <v>43575</v>
      </c>
      <c r="J28" s="261">
        <v>2</v>
      </c>
      <c r="K28" s="263"/>
      <c r="L28" s="264"/>
      <c r="M28" s="263"/>
      <c r="N28" s="263">
        <v>230</v>
      </c>
      <c r="O28" s="263"/>
      <c r="P28" s="263"/>
      <c r="Q28" s="263"/>
      <c r="R28" s="263">
        <v>230</v>
      </c>
      <c r="S28" s="153">
        <f t="shared" si="0"/>
        <v>460</v>
      </c>
      <c r="T28" s="153">
        <f t="shared" si="1"/>
        <v>0</v>
      </c>
      <c r="U28" s="151">
        <f>IF(J28=0,(S28+T28/EERR!$D$2/1.19),(S28+T28/EERR!$D$2/1.19)/J28)</f>
        <v>230</v>
      </c>
      <c r="V28" s="153">
        <f>T28+S28*EERR!$D$2</f>
        <v>307004</v>
      </c>
      <c r="W28" s="148">
        <f ca="1">SUMIF(Siteminder!$A$5:$L$164,Abr!G28,Siteminder!$P$5:$P$164)</f>
        <v>2</v>
      </c>
      <c r="X28" s="267">
        <f>SUMIF(Transbank!$A$2:$A$470,B28,Transbank!$L$2:$L$470)+SUMIF(Transbank!$A$2:$A$470,C28,Transbank!$L$2:$L$470)+SUMIF(Transbank!$A$2:$A$470,D28,Transbank!$L$2:$L$470)+(K28+O28)+(L28+P28)*EERR!$D$2</f>
        <v>307068.40000000002</v>
      </c>
      <c r="Y28" s="267">
        <f>X28/EERR!$D$2</f>
        <v>460.0964938567576</v>
      </c>
      <c r="Z28" s="277">
        <f t="shared" si="2"/>
        <v>64.400000000023283</v>
      </c>
    </row>
    <row r="29" spans="1:26" s="148" customFormat="1" ht="15" customHeight="1" x14ac:dyDescent="0.25">
      <c r="A29" s="260">
        <v>3889</v>
      </c>
      <c r="B29" s="297">
        <v>1141</v>
      </c>
      <c r="C29" s="297"/>
      <c r="D29" s="297"/>
      <c r="E29" s="261" t="s">
        <v>880</v>
      </c>
      <c r="F29" s="261" t="s">
        <v>247</v>
      </c>
      <c r="G29" s="261">
        <v>1869992146</v>
      </c>
      <c r="H29" s="262">
        <v>43573</v>
      </c>
      <c r="I29" s="262">
        <v>43574</v>
      </c>
      <c r="J29" s="261">
        <v>1</v>
      </c>
      <c r="K29" s="263"/>
      <c r="L29" s="264"/>
      <c r="M29" s="295"/>
      <c r="N29" s="295"/>
      <c r="O29" s="295"/>
      <c r="P29" s="295"/>
      <c r="Q29" s="295"/>
      <c r="R29" s="295">
        <v>230</v>
      </c>
      <c r="S29" s="153">
        <f t="shared" si="0"/>
        <v>230</v>
      </c>
      <c r="T29" s="153">
        <f t="shared" si="1"/>
        <v>0</v>
      </c>
      <c r="U29" s="151">
        <f>IF(J29=0,(S29+T29/EERR!$D$2/1.19),(S29+T29/EERR!$D$2/1.19)/J29)</f>
        <v>230</v>
      </c>
      <c r="V29" s="153">
        <f>T29+S29*EERR!$D$2</f>
        <v>153502</v>
      </c>
      <c r="W29" s="148">
        <f ca="1">SUMIF(Siteminder!$A$5:$L$164,Abr!G29,Siteminder!$P$5:$P$164)</f>
        <v>1</v>
      </c>
      <c r="X29" s="267">
        <f>SUMIF(Transbank!$A$2:$A$470,B29,Transbank!$L$2:$L$470)+SUMIF(Transbank!$A$2:$A$470,C29,Transbank!$L$2:$L$470)+SUMIF(Transbank!$A$2:$A$470,D29,Transbank!$L$2:$L$470)+(K29+O29)+(L29+P29)*EERR!$D$2</f>
        <v>153566.39999999999</v>
      </c>
      <c r="Y29" s="267">
        <f>X29/EERR!$D$2</f>
        <v>230.09649385675758</v>
      </c>
      <c r="Z29" s="277">
        <f t="shared" si="2"/>
        <v>64.399999999994179</v>
      </c>
    </row>
    <row r="30" spans="1:26" s="148" customFormat="1" ht="15" customHeight="1" x14ac:dyDescent="0.25">
      <c r="A30" s="260">
        <v>3892</v>
      </c>
      <c r="B30" s="297">
        <v>1206</v>
      </c>
      <c r="C30" s="297"/>
      <c r="D30" s="297"/>
      <c r="E30" s="261" t="s">
        <v>888</v>
      </c>
      <c r="F30" s="261" t="s">
        <v>247</v>
      </c>
      <c r="G30" s="261">
        <v>3575592283</v>
      </c>
      <c r="H30" s="262">
        <v>43573</v>
      </c>
      <c r="I30" s="262">
        <v>43574</v>
      </c>
      <c r="J30" s="261">
        <v>1</v>
      </c>
      <c r="K30" s="263"/>
      <c r="L30" s="264"/>
      <c r="M30" s="295"/>
      <c r="N30" s="295"/>
      <c r="O30" s="295"/>
      <c r="P30" s="295"/>
      <c r="Q30" s="295"/>
      <c r="R30" s="295">
        <v>195</v>
      </c>
      <c r="S30" s="153">
        <f t="shared" si="0"/>
        <v>195</v>
      </c>
      <c r="T30" s="153">
        <f t="shared" si="1"/>
        <v>0</v>
      </c>
      <c r="U30" s="151">
        <f>IF(J30=0,(S30+T30/EERR!$D$2/1.19),(S30+T30/EERR!$D$2/1.19)/J30)</f>
        <v>195</v>
      </c>
      <c r="V30" s="153">
        <f>T30+S30*EERR!$D$2</f>
        <v>130143</v>
      </c>
      <c r="W30" s="148">
        <f ca="1">SUMIF(Siteminder!$A$5:$L$164,Abr!G30,Siteminder!$P$5:$P$164)</f>
        <v>1</v>
      </c>
      <c r="X30" s="267">
        <f>SUMIF(Transbank!$A$2:$A$470,B30,Transbank!$L$2:$L$470)+SUMIF(Transbank!$A$2:$A$470,C30,Transbank!$L$2:$L$470)+SUMIF(Transbank!$A$2:$A$470,D30,Transbank!$L$2:$L$470)+(K30+O30)+(L30+P30)*EERR!$D$2</f>
        <v>130197.59999999999</v>
      </c>
      <c r="Y30" s="267">
        <f>X30/EERR!$D$2</f>
        <v>195.08181000899012</v>
      </c>
      <c r="Z30" s="277">
        <f t="shared" si="2"/>
        <v>54.599999999991269</v>
      </c>
    </row>
    <row r="31" spans="1:26" s="148" customFormat="1" ht="15" customHeight="1" x14ac:dyDescent="0.25">
      <c r="A31" s="260">
        <v>94478</v>
      </c>
      <c r="B31" s="297">
        <v>1133</v>
      </c>
      <c r="C31" s="297">
        <v>1268</v>
      </c>
      <c r="D31" s="297"/>
      <c r="E31" s="261" t="s">
        <v>889</v>
      </c>
      <c r="F31" s="261" t="s">
        <v>247</v>
      </c>
      <c r="G31" s="261">
        <v>1172194478</v>
      </c>
      <c r="H31" s="262">
        <v>43573</v>
      </c>
      <c r="I31" s="262">
        <v>43577</v>
      </c>
      <c r="J31" s="261">
        <v>4</v>
      </c>
      <c r="K31" s="263"/>
      <c r="L31" s="264"/>
      <c r="M31" s="295">
        <v>483753</v>
      </c>
      <c r="N31" s="295"/>
      <c r="O31" s="295"/>
      <c r="P31" s="295"/>
      <c r="Q31" s="295">
        <v>154777</v>
      </c>
      <c r="R31" s="295"/>
      <c r="S31" s="153">
        <f t="shared" si="0"/>
        <v>0</v>
      </c>
      <c r="T31" s="153">
        <f t="shared" si="1"/>
        <v>638530</v>
      </c>
      <c r="U31" s="151">
        <f>IF(J31=0,(S31+T31/EERR!$D$2/1.19),(S31+T31/EERR!$D$2/1.19)/J31)</f>
        <v>200.99634099969029</v>
      </c>
      <c r="V31" s="153">
        <f>T31+S31*EERR!$D$2</f>
        <v>638530</v>
      </c>
      <c r="W31" s="148">
        <f ca="1">SUMIF(Siteminder!$A$5:$L$164,Abr!G31,Siteminder!$P$5:$P$164)</f>
        <v>4</v>
      </c>
      <c r="X31" s="267">
        <f>SUMIF(Transbank!$A$2:$A$470,B31,Transbank!$L$2:$L$470)+SUMIF(Transbank!$A$2:$A$470,C31,Transbank!$L$2:$L$470)+SUMIF(Transbank!$A$2:$A$470,D31,Transbank!$L$2:$L$470)+(K31+O31)+(L31+P31)*EERR!$D$2</f>
        <v>638530</v>
      </c>
      <c r="Y31" s="267">
        <f>X31/EERR!$D$2</f>
        <v>956.74258315852569</v>
      </c>
      <c r="Z31" s="277">
        <f t="shared" si="2"/>
        <v>0</v>
      </c>
    </row>
    <row r="32" spans="1:26" s="148" customFormat="1" ht="15" customHeight="1" x14ac:dyDescent="0.25">
      <c r="A32" s="260">
        <v>78148</v>
      </c>
      <c r="B32" s="297">
        <v>1143</v>
      </c>
      <c r="C32" s="297"/>
      <c r="D32" s="297"/>
      <c r="E32" s="261" t="s">
        <v>890</v>
      </c>
      <c r="F32" s="261" t="s">
        <v>247</v>
      </c>
      <c r="G32" s="261">
        <v>1968278148</v>
      </c>
      <c r="H32" s="262">
        <v>43573</v>
      </c>
      <c r="I32" s="262">
        <v>43574</v>
      </c>
      <c r="J32" s="261">
        <v>1</v>
      </c>
      <c r="K32" s="263"/>
      <c r="L32" s="264"/>
      <c r="M32" s="263"/>
      <c r="N32" s="263"/>
      <c r="O32" s="263"/>
      <c r="P32" s="263"/>
      <c r="Q32" s="263">
        <v>182010</v>
      </c>
      <c r="R32" s="263"/>
      <c r="S32" s="153">
        <f t="shared" si="0"/>
        <v>0</v>
      </c>
      <c r="T32" s="153">
        <f t="shared" si="1"/>
        <v>182010</v>
      </c>
      <c r="U32" s="151">
        <f>IF(J32=0,(S32+T32/EERR!$D$2/1.19),(S32+T32/EERR!$D$2/1.19)/J32)</f>
        <v>229.17228023963557</v>
      </c>
      <c r="V32" s="153">
        <f>T32+S32*EERR!$D$2</f>
        <v>182010</v>
      </c>
      <c r="W32" s="148">
        <f ca="1">SUMIF(Siteminder!$A$5:$L$164,Abr!G32,Siteminder!$P$5:$P$164)</f>
        <v>1</v>
      </c>
      <c r="X32" s="267">
        <f>SUMIF(Transbank!$A$2:$A$470,B32,Transbank!$L$2:$L$470)+SUMIF(Transbank!$A$2:$A$470,C32,Transbank!$L$2:$L$470)+SUMIF(Transbank!$A$2:$A$470,D32,Transbank!$L$2:$L$470)+(K32+O32)+(L32+P32)*EERR!$D$2</f>
        <v>182010</v>
      </c>
      <c r="Y32" s="267">
        <f>X32/EERR!$D$2</f>
        <v>272.71501348516631</v>
      </c>
      <c r="Z32" s="277">
        <f t="shared" si="2"/>
        <v>0</v>
      </c>
    </row>
    <row r="33" spans="1:26" s="148" customFormat="1" ht="15" customHeight="1" x14ac:dyDescent="0.25">
      <c r="A33" s="260">
        <v>63617</v>
      </c>
      <c r="B33" s="297">
        <v>1181</v>
      </c>
      <c r="C33" s="297"/>
      <c r="D33" s="297"/>
      <c r="E33" s="261" t="s">
        <v>891</v>
      </c>
      <c r="F33" s="261" t="s">
        <v>247</v>
      </c>
      <c r="G33" s="261">
        <v>2915563617</v>
      </c>
      <c r="H33" s="262">
        <v>43573</v>
      </c>
      <c r="I33" s="262">
        <v>43574</v>
      </c>
      <c r="J33" s="261">
        <v>1</v>
      </c>
      <c r="K33" s="263"/>
      <c r="L33" s="264"/>
      <c r="M33" s="263"/>
      <c r="N33" s="263"/>
      <c r="O33" s="263"/>
      <c r="P33" s="263"/>
      <c r="Q33" s="263">
        <v>158722</v>
      </c>
      <c r="R33" s="263"/>
      <c r="S33" s="153">
        <f t="shared" si="0"/>
        <v>0</v>
      </c>
      <c r="T33" s="153">
        <f t="shared" si="1"/>
        <v>158722</v>
      </c>
      <c r="U33" s="151">
        <f>IF(J33=0,(S33+T33/EERR!$D$2/1.19),(S33+T33/EERR!$D$2/1.19)/J33)</f>
        <v>199.84991299486532</v>
      </c>
      <c r="V33" s="153">
        <f>T33+S33*EERR!$D$2</f>
        <v>158722</v>
      </c>
      <c r="W33" s="148">
        <f ca="1">SUMIF(Siteminder!$A$5:$L$164,Abr!G33,Siteminder!$P$5:$P$164)</f>
        <v>1</v>
      </c>
      <c r="X33" s="267">
        <f>SUMIF(Transbank!$A$2:$A$470,B33,Transbank!$L$2:$L$470)+SUMIF(Transbank!$A$2:$A$470,C33,Transbank!$L$2:$L$470)+SUMIF(Transbank!$A$2:$A$470,D33,Transbank!$L$2:$L$470)+(K33+O33)+(L33+P33)*EERR!$D$2</f>
        <v>158722</v>
      </c>
      <c r="Y33" s="267">
        <f>X33/EERR!$D$2</f>
        <v>237.82139646388973</v>
      </c>
      <c r="Z33" s="277">
        <f t="shared" si="2"/>
        <v>0</v>
      </c>
    </row>
    <row r="34" spans="1:26" s="148" customFormat="1" ht="15" customHeight="1" x14ac:dyDescent="0.25">
      <c r="A34" s="260">
        <v>3893</v>
      </c>
      <c r="B34" s="297">
        <v>1250</v>
      </c>
      <c r="C34" s="297">
        <v>1271</v>
      </c>
      <c r="D34" s="297"/>
      <c r="E34" s="261" t="s">
        <v>892</v>
      </c>
      <c r="F34" s="261" t="s">
        <v>247</v>
      </c>
      <c r="G34" s="261">
        <v>3202722294</v>
      </c>
      <c r="H34" s="262">
        <v>43574</v>
      </c>
      <c r="I34" s="262">
        <v>43576</v>
      </c>
      <c r="J34" s="261">
        <v>2</v>
      </c>
      <c r="K34" s="263"/>
      <c r="L34" s="264"/>
      <c r="M34" s="295"/>
      <c r="N34" s="295">
        <v>205</v>
      </c>
      <c r="O34" s="295"/>
      <c r="P34" s="295"/>
      <c r="Q34" s="295"/>
      <c r="R34" s="295">
        <v>205</v>
      </c>
      <c r="S34" s="153">
        <f t="shared" si="0"/>
        <v>410</v>
      </c>
      <c r="T34" s="153">
        <f t="shared" si="1"/>
        <v>0</v>
      </c>
      <c r="U34" s="151">
        <f>IF(J34=0,(S34+T34/EERR!$D$2/1.19),(S34+T34/EERR!$D$2/1.19)/J34)</f>
        <v>205</v>
      </c>
      <c r="V34" s="153">
        <f>T34+S34*EERR!$D$2</f>
        <v>273634</v>
      </c>
      <c r="W34" s="148">
        <f ca="1">SUMIF(Siteminder!$A$5:$L$164,Abr!G34,Siteminder!$P$5:$P$164)</f>
        <v>2</v>
      </c>
      <c r="X34" s="267">
        <f>SUMIF(Transbank!$A$2:$A$470,B34,Transbank!$L$2:$L$470)+SUMIF(Transbank!$A$2:$A$470,C34,Transbank!$L$2:$L$470)+SUMIF(Transbank!$A$2:$A$470,D34,Transbank!$L$2:$L$470)+(K34+O34)+(L34+P34)*EERR!$D$2</f>
        <v>273634</v>
      </c>
      <c r="Y34" s="267">
        <f>X34/EERR!$D$2</f>
        <v>410</v>
      </c>
      <c r="Z34" s="277">
        <f t="shared" si="2"/>
        <v>0</v>
      </c>
    </row>
    <row r="35" spans="1:26" s="148" customFormat="1" ht="15" customHeight="1" x14ac:dyDescent="0.25">
      <c r="A35" s="260">
        <v>3894</v>
      </c>
      <c r="B35" s="297">
        <v>1151</v>
      </c>
      <c r="C35" s="297"/>
      <c r="D35" s="297"/>
      <c r="E35" s="261" t="s">
        <v>885</v>
      </c>
      <c r="F35" s="261" t="s">
        <v>247</v>
      </c>
      <c r="G35" s="261">
        <v>1541048765</v>
      </c>
      <c r="H35" s="262">
        <v>43574</v>
      </c>
      <c r="I35" s="262">
        <v>43575</v>
      </c>
      <c r="J35" s="261">
        <v>1</v>
      </c>
      <c r="K35" s="263"/>
      <c r="L35" s="264"/>
      <c r="M35" s="295"/>
      <c r="N35" s="295"/>
      <c r="O35" s="295"/>
      <c r="P35" s="295"/>
      <c r="Q35" s="295"/>
      <c r="R35" s="295">
        <v>230</v>
      </c>
      <c r="S35" s="153">
        <f t="shared" si="0"/>
        <v>230</v>
      </c>
      <c r="T35" s="153">
        <f t="shared" si="1"/>
        <v>0</v>
      </c>
      <c r="U35" s="151">
        <f>IF(J35=0,(S35+T35/EERR!$D$2/1.19),(S35+T35/EERR!$D$2/1.19)/J35)</f>
        <v>230</v>
      </c>
      <c r="V35" s="153">
        <f>T35+S35*EERR!$D$2</f>
        <v>153502</v>
      </c>
      <c r="W35" s="148">
        <f ca="1">SUMIF(Siteminder!$A$5:$L$164,Abr!G35,Siteminder!$P$5:$P$164)</f>
        <v>1</v>
      </c>
      <c r="X35" s="267">
        <f>SUMIF(Transbank!$A$2:$A$470,B35,Transbank!$L$2:$L$470)+SUMIF(Transbank!$A$2:$A$470,C35,Transbank!$L$2:$L$470)+SUMIF(Transbank!$A$2:$A$470,D35,Transbank!$L$2:$L$470)+(K35+O35)+(L35+P35)*EERR!$D$2</f>
        <v>153566.39999999999</v>
      </c>
      <c r="Y35" s="267">
        <f>X35/EERR!$D$2</f>
        <v>230.09649385675758</v>
      </c>
      <c r="Z35" s="277">
        <f t="shared" si="2"/>
        <v>64.399999999994179</v>
      </c>
    </row>
    <row r="36" spans="1:26" s="148" customFormat="1" ht="15" customHeight="1" x14ac:dyDescent="0.25">
      <c r="A36" s="260">
        <v>3895</v>
      </c>
      <c r="B36" s="297">
        <v>1150</v>
      </c>
      <c r="C36" s="297">
        <v>1274</v>
      </c>
      <c r="D36" s="297"/>
      <c r="E36" s="261" t="s">
        <v>893</v>
      </c>
      <c r="F36" s="261" t="s">
        <v>247</v>
      </c>
      <c r="G36" s="261">
        <v>2064650736</v>
      </c>
      <c r="H36" s="262">
        <v>43574</v>
      </c>
      <c r="I36" s="262">
        <v>43578</v>
      </c>
      <c r="J36" s="261">
        <v>4</v>
      </c>
      <c r="K36" s="263"/>
      <c r="L36" s="264"/>
      <c r="M36" s="295"/>
      <c r="N36" s="295">
        <v>665</v>
      </c>
      <c r="O36" s="295"/>
      <c r="P36" s="295"/>
      <c r="Q36" s="295"/>
      <c r="R36" s="295">
        <v>230</v>
      </c>
      <c r="S36" s="153">
        <f t="shared" si="0"/>
        <v>895</v>
      </c>
      <c r="T36" s="153">
        <f t="shared" si="1"/>
        <v>0</v>
      </c>
      <c r="U36" s="151">
        <f>IF(J36=0,(S36+T36/EERR!$D$2/1.19),(S36+T36/EERR!$D$2/1.19)/J36)</f>
        <v>223.75</v>
      </c>
      <c r="V36" s="153">
        <f>T36+S36*EERR!$D$2</f>
        <v>597323</v>
      </c>
      <c r="W36" s="148">
        <f ca="1">SUMIF(Siteminder!$A$5:$L$164,Abr!G36,Siteminder!$P$5:$P$164)</f>
        <v>4</v>
      </c>
      <c r="X36" s="267">
        <f>SUMIF(Transbank!$A$2:$A$470,B36,Transbank!$L$2:$L$470)+SUMIF(Transbank!$A$2:$A$470,C36,Transbank!$L$2:$L$470)+SUMIF(Transbank!$A$2:$A$470,D36,Transbank!$L$2:$L$470)+(K36+O36)+(L36+P36)*EERR!$D$2</f>
        <v>597387.4</v>
      </c>
      <c r="Y36" s="267">
        <f>X36/EERR!$D$2</f>
        <v>895.09649385675766</v>
      </c>
      <c r="Z36" s="277">
        <f t="shared" si="2"/>
        <v>64.400000000023283</v>
      </c>
    </row>
    <row r="37" spans="1:26" s="148" customFormat="1" ht="15" customHeight="1" x14ac:dyDescent="0.25">
      <c r="A37" s="260">
        <v>55035</v>
      </c>
      <c r="B37" s="297">
        <v>1149</v>
      </c>
      <c r="C37" s="297">
        <v>1276</v>
      </c>
      <c r="D37" s="297"/>
      <c r="E37" s="261" t="s">
        <v>894</v>
      </c>
      <c r="F37" s="261" t="s">
        <v>247</v>
      </c>
      <c r="G37" s="261">
        <v>1839255035</v>
      </c>
      <c r="H37" s="262">
        <v>43574</v>
      </c>
      <c r="I37" s="262">
        <v>43576</v>
      </c>
      <c r="J37" s="261">
        <v>2</v>
      </c>
      <c r="K37" s="263"/>
      <c r="L37" s="264"/>
      <c r="M37" s="263">
        <v>180916</v>
      </c>
      <c r="N37" s="263"/>
      <c r="O37" s="263"/>
      <c r="P37" s="263"/>
      <c r="Q37" s="263">
        <v>182284</v>
      </c>
      <c r="R37" s="263"/>
      <c r="S37" s="153">
        <f t="shared" si="0"/>
        <v>0</v>
      </c>
      <c r="T37" s="153">
        <f t="shared" si="1"/>
        <v>363200</v>
      </c>
      <c r="U37" s="151">
        <f>IF(J37=0,(S37+T37/EERR!$D$2/1.19),(S37+T37/EERR!$D$2/1.19)/J37)</f>
        <v>228.65604137969245</v>
      </c>
      <c r="V37" s="153">
        <f>T37+S37*EERR!$D$2</f>
        <v>363200</v>
      </c>
      <c r="W37" s="148">
        <f ca="1">SUMIF(Siteminder!$A$5:$L$164,Abr!G37,Siteminder!$P$5:$P$164)</f>
        <v>2</v>
      </c>
      <c r="X37" s="267">
        <f>SUMIF(Transbank!$A$2:$A$470,B37,Transbank!$L$2:$L$470)+SUMIF(Transbank!$A$2:$A$470,C37,Transbank!$L$2:$L$470)+SUMIF(Transbank!$A$2:$A$470,D37,Transbank!$L$2:$L$470)+(K37+O37)+(L37+P37)*EERR!$D$2</f>
        <v>363200</v>
      </c>
      <c r="Y37" s="267">
        <f>X37/EERR!$D$2</f>
        <v>544.20137848366801</v>
      </c>
      <c r="Z37" s="277">
        <f t="shared" si="2"/>
        <v>0</v>
      </c>
    </row>
    <row r="38" spans="1:26" s="148" customFormat="1" ht="15" customHeight="1" x14ac:dyDescent="0.25">
      <c r="A38" s="260">
        <v>89075</v>
      </c>
      <c r="B38" s="297">
        <v>1273</v>
      </c>
      <c r="C38" s="297"/>
      <c r="D38" s="297"/>
      <c r="E38" s="261" t="s">
        <v>895</v>
      </c>
      <c r="F38" s="261" t="s">
        <v>247</v>
      </c>
      <c r="G38" s="261">
        <v>3234789075</v>
      </c>
      <c r="H38" s="262">
        <v>43574</v>
      </c>
      <c r="I38" s="262">
        <v>43576</v>
      </c>
      <c r="J38" s="261">
        <v>2</v>
      </c>
      <c r="K38" s="263"/>
      <c r="L38" s="264"/>
      <c r="M38" s="263">
        <v>161251</v>
      </c>
      <c r="N38" s="263"/>
      <c r="O38" s="263">
        <v>161983</v>
      </c>
      <c r="P38" s="263"/>
      <c r="Q38" s="263"/>
      <c r="R38" s="263"/>
      <c r="S38" s="153">
        <f t="shared" si="0"/>
        <v>0</v>
      </c>
      <c r="T38" s="153">
        <f t="shared" si="1"/>
        <v>323234</v>
      </c>
      <c r="U38" s="151">
        <f>IF(J38=0,(S38+T38/EERR!$D$2/1.19),(S38+T38/EERR!$D$2/1.19)/J38)</f>
        <v>203.49506299373212</v>
      </c>
      <c r="V38" s="153">
        <f>T38+S38*EERR!$D$2</f>
        <v>323234</v>
      </c>
      <c r="W38" s="148">
        <f ca="1">SUMIF(Siteminder!$A$5:$L$164,Abr!G38,Siteminder!$P$5:$P$164)</f>
        <v>2</v>
      </c>
      <c r="X38" s="267">
        <f>SUMIF(Transbank!$A$2:$A$470,B38,Transbank!$L$2:$L$470)+SUMIF(Transbank!$A$2:$A$470,C38,Transbank!$L$2:$L$470)+SUMIF(Transbank!$A$2:$A$470,D38,Transbank!$L$2:$L$470)+(K38+O38)+(L38+P38)*EERR!$D$2</f>
        <v>323234</v>
      </c>
      <c r="Y38" s="267">
        <f>X38/EERR!$D$2</f>
        <v>484.3182499250824</v>
      </c>
      <c r="Z38" s="277">
        <f t="shared" si="2"/>
        <v>0</v>
      </c>
    </row>
    <row r="39" spans="1:26" s="148" customFormat="1" ht="15" customHeight="1" x14ac:dyDescent="0.25">
      <c r="A39" s="260">
        <v>3896</v>
      </c>
      <c r="B39" s="297">
        <v>1272</v>
      </c>
      <c r="C39" s="297"/>
      <c r="D39" s="297"/>
      <c r="E39" s="261" t="s">
        <v>896</v>
      </c>
      <c r="F39" s="261" t="s">
        <v>247</v>
      </c>
      <c r="G39" s="261">
        <v>3287497727</v>
      </c>
      <c r="H39" s="262">
        <v>43575</v>
      </c>
      <c r="I39" s="262">
        <v>43576</v>
      </c>
      <c r="J39" s="261">
        <v>1</v>
      </c>
      <c r="K39" s="263"/>
      <c r="L39" s="264"/>
      <c r="M39" s="263"/>
      <c r="N39" s="263"/>
      <c r="O39" s="263"/>
      <c r="P39" s="263"/>
      <c r="Q39" s="263"/>
      <c r="R39" s="263">
        <v>205</v>
      </c>
      <c r="S39" s="153">
        <f t="shared" si="0"/>
        <v>205</v>
      </c>
      <c r="T39" s="153">
        <f t="shared" si="1"/>
        <v>0</v>
      </c>
      <c r="U39" s="151">
        <f>IF(J39=0,(S39+T39/EERR!$D$2/1.19),(S39+T39/EERR!$D$2/1.19)/J39)</f>
        <v>205</v>
      </c>
      <c r="V39" s="153">
        <f>T39+S39*EERR!$D$2</f>
        <v>136817</v>
      </c>
      <c r="W39" s="148">
        <f ca="1">SUMIF(Siteminder!$A$5:$L$164,Abr!G39,Siteminder!$P$5:$P$164)</f>
        <v>1</v>
      </c>
      <c r="X39" s="267">
        <f>SUMIF(Transbank!$A$2:$A$470,B39,Transbank!$L$2:$L$470)+SUMIF(Transbank!$A$2:$A$470,C39,Transbank!$L$2:$L$470)+SUMIF(Transbank!$A$2:$A$470,D39,Transbank!$L$2:$L$470)+(K39+O39)+(L39+P39)*EERR!$D$2</f>
        <v>136817</v>
      </c>
      <c r="Y39" s="267">
        <f>X39/EERR!$D$2</f>
        <v>205</v>
      </c>
      <c r="Z39" s="277">
        <f t="shared" si="2"/>
        <v>0</v>
      </c>
    </row>
    <row r="40" spans="1:26" s="148" customFormat="1" ht="15" customHeight="1" x14ac:dyDescent="0.25">
      <c r="A40" s="260">
        <v>3897</v>
      </c>
      <c r="B40" s="297">
        <v>1155</v>
      </c>
      <c r="C40" s="297">
        <v>1275</v>
      </c>
      <c r="D40" s="297"/>
      <c r="E40" s="261" t="s">
        <v>897</v>
      </c>
      <c r="F40" s="261" t="s">
        <v>247</v>
      </c>
      <c r="G40" s="261">
        <v>1887786589</v>
      </c>
      <c r="H40" s="262">
        <v>43575</v>
      </c>
      <c r="I40" s="262">
        <v>43580</v>
      </c>
      <c r="J40" s="261">
        <v>5</v>
      </c>
      <c r="K40" s="263"/>
      <c r="L40" s="264"/>
      <c r="M40" s="263"/>
      <c r="N40" s="263">
        <v>845</v>
      </c>
      <c r="O40" s="263"/>
      <c r="P40" s="263"/>
      <c r="Q40" s="263"/>
      <c r="R40" s="263">
        <v>230</v>
      </c>
      <c r="S40" s="153">
        <f t="shared" si="0"/>
        <v>1075</v>
      </c>
      <c r="T40" s="153">
        <f t="shared" si="1"/>
        <v>0</v>
      </c>
      <c r="U40" s="151">
        <f>IF(J40=0,(S40+T40/EERR!$D$2/1.19),(S40+T40/EERR!$D$2/1.19)/J40)</f>
        <v>215</v>
      </c>
      <c r="V40" s="153">
        <f>T40+S40*EERR!$D$2</f>
        <v>717455</v>
      </c>
      <c r="W40" s="148">
        <f ca="1">SUMIF(Siteminder!$A$5:$L$164,Abr!G40,Siteminder!$P$5:$P$164)</f>
        <v>5</v>
      </c>
      <c r="X40" s="267">
        <f>SUMIF(Transbank!$A$2:$A$470,B40,Transbank!$L$2:$L$470)+SUMIF(Transbank!$A$2:$A$470,C40,Transbank!$L$2:$L$470)+SUMIF(Transbank!$A$2:$A$470,D40,Transbank!$L$2:$L$470)+(K40+O40)+(L40+P40)*EERR!$D$2</f>
        <v>717519.4</v>
      </c>
      <c r="Y40" s="267">
        <f>X40/EERR!$D$2</f>
        <v>1075.0964938567577</v>
      </c>
      <c r="Z40" s="277">
        <f t="shared" si="2"/>
        <v>64.400000000023283</v>
      </c>
    </row>
    <row r="41" spans="1:26" s="148" customFormat="1" ht="15" customHeight="1" x14ac:dyDescent="0.25">
      <c r="A41" s="260">
        <v>3898</v>
      </c>
      <c r="B41" s="297">
        <v>1156</v>
      </c>
      <c r="C41" s="297"/>
      <c r="D41" s="297"/>
      <c r="E41" s="261" t="s">
        <v>898</v>
      </c>
      <c r="F41" s="261" t="s">
        <v>247</v>
      </c>
      <c r="G41" s="261">
        <v>1969084976</v>
      </c>
      <c r="H41" s="262">
        <v>43575</v>
      </c>
      <c r="I41" s="262">
        <v>43579</v>
      </c>
      <c r="J41" s="261">
        <v>4</v>
      </c>
      <c r="K41" s="263"/>
      <c r="L41" s="264">
        <v>615</v>
      </c>
      <c r="M41" s="263"/>
      <c r="N41" s="263"/>
      <c r="O41" s="263"/>
      <c r="P41" s="263"/>
      <c r="Q41" s="263"/>
      <c r="R41" s="263">
        <v>205</v>
      </c>
      <c r="S41" s="153">
        <f t="shared" si="0"/>
        <v>820</v>
      </c>
      <c r="T41" s="153">
        <f t="shared" si="1"/>
        <v>0</v>
      </c>
      <c r="U41" s="151">
        <f>IF(J41=0,(S41+T41/EERR!$D$2/1.19),(S41+T41/EERR!$D$2/1.19)/J41)</f>
        <v>205</v>
      </c>
      <c r="V41" s="153">
        <f>T41+S41*EERR!$D$2</f>
        <v>547268</v>
      </c>
      <c r="W41" s="148">
        <f ca="1">SUMIF(Siteminder!$A$5:$L$164,Abr!G41,Siteminder!$P$5:$P$164)</f>
        <v>4</v>
      </c>
      <c r="X41" s="267">
        <f>SUMIF(Transbank!$A$2:$A$470,B41,Transbank!$L$2:$L$470)+SUMIF(Transbank!$A$2:$A$470,C41,Transbank!$L$2:$L$470)+SUMIF(Transbank!$A$2:$A$470,D41,Transbank!$L$2:$L$470)+(K41+O41)+(L41+P41)*EERR!$D$2</f>
        <v>547325.4</v>
      </c>
      <c r="Y41" s="267">
        <f>X41/EERR!$D$2</f>
        <v>820.08600539406655</v>
      </c>
      <c r="Z41" s="277">
        <f t="shared" si="2"/>
        <v>57.400000000023283</v>
      </c>
    </row>
    <row r="42" spans="1:26" s="148" customFormat="1" ht="15" customHeight="1" x14ac:dyDescent="0.25">
      <c r="A42" s="260">
        <v>3899</v>
      </c>
      <c r="B42" s="297">
        <v>1158</v>
      </c>
      <c r="C42" s="297">
        <v>1278</v>
      </c>
      <c r="D42" s="297"/>
      <c r="E42" s="261" t="s">
        <v>899</v>
      </c>
      <c r="F42" s="261" t="s">
        <v>247</v>
      </c>
      <c r="G42" s="261">
        <v>1990945159</v>
      </c>
      <c r="H42" s="262">
        <v>43576</v>
      </c>
      <c r="I42" s="262">
        <v>43579</v>
      </c>
      <c r="J42" s="261">
        <v>3</v>
      </c>
      <c r="K42" s="263"/>
      <c r="L42" s="264"/>
      <c r="M42" s="263"/>
      <c r="N42" s="263">
        <v>410</v>
      </c>
      <c r="O42" s="263"/>
      <c r="P42" s="263"/>
      <c r="Q42" s="263"/>
      <c r="R42" s="263">
        <v>230</v>
      </c>
      <c r="S42" s="153">
        <f t="shared" si="0"/>
        <v>640</v>
      </c>
      <c r="T42" s="153">
        <f t="shared" si="1"/>
        <v>0</v>
      </c>
      <c r="U42" s="151">
        <f>IF(J42=0,(S42+T42/EERR!$D$2/1.19),(S42+T42/EERR!$D$2/1.19)/J42)</f>
        <v>213.33333333333334</v>
      </c>
      <c r="V42" s="153">
        <f>T42+S42*EERR!$D$2</f>
        <v>427136</v>
      </c>
      <c r="W42" s="148">
        <f ca="1">SUMIF(Siteminder!$A$5:$L$164,Abr!G42,Siteminder!$P$5:$P$164)</f>
        <v>3</v>
      </c>
      <c r="X42" s="267">
        <f>SUMIF(Transbank!$A$2:$A$470,B42,Transbank!$L$2:$L$470)+SUMIF(Transbank!$A$2:$A$470,C42,Transbank!$L$2:$L$470)+SUMIF(Transbank!$A$2:$A$470,D42,Transbank!$L$2:$L$470)+(K42+O42)+(L42+P42)*EERR!$D$2</f>
        <v>427200.4</v>
      </c>
      <c r="Y42" s="267">
        <f>X42/EERR!$D$2</f>
        <v>640.09649385675766</v>
      </c>
      <c r="Z42" s="277">
        <f t="shared" si="2"/>
        <v>64.400000000023283</v>
      </c>
    </row>
    <row r="43" spans="1:26" s="148" customFormat="1" ht="15" customHeight="1" x14ac:dyDescent="0.25">
      <c r="A43" s="260">
        <v>3900</v>
      </c>
      <c r="B43" s="297">
        <v>1157</v>
      </c>
      <c r="C43" s="297">
        <v>1287</v>
      </c>
      <c r="D43" s="297"/>
      <c r="E43" s="261" t="s">
        <v>900</v>
      </c>
      <c r="F43" s="261" t="s">
        <v>247</v>
      </c>
      <c r="G43" s="261">
        <v>1886830310</v>
      </c>
      <c r="H43" s="262">
        <v>43576</v>
      </c>
      <c r="I43" s="262">
        <v>43578</v>
      </c>
      <c r="J43" s="261">
        <v>2</v>
      </c>
      <c r="K43" s="263"/>
      <c r="L43" s="264"/>
      <c r="M43" s="263"/>
      <c r="N43" s="263">
        <v>205</v>
      </c>
      <c r="O43" s="263"/>
      <c r="P43" s="263"/>
      <c r="Q43" s="263"/>
      <c r="R43" s="263">
        <v>230</v>
      </c>
      <c r="S43" s="153">
        <f t="shared" si="0"/>
        <v>435</v>
      </c>
      <c r="T43" s="153">
        <f t="shared" si="1"/>
        <v>0</v>
      </c>
      <c r="U43" s="151">
        <f>IF(J43=0,(S43+T43/EERR!$D$2/1.19),(S43+T43/EERR!$D$2/1.19)/J43)</f>
        <v>217.5</v>
      </c>
      <c r="V43" s="153">
        <f>T43+S43*EERR!$D$2</f>
        <v>290319</v>
      </c>
      <c r="W43" s="148">
        <f ca="1">SUMIF(Siteminder!$A$5:$L$164,Abr!G43,Siteminder!$P$5:$P$164)</f>
        <v>2</v>
      </c>
      <c r="X43" s="267">
        <f>SUMIF(Transbank!$A$2:$A$470,B43,Transbank!$L$2:$L$470)+SUMIF(Transbank!$A$2:$A$470,C43,Transbank!$L$2:$L$470)+SUMIF(Transbank!$A$2:$A$470,D43,Transbank!$L$2:$L$470)+(K43+O43)+(L43+P43)*EERR!$D$2</f>
        <v>290383.40000000002</v>
      </c>
      <c r="Y43" s="267">
        <f>X43/EERR!$D$2</f>
        <v>435.0964938567576</v>
      </c>
      <c r="Z43" s="277">
        <f t="shared" si="2"/>
        <v>64.400000000023283</v>
      </c>
    </row>
    <row r="44" spans="1:26" s="148" customFormat="1" ht="15" customHeight="1" x14ac:dyDescent="0.25">
      <c r="A44" s="260">
        <v>3901</v>
      </c>
      <c r="B44" s="297">
        <v>1207</v>
      </c>
      <c r="C44" s="297"/>
      <c r="D44" s="297"/>
      <c r="E44" s="261" t="s">
        <v>901</v>
      </c>
      <c r="F44" s="261" t="s">
        <v>247</v>
      </c>
      <c r="G44" s="261">
        <v>3101031218</v>
      </c>
      <c r="H44" s="262">
        <v>43577</v>
      </c>
      <c r="I44" s="262">
        <v>43583</v>
      </c>
      <c r="J44" s="261">
        <v>6</v>
      </c>
      <c r="K44" s="263"/>
      <c r="L44" s="264">
        <v>995</v>
      </c>
      <c r="M44" s="263"/>
      <c r="N44" s="263"/>
      <c r="O44" s="263"/>
      <c r="P44" s="263"/>
      <c r="Q44" s="263"/>
      <c r="R44" s="263">
        <v>205</v>
      </c>
      <c r="S44" s="153">
        <f t="shared" si="0"/>
        <v>1200</v>
      </c>
      <c r="T44" s="153">
        <f t="shared" si="1"/>
        <v>0</v>
      </c>
      <c r="U44" s="151">
        <f>IF(J44=0,(S44+T44/EERR!$D$2/1.19),(S44+T44/EERR!$D$2/1.19)/J44)</f>
        <v>200</v>
      </c>
      <c r="V44" s="153">
        <f>T44+S44*EERR!$D$2</f>
        <v>800880</v>
      </c>
      <c r="W44" s="148">
        <f ca="1">SUMIF(Siteminder!$A$5:$L$164,Abr!G44,Siteminder!$P$5:$P$164)</f>
        <v>6</v>
      </c>
      <c r="X44" s="267">
        <f>SUMIF(Transbank!$A$2:$A$470,B44,Transbank!$L$2:$L$470)+SUMIF(Transbank!$A$2:$A$470,C44,Transbank!$L$2:$L$470)+SUMIF(Transbank!$A$2:$A$470,D44,Transbank!$L$2:$L$470)+(K44+O44)+(L44+P44)*EERR!$D$2</f>
        <v>800937.4</v>
      </c>
      <c r="Y44" s="267">
        <f>X44/EERR!$D$2</f>
        <v>1200.0860053940667</v>
      </c>
      <c r="Z44" s="277">
        <f t="shared" si="2"/>
        <v>57.400000000023283</v>
      </c>
    </row>
    <row r="45" spans="1:26" s="148" customFormat="1" ht="15" customHeight="1" x14ac:dyDescent="0.25">
      <c r="A45" s="260">
        <v>3902</v>
      </c>
      <c r="B45" s="297">
        <v>1170</v>
      </c>
      <c r="C45" s="297">
        <v>1289</v>
      </c>
      <c r="D45" s="297"/>
      <c r="E45" s="261" t="s">
        <v>902</v>
      </c>
      <c r="F45" s="261" t="s">
        <v>247</v>
      </c>
      <c r="G45" s="261">
        <v>1940484083</v>
      </c>
      <c r="H45" s="262">
        <v>43577</v>
      </c>
      <c r="I45" s="262">
        <v>43579</v>
      </c>
      <c r="J45" s="261">
        <v>2</v>
      </c>
      <c r="K45" s="263"/>
      <c r="L45" s="264"/>
      <c r="M45" s="263"/>
      <c r="N45" s="263">
        <v>205</v>
      </c>
      <c r="O45" s="263"/>
      <c r="P45" s="263"/>
      <c r="Q45" s="263"/>
      <c r="R45" s="263">
        <v>205</v>
      </c>
      <c r="S45" s="153">
        <f t="shared" si="0"/>
        <v>410</v>
      </c>
      <c r="T45" s="153">
        <f t="shared" si="1"/>
        <v>0</v>
      </c>
      <c r="U45" s="151">
        <f>IF(J45=0,(S45+T45/EERR!$D$2/1.19),(S45+T45/EERR!$D$2/1.19)/J45)</f>
        <v>205</v>
      </c>
      <c r="V45" s="153">
        <f>T45+S45*EERR!$D$2</f>
        <v>273634</v>
      </c>
      <c r="W45" s="148">
        <f ca="1">SUMIF(Siteminder!$A$5:$L$164,Abr!G45,Siteminder!$P$5:$P$164)</f>
        <v>2</v>
      </c>
      <c r="X45" s="267">
        <f>SUMIF(Transbank!$A$2:$A$470,B45,Transbank!$L$2:$L$470)+SUMIF(Transbank!$A$2:$A$470,C45,Transbank!$L$2:$L$470)+SUMIF(Transbank!$A$2:$A$470,D45,Transbank!$L$2:$L$470)+(K45+O45)+(L45+P45)*EERR!$D$2</f>
        <v>273691.40000000002</v>
      </c>
      <c r="Y45" s="267">
        <f>X45/EERR!$D$2</f>
        <v>410.0860053940666</v>
      </c>
      <c r="Z45" s="277">
        <f t="shared" si="2"/>
        <v>57.400000000023283</v>
      </c>
    </row>
    <row r="46" spans="1:26" s="148" customFormat="1" ht="15" customHeight="1" x14ac:dyDescent="0.25">
      <c r="A46" s="260">
        <v>3908</v>
      </c>
      <c r="B46" s="297">
        <v>1169</v>
      </c>
      <c r="C46" s="297">
        <v>1301</v>
      </c>
      <c r="D46" s="297"/>
      <c r="E46" s="261" t="s">
        <v>903</v>
      </c>
      <c r="F46" s="261" t="s">
        <v>247</v>
      </c>
      <c r="G46" s="261">
        <v>1390916112</v>
      </c>
      <c r="H46" s="262">
        <v>43577</v>
      </c>
      <c r="I46" s="262">
        <v>43580</v>
      </c>
      <c r="J46" s="261">
        <v>3</v>
      </c>
      <c r="K46" s="263"/>
      <c r="L46" s="264"/>
      <c r="M46" s="263"/>
      <c r="N46" s="263">
        <v>410</v>
      </c>
      <c r="O46" s="263"/>
      <c r="P46" s="263"/>
      <c r="Q46" s="263"/>
      <c r="R46" s="263">
        <v>205</v>
      </c>
      <c r="S46" s="153">
        <f t="shared" si="0"/>
        <v>615</v>
      </c>
      <c r="T46" s="153">
        <f t="shared" si="1"/>
        <v>0</v>
      </c>
      <c r="U46" s="151">
        <f>IF(J46=0,(S46+T46/EERR!$D$2/1.19),(S46+T46/EERR!$D$2/1.19)/J46)</f>
        <v>205</v>
      </c>
      <c r="V46" s="153">
        <f>T46+S46*EERR!$D$2</f>
        <v>410451</v>
      </c>
      <c r="W46" s="148">
        <f ca="1">SUMIF(Siteminder!$A$5:$L$164,Abr!G46,Siteminder!$P$5:$P$164)</f>
        <v>3</v>
      </c>
      <c r="X46" s="267">
        <f>SUMIF(Transbank!$A$2:$A$470,B46,Transbank!$L$2:$L$470)+SUMIF(Transbank!$A$2:$A$470,C46,Transbank!$L$2:$L$470)+SUMIF(Transbank!$A$2:$A$470,D46,Transbank!$L$2:$L$470)+(K46+O46)+(L46+P46)*EERR!$D$2</f>
        <v>410508.4</v>
      </c>
      <c r="Y46" s="267">
        <f>X46/EERR!$D$2</f>
        <v>615.08600539406655</v>
      </c>
      <c r="Z46" s="277">
        <f t="shared" si="2"/>
        <v>57.400000000023283</v>
      </c>
    </row>
    <row r="47" spans="1:26" s="148" customFormat="1" ht="15" customHeight="1" x14ac:dyDescent="0.25">
      <c r="A47" s="260">
        <v>3906</v>
      </c>
      <c r="B47" s="297">
        <v>1298</v>
      </c>
      <c r="C47" s="297"/>
      <c r="D47" s="297"/>
      <c r="E47" s="261" t="s">
        <v>904</v>
      </c>
      <c r="F47" s="261" t="s">
        <v>247</v>
      </c>
      <c r="G47" s="261">
        <v>3457815718</v>
      </c>
      <c r="H47" s="262">
        <v>43579</v>
      </c>
      <c r="I47" s="262">
        <v>43580</v>
      </c>
      <c r="J47" s="261">
        <v>1</v>
      </c>
      <c r="K47" s="263"/>
      <c r="L47" s="264"/>
      <c r="M47" s="263"/>
      <c r="N47" s="263"/>
      <c r="O47" s="263"/>
      <c r="P47" s="263"/>
      <c r="Q47" s="263"/>
      <c r="R47" s="263">
        <v>195</v>
      </c>
      <c r="S47" s="153">
        <f t="shared" si="0"/>
        <v>195</v>
      </c>
      <c r="T47" s="153">
        <f t="shared" si="1"/>
        <v>0</v>
      </c>
      <c r="U47" s="151">
        <f>IF(J47=0,(S47+T47/EERR!$D$2/1.19),(S47+T47/EERR!$D$2/1.19)/J47)</f>
        <v>195</v>
      </c>
      <c r="V47" s="153">
        <f>T47+S47*EERR!$D$2</f>
        <v>130143</v>
      </c>
      <c r="W47" s="148">
        <f ca="1">SUMIF(Siteminder!$A$5:$L$164,Abr!G47,Siteminder!$P$5:$P$164)</f>
        <v>1</v>
      </c>
      <c r="X47" s="267">
        <f>SUMIF(Transbank!$A$2:$A$470,B47,Transbank!$L$2:$L$470)+SUMIF(Transbank!$A$2:$A$470,C47,Transbank!$L$2:$L$470)+SUMIF(Transbank!$A$2:$A$470,D47,Transbank!$L$2:$L$470)+(K47+O47)+(L47+P47)*EERR!$D$2</f>
        <v>130143</v>
      </c>
      <c r="Y47" s="267">
        <f>X47/EERR!$D$2</f>
        <v>195</v>
      </c>
      <c r="Z47" s="277">
        <f t="shared" si="2"/>
        <v>0</v>
      </c>
    </row>
    <row r="48" spans="1:26" s="148" customFormat="1" ht="15" customHeight="1" x14ac:dyDescent="0.25">
      <c r="A48" s="260">
        <v>3909</v>
      </c>
      <c r="B48" s="297">
        <v>1254</v>
      </c>
      <c r="C48" s="297">
        <v>1305</v>
      </c>
      <c r="D48" s="297"/>
      <c r="E48" s="261" t="s">
        <v>905</v>
      </c>
      <c r="F48" s="261" t="s">
        <v>247</v>
      </c>
      <c r="G48" s="261">
        <v>3028648189</v>
      </c>
      <c r="H48" s="262">
        <v>43580</v>
      </c>
      <c r="I48" s="262">
        <v>43583</v>
      </c>
      <c r="J48" s="261">
        <v>3</v>
      </c>
      <c r="K48" s="263"/>
      <c r="L48" s="264"/>
      <c r="M48" s="263"/>
      <c r="N48" s="263">
        <v>400</v>
      </c>
      <c r="O48" s="263"/>
      <c r="P48" s="263"/>
      <c r="Q48" s="263"/>
      <c r="R48" s="263">
        <v>195</v>
      </c>
      <c r="S48" s="153">
        <f t="shared" si="0"/>
        <v>595</v>
      </c>
      <c r="T48" s="153">
        <f t="shared" si="1"/>
        <v>0</v>
      </c>
      <c r="U48" s="151">
        <f>IF(J48=0,(S48+T48/EERR!$D$2/1.19),(S48+T48/EERR!$D$2/1.19)/J48)</f>
        <v>198.33333333333334</v>
      </c>
      <c r="V48" s="153">
        <f>T48+S48*EERR!$D$2</f>
        <v>397103</v>
      </c>
      <c r="W48" s="148">
        <f ca="1">SUMIF(Siteminder!$A$5:$L$164,Abr!G48,Siteminder!$P$5:$P$164)</f>
        <v>3</v>
      </c>
      <c r="X48" s="267">
        <f>SUMIF(Transbank!$A$2:$A$470,B48,Transbank!$L$2:$L$470)+SUMIF(Transbank!$A$2:$A$470,C48,Transbank!$L$2:$L$470)+SUMIF(Transbank!$A$2:$A$470,D48,Transbank!$L$2:$L$470)+(K48+O48)+(L48+P48)*EERR!$D$2</f>
        <v>397103</v>
      </c>
      <c r="Y48" s="267">
        <f>X48/EERR!$D$2</f>
        <v>595</v>
      </c>
      <c r="Z48" s="277">
        <f t="shared" si="2"/>
        <v>0</v>
      </c>
    </row>
    <row r="49" spans="1:2047 2049:3072 3074:16384" s="148" customFormat="1" ht="15" customHeight="1" x14ac:dyDescent="0.25">
      <c r="A49" s="260">
        <v>3910</v>
      </c>
      <c r="B49" s="297">
        <v>1179</v>
      </c>
      <c r="C49" s="297">
        <v>1308</v>
      </c>
      <c r="D49" s="297"/>
      <c r="E49" s="261" t="s">
        <v>906</v>
      </c>
      <c r="F49" s="261" t="s">
        <v>247</v>
      </c>
      <c r="G49" s="261">
        <v>1156057268</v>
      </c>
      <c r="H49" s="262">
        <v>43580</v>
      </c>
      <c r="I49" s="262">
        <v>43582</v>
      </c>
      <c r="J49" s="261">
        <v>2</v>
      </c>
      <c r="K49" s="263"/>
      <c r="L49" s="264"/>
      <c r="M49" s="263"/>
      <c r="N49" s="263">
        <v>205</v>
      </c>
      <c r="O49" s="263"/>
      <c r="P49" s="263"/>
      <c r="Q49" s="263"/>
      <c r="R49" s="263">
        <v>205</v>
      </c>
      <c r="S49" s="153">
        <f t="shared" si="0"/>
        <v>410</v>
      </c>
      <c r="T49" s="153">
        <f t="shared" si="1"/>
        <v>0</v>
      </c>
      <c r="U49" s="151">
        <f>IF(J49=0,(S49+T49/EERR!$D$2/1.19),(S49+T49/EERR!$D$2/1.19)/J49)</f>
        <v>205</v>
      </c>
      <c r="V49" s="153">
        <f>T49+S49*EERR!$D$2</f>
        <v>273634</v>
      </c>
      <c r="W49" s="148">
        <f ca="1">SUMIF(Siteminder!$A$5:$L$164,Abr!G49,Siteminder!$P$5:$P$164)</f>
        <v>2</v>
      </c>
      <c r="X49" s="267">
        <f>SUMIF(Transbank!$A$2:$A$470,B49,Transbank!$L$2:$L$470)+SUMIF(Transbank!$A$2:$A$470,C49,Transbank!$L$2:$L$470)+SUMIF(Transbank!$A$2:$A$470,D49,Transbank!$L$2:$L$470)+(K49+O49)+(L49+P49)*EERR!$D$2</f>
        <v>273691.40000000002</v>
      </c>
      <c r="Y49" s="267">
        <f>X49/EERR!$D$2</f>
        <v>410.0860053940666</v>
      </c>
      <c r="Z49" s="277">
        <f t="shared" si="2"/>
        <v>57.400000000023283</v>
      </c>
    </row>
    <row r="50" spans="1:2047 2049:3072 3074:16384" s="148" customFormat="1" ht="15" customHeight="1" x14ac:dyDescent="0.25">
      <c r="A50" s="260">
        <v>3916</v>
      </c>
      <c r="B50" s="297">
        <v>1304</v>
      </c>
      <c r="C50" s="297">
        <v>1318</v>
      </c>
      <c r="D50" s="297"/>
      <c r="E50" s="261" t="s">
        <v>907</v>
      </c>
      <c r="F50" s="261" t="s">
        <v>247</v>
      </c>
      <c r="G50" s="261">
        <v>3115396816</v>
      </c>
      <c r="H50" s="262">
        <v>43580</v>
      </c>
      <c r="I50" s="262">
        <v>43583</v>
      </c>
      <c r="J50" s="261">
        <v>3</v>
      </c>
      <c r="K50" s="263"/>
      <c r="L50" s="264"/>
      <c r="M50" s="263"/>
      <c r="N50" s="263">
        <v>400</v>
      </c>
      <c r="O50" s="263"/>
      <c r="P50" s="263"/>
      <c r="Q50" s="263"/>
      <c r="R50" s="263">
        <v>195</v>
      </c>
      <c r="S50" s="153">
        <f t="shared" si="0"/>
        <v>595</v>
      </c>
      <c r="T50" s="153">
        <f t="shared" si="1"/>
        <v>0</v>
      </c>
      <c r="U50" s="151">
        <f>IF(J50=0,(S50+T50/EERR!$D$2/1.19),(S50+T50/EERR!$D$2/1.19)/J50)</f>
        <v>198.33333333333334</v>
      </c>
      <c r="V50" s="153">
        <f>T50+S50*EERR!$D$2</f>
        <v>397103</v>
      </c>
      <c r="W50" s="148">
        <f ca="1">SUMIF(Siteminder!$A$5:$L$164,Abr!G50,Siteminder!$P$5:$P$164)</f>
        <v>3</v>
      </c>
      <c r="X50" s="267">
        <f>SUMIF(Transbank!$A$2:$A$470,B50,Transbank!$L$2:$L$470)+SUMIF(Transbank!$A$2:$A$470,C50,Transbank!$L$2:$L$470)+SUMIF(Transbank!$A$2:$A$470,D50,Transbank!$L$2:$L$470)+(K50+O50)+(L50+P50)*EERR!$D$2</f>
        <v>397103</v>
      </c>
      <c r="Y50" s="267">
        <f>X50/EERR!$D$2</f>
        <v>595</v>
      </c>
      <c r="Z50" s="277">
        <f t="shared" si="2"/>
        <v>0</v>
      </c>
    </row>
    <row r="51" spans="1:2047 2049:3072 3074:16384" s="148" customFormat="1" ht="15" customHeight="1" x14ac:dyDescent="0.25">
      <c r="A51" s="260">
        <v>3911</v>
      </c>
      <c r="B51" s="297">
        <v>1208</v>
      </c>
      <c r="C51" s="297">
        <v>1310</v>
      </c>
      <c r="D51" s="297"/>
      <c r="E51" s="261" t="s">
        <v>908</v>
      </c>
      <c r="F51" s="261" t="s">
        <v>247</v>
      </c>
      <c r="G51" s="261">
        <v>3729391790</v>
      </c>
      <c r="H51" s="262">
        <v>43581</v>
      </c>
      <c r="I51" s="262">
        <v>43588</v>
      </c>
      <c r="J51" s="261">
        <v>7</v>
      </c>
      <c r="K51" s="263"/>
      <c r="L51" s="264"/>
      <c r="M51" s="263"/>
      <c r="N51" s="263">
        <v>1335</v>
      </c>
      <c r="O51" s="263"/>
      <c r="P51" s="263"/>
      <c r="Q51" s="263"/>
      <c r="R51" s="263">
        <v>195</v>
      </c>
      <c r="S51" s="153">
        <f t="shared" si="0"/>
        <v>1530</v>
      </c>
      <c r="T51" s="153">
        <f t="shared" si="1"/>
        <v>0</v>
      </c>
      <c r="U51" s="151">
        <f>IF(J51=0,(S51+T51/EERR!$D$2/1.19),(S51+T51/EERR!$D$2/1.19)/J51)</f>
        <v>218.57142857142858</v>
      </c>
      <c r="V51" s="153">
        <f>T51+S51*EERR!$D$2</f>
        <v>1021122</v>
      </c>
      <c r="W51" s="148">
        <f ca="1">SUMIF(Siteminder!$A$5:$L$164,Abr!G51,Siteminder!$P$5:$P$164)</f>
        <v>7</v>
      </c>
      <c r="X51" s="267">
        <f>SUMIF(Transbank!$A$2:$A$470,B51,Transbank!$L$2:$L$470)+SUMIF(Transbank!$A$2:$A$470,C51,Transbank!$L$2:$L$470)+SUMIF(Transbank!$A$2:$A$470,D51,Transbank!$L$2:$L$470)+(K51+O51)+(L51+P51)*EERR!$D$2</f>
        <v>1021176.6</v>
      </c>
      <c r="Y51" s="267">
        <f>X51/EERR!$D$2</f>
        <v>1530.08181000899</v>
      </c>
      <c r="Z51" s="277">
        <f t="shared" si="2"/>
        <v>54.599999999976717</v>
      </c>
    </row>
    <row r="52" spans="1:2047 2049:3072 3074:16384" s="148" customFormat="1" ht="15" customHeight="1" x14ac:dyDescent="0.25">
      <c r="A52" s="260">
        <v>3912</v>
      </c>
      <c r="B52" s="297">
        <v>1201</v>
      </c>
      <c r="C52" s="297">
        <v>1311</v>
      </c>
      <c r="D52" s="297"/>
      <c r="E52" s="261" t="s">
        <v>909</v>
      </c>
      <c r="F52" s="261" t="s">
        <v>247</v>
      </c>
      <c r="G52" s="261">
        <v>1425925700</v>
      </c>
      <c r="H52" s="262">
        <v>43582</v>
      </c>
      <c r="I52" s="262">
        <v>43588</v>
      </c>
      <c r="J52" s="261">
        <v>6</v>
      </c>
      <c r="K52" s="263"/>
      <c r="L52" s="264"/>
      <c r="M52" s="263"/>
      <c r="N52" s="263">
        <v>1025</v>
      </c>
      <c r="O52" s="263"/>
      <c r="P52" s="263"/>
      <c r="Q52" s="263"/>
      <c r="R52" s="263">
        <v>205</v>
      </c>
      <c r="S52" s="153">
        <f t="shared" si="0"/>
        <v>1230</v>
      </c>
      <c r="T52" s="153">
        <f t="shared" si="1"/>
        <v>0</v>
      </c>
      <c r="U52" s="151">
        <f>IF(J52=0,(S52+T52/EERR!$D$2/1.19),(S52+T52/EERR!$D$2/1.19)/J52)</f>
        <v>205</v>
      </c>
      <c r="V52" s="153">
        <f>T52+S52*EERR!$D$2</f>
        <v>820902</v>
      </c>
      <c r="W52" s="148">
        <f ca="1">SUMIF(Siteminder!$A$5:$L$164,Abr!G52,Siteminder!$P$5:$P$164)</f>
        <v>6</v>
      </c>
      <c r="X52" s="267">
        <f>SUMIF(Transbank!$A$2:$A$470,B52,Transbank!$L$2:$L$470)+SUMIF(Transbank!$A$2:$A$470,C52,Transbank!$L$2:$L$470)+SUMIF(Transbank!$A$2:$A$470,D52,Transbank!$L$2:$L$470)+(K52+O52)+(L52+P52)*EERR!$D$2</f>
        <v>820959.4</v>
      </c>
      <c r="Y52" s="267">
        <f>X52/EERR!$D$2</f>
        <v>1230.0860053940667</v>
      </c>
      <c r="Z52" s="277">
        <f t="shared" si="2"/>
        <v>57.400000000023283</v>
      </c>
    </row>
    <row r="53" spans="1:2047 2049:3072 3074:16384" s="148" customFormat="1" ht="15" customHeight="1" x14ac:dyDescent="0.25">
      <c r="A53" s="260">
        <v>3913</v>
      </c>
      <c r="B53" s="297">
        <v>1192</v>
      </c>
      <c r="C53" s="297">
        <v>1312</v>
      </c>
      <c r="D53" s="297"/>
      <c r="E53" s="261" t="s">
        <v>910</v>
      </c>
      <c r="F53" s="261" t="s">
        <v>247</v>
      </c>
      <c r="G53" s="261">
        <v>1975602711</v>
      </c>
      <c r="H53" s="262">
        <v>43582</v>
      </c>
      <c r="I53" s="262">
        <v>43587</v>
      </c>
      <c r="J53" s="261">
        <v>5</v>
      </c>
      <c r="K53" s="263"/>
      <c r="L53" s="264"/>
      <c r="M53" s="295"/>
      <c r="N53" s="295">
        <v>820</v>
      </c>
      <c r="O53" s="295"/>
      <c r="P53" s="295"/>
      <c r="Q53" s="295"/>
      <c r="R53" s="295">
        <v>205</v>
      </c>
      <c r="S53" s="153">
        <f t="shared" si="0"/>
        <v>1025</v>
      </c>
      <c r="T53" s="153">
        <f t="shared" si="1"/>
        <v>0</v>
      </c>
      <c r="U53" s="151">
        <f>IF(J53=0,(S53+T53/EERR!$D$2/1.19),(S53+T53/EERR!$D$2/1.19)/J53)</f>
        <v>205</v>
      </c>
      <c r="V53" s="153">
        <f>T53+S53*EERR!$D$2</f>
        <v>684085</v>
      </c>
      <c r="W53" s="148">
        <f ca="1">SUMIF(Siteminder!$A$5:$L$164,Abr!G53,Siteminder!$P$5:$P$164)</f>
        <v>5</v>
      </c>
      <c r="X53" s="267">
        <f>SUMIF(Transbank!$A$2:$A$470,B53,Transbank!$L$2:$L$470)+SUMIF(Transbank!$A$2:$A$470,C53,Transbank!$L$2:$L$470)+SUMIF(Transbank!$A$2:$A$470,D53,Transbank!$L$2:$L$470)+(K53+O53)+(L53+P53)*EERR!$D$2</f>
        <v>684142.4</v>
      </c>
      <c r="Y53" s="267">
        <f>X53/EERR!$D$2</f>
        <v>1025.0860053940667</v>
      </c>
      <c r="Z53" s="277">
        <f t="shared" si="2"/>
        <v>57.400000000023283</v>
      </c>
    </row>
    <row r="54" spans="1:2047 2049:3072 3074:16384" s="148" customFormat="1" ht="15" customHeight="1" x14ac:dyDescent="0.25">
      <c r="A54" s="260">
        <v>3919</v>
      </c>
      <c r="B54" s="297">
        <v>1200</v>
      </c>
      <c r="C54" s="297"/>
      <c r="D54" s="297"/>
      <c r="E54" s="261" t="s">
        <v>906</v>
      </c>
      <c r="F54" s="261" t="s">
        <v>247</v>
      </c>
      <c r="G54" s="261">
        <v>1857215476</v>
      </c>
      <c r="H54" s="262">
        <v>43583</v>
      </c>
      <c r="I54" s="262">
        <v>43584</v>
      </c>
      <c r="J54" s="261">
        <v>1</v>
      </c>
      <c r="K54" s="263"/>
      <c r="L54" s="264"/>
      <c r="M54" s="295"/>
      <c r="N54" s="295"/>
      <c r="O54" s="295"/>
      <c r="P54" s="295"/>
      <c r="Q54" s="295"/>
      <c r="R54" s="295">
        <v>205</v>
      </c>
      <c r="S54" s="153">
        <f t="shared" si="0"/>
        <v>205</v>
      </c>
      <c r="T54" s="153">
        <f t="shared" si="1"/>
        <v>0</v>
      </c>
      <c r="U54" s="151">
        <f>IF(J54=0,(S54+T54/EERR!$D$2/1.19),(S54+T54/EERR!$D$2/1.19)/J54)</f>
        <v>205</v>
      </c>
      <c r="V54" s="153">
        <f>T54+S54*EERR!$D$2</f>
        <v>136817</v>
      </c>
      <c r="W54" s="148">
        <f ca="1">SUMIF(Siteminder!$A$5:$L$164,Abr!G54,Siteminder!$P$5:$P$164)</f>
        <v>1</v>
      </c>
      <c r="X54" s="267">
        <f>SUMIF(Transbank!$A$2:$A$470,B54,Transbank!$L$2:$L$470)+SUMIF(Transbank!$A$2:$A$470,C54,Transbank!$L$2:$L$470)+SUMIF(Transbank!$A$2:$A$470,D54,Transbank!$L$2:$L$470)+(K54+O54)+(L54+P54)*EERR!$D$2</f>
        <v>136874.4</v>
      </c>
      <c r="Y54" s="267">
        <f>X54/EERR!$D$2</f>
        <v>205.08600539406652</v>
      </c>
      <c r="Z54" s="277">
        <f t="shared" si="2"/>
        <v>57.399999999994179</v>
      </c>
      <c r="AA54" s="297"/>
      <c r="AB54" s="297"/>
      <c r="AC54" s="297"/>
      <c r="AD54" s="261"/>
      <c r="AE54" s="261"/>
      <c r="AF54" s="261"/>
      <c r="AG54" s="262"/>
      <c r="AH54" s="262"/>
      <c r="AI54" s="261"/>
      <c r="AJ54" s="263"/>
      <c r="AK54" s="264"/>
      <c r="AL54" s="295"/>
      <c r="AM54" s="295"/>
      <c r="AN54" s="295"/>
      <c r="AO54" s="295"/>
      <c r="AP54" s="295"/>
      <c r="AQ54" s="295"/>
      <c r="AR54" s="153"/>
      <c r="AS54" s="153"/>
      <c r="AT54" s="151"/>
      <c r="AU54" s="153"/>
      <c r="AW54" s="267"/>
      <c r="AX54" s="267"/>
      <c r="AY54" s="260"/>
      <c r="AZ54" s="297"/>
      <c r="BA54" s="297"/>
      <c r="BB54" s="297"/>
      <c r="BC54" s="261"/>
      <c r="BD54" s="261"/>
      <c r="BE54" s="261"/>
      <c r="BF54" s="262"/>
      <c r="BG54" s="262"/>
      <c r="BH54" s="261"/>
      <c r="BI54" s="263"/>
      <c r="BJ54" s="264"/>
      <c r="BK54" s="295"/>
      <c r="BL54" s="295"/>
      <c r="BM54" s="295"/>
      <c r="BN54" s="295"/>
      <c r="BO54" s="295"/>
      <c r="BP54" s="295"/>
      <c r="BQ54" s="153"/>
      <c r="BR54" s="153"/>
      <c r="BS54" s="151"/>
      <c r="BT54" s="153"/>
      <c r="BV54" s="267"/>
      <c r="BW54" s="267"/>
      <c r="BX54" s="260"/>
      <c r="BY54" s="297"/>
      <c r="BZ54" s="297"/>
      <c r="CA54" s="297"/>
      <c r="CB54" s="261"/>
      <c r="CC54" s="261"/>
      <c r="CD54" s="261"/>
      <c r="CE54" s="262"/>
      <c r="CF54" s="262"/>
      <c r="CG54" s="261"/>
      <c r="CH54" s="263"/>
      <c r="CI54" s="264"/>
      <c r="CJ54" s="295"/>
      <c r="CK54" s="295"/>
      <c r="CL54" s="295"/>
      <c r="CM54" s="295"/>
      <c r="CN54" s="295"/>
      <c r="CO54" s="295"/>
      <c r="CP54" s="153"/>
      <c r="CQ54" s="153"/>
      <c r="CR54" s="151"/>
      <c r="CS54" s="153"/>
      <c r="CU54" s="267"/>
      <c r="CV54" s="267"/>
      <c r="CW54" s="260"/>
      <c r="CX54" s="297"/>
      <c r="CY54" s="297"/>
      <c r="CZ54" s="297"/>
      <c r="DA54" s="261"/>
      <c r="DB54" s="261"/>
      <c r="DC54" s="261"/>
      <c r="DD54" s="262"/>
      <c r="DE54" s="262"/>
      <c r="DF54" s="261"/>
      <c r="DG54" s="263"/>
      <c r="DH54" s="264"/>
      <c r="DI54" s="295"/>
      <c r="DJ54" s="295"/>
      <c r="DK54" s="295"/>
      <c r="DL54" s="295"/>
      <c r="DM54" s="295"/>
      <c r="DN54" s="295"/>
      <c r="DO54" s="153"/>
      <c r="DP54" s="153"/>
      <c r="DQ54" s="151"/>
      <c r="DR54" s="153"/>
      <c r="DT54" s="267"/>
      <c r="DU54" s="267"/>
      <c r="DV54" s="260"/>
      <c r="DW54" s="297"/>
      <c r="DX54" s="297"/>
      <c r="DY54" s="297"/>
      <c r="DZ54" s="261"/>
      <c r="EA54" s="261"/>
      <c r="EB54" s="261"/>
      <c r="EC54" s="262"/>
      <c r="ED54" s="262"/>
      <c r="EE54" s="261"/>
      <c r="EF54" s="263"/>
      <c r="EG54" s="264"/>
      <c r="EH54" s="295"/>
      <c r="EI54" s="295"/>
      <c r="EJ54" s="295"/>
      <c r="EK54" s="295"/>
      <c r="EL54" s="295"/>
      <c r="EM54" s="295"/>
      <c r="EN54" s="153"/>
      <c r="EO54" s="153"/>
      <c r="EP54" s="151"/>
      <c r="EQ54" s="153"/>
      <c r="ES54" s="267"/>
      <c r="ET54" s="267"/>
      <c r="EU54" s="260"/>
      <c r="EV54" s="297"/>
      <c r="EW54" s="297"/>
      <c r="EX54" s="297"/>
      <c r="EY54" s="261"/>
      <c r="EZ54" s="261"/>
      <c r="FA54" s="261"/>
      <c r="FB54" s="262"/>
      <c r="FC54" s="262"/>
      <c r="FD54" s="261"/>
      <c r="FE54" s="263"/>
      <c r="FF54" s="264"/>
      <c r="FG54" s="295"/>
      <c r="FH54" s="295"/>
      <c r="FI54" s="295"/>
      <c r="FJ54" s="295"/>
      <c r="FK54" s="295"/>
      <c r="FL54" s="295"/>
      <c r="FM54" s="153"/>
      <c r="FN54" s="153"/>
      <c r="FO54" s="151"/>
      <c r="FP54" s="153"/>
      <c r="FR54" s="267"/>
      <c r="FS54" s="267"/>
      <c r="FT54" s="260"/>
      <c r="FU54" s="297"/>
      <c r="FV54" s="297"/>
      <c r="FW54" s="297"/>
      <c r="FX54" s="261"/>
      <c r="FY54" s="261"/>
      <c r="FZ54" s="261"/>
      <c r="GA54" s="262"/>
      <c r="GB54" s="262"/>
      <c r="GC54" s="261"/>
      <c r="GD54" s="263"/>
      <c r="GE54" s="264"/>
      <c r="GF54" s="295"/>
      <c r="GG54" s="295"/>
      <c r="GH54" s="295"/>
      <c r="GI54" s="295"/>
      <c r="GJ54" s="295"/>
      <c r="GK54" s="295"/>
      <c r="GL54" s="153"/>
      <c r="GM54" s="153"/>
      <c r="GN54" s="151"/>
      <c r="GO54" s="153"/>
      <c r="GQ54" s="267"/>
      <c r="GR54" s="267"/>
      <c r="GS54" s="260"/>
      <c r="GT54" s="297"/>
      <c r="GU54" s="297"/>
      <c r="GV54" s="297"/>
      <c r="GW54" s="261"/>
      <c r="GX54" s="261"/>
      <c r="GY54" s="261"/>
      <c r="GZ54" s="262"/>
      <c r="HA54" s="262"/>
      <c r="HB54" s="261"/>
      <c r="HC54" s="263"/>
      <c r="HD54" s="264"/>
      <c r="HE54" s="295"/>
      <c r="HF54" s="295"/>
      <c r="HG54" s="295"/>
      <c r="HH54" s="295"/>
      <c r="HI54" s="295"/>
      <c r="HJ54" s="295"/>
      <c r="HK54" s="153"/>
      <c r="HL54" s="153"/>
      <c r="HM54" s="151"/>
      <c r="HN54" s="153"/>
      <c r="HP54" s="267"/>
      <c r="HQ54" s="267"/>
      <c r="HR54" s="260"/>
      <c r="HS54" s="297"/>
      <c r="HT54" s="297"/>
      <c r="HU54" s="297"/>
      <c r="HV54" s="261"/>
      <c r="HW54" s="261"/>
      <c r="HX54" s="261"/>
      <c r="HY54" s="262"/>
      <c r="HZ54" s="262"/>
      <c r="IA54" s="261"/>
      <c r="IB54" s="263"/>
      <c r="IC54" s="264"/>
      <c r="ID54" s="295"/>
      <c r="IE54" s="295"/>
      <c r="IF54" s="295"/>
      <c r="IG54" s="295"/>
      <c r="IH54" s="295"/>
      <c r="II54" s="295"/>
      <c r="IJ54" s="153"/>
      <c r="IK54" s="153"/>
      <c r="IL54" s="151"/>
      <c r="IM54" s="153"/>
      <c r="IO54" s="267"/>
      <c r="IP54" s="267"/>
      <c r="IQ54" s="260"/>
      <c r="IR54" s="297"/>
      <c r="IS54" s="297"/>
      <c r="IT54" s="297"/>
      <c r="IU54" s="261"/>
      <c r="IV54" s="261"/>
      <c r="IW54" s="261"/>
      <c r="IX54" s="262"/>
      <c r="IY54" s="262"/>
      <c r="IZ54" s="261"/>
      <c r="JA54" s="263"/>
      <c r="JB54" s="264"/>
      <c r="JC54" s="295"/>
      <c r="JD54" s="295"/>
      <c r="JE54" s="295"/>
      <c r="JF54" s="295"/>
      <c r="JG54" s="295"/>
      <c r="JH54" s="295"/>
      <c r="JI54" s="153"/>
      <c r="JJ54" s="153"/>
      <c r="JK54" s="151"/>
      <c r="JL54" s="153"/>
      <c r="JN54" s="267"/>
      <c r="JO54" s="267"/>
      <c r="JP54" s="260"/>
      <c r="JQ54" s="297"/>
      <c r="JR54" s="297"/>
      <c r="JS54" s="297"/>
      <c r="JT54" s="261"/>
      <c r="JU54" s="261"/>
      <c r="JV54" s="261"/>
      <c r="JW54" s="262"/>
      <c r="JX54" s="262"/>
      <c r="JY54" s="261"/>
      <c r="JZ54" s="263"/>
      <c r="KA54" s="264"/>
      <c r="KB54" s="295"/>
      <c r="KC54" s="295"/>
      <c r="KD54" s="295"/>
      <c r="KE54" s="295"/>
      <c r="KF54" s="295"/>
      <c r="KG54" s="295"/>
      <c r="KH54" s="153"/>
      <c r="KI54" s="153"/>
      <c r="KJ54" s="151"/>
      <c r="KK54" s="153"/>
      <c r="KM54" s="267"/>
      <c r="KN54" s="267"/>
      <c r="KO54" s="260"/>
      <c r="KP54" s="297"/>
      <c r="KQ54" s="297"/>
      <c r="KR54" s="297"/>
      <c r="KS54" s="261"/>
      <c r="KT54" s="261"/>
      <c r="KU54" s="261"/>
      <c r="KV54" s="262"/>
      <c r="KW54" s="262"/>
      <c r="KX54" s="261"/>
      <c r="KY54" s="263"/>
      <c r="KZ54" s="264"/>
      <c r="LA54" s="295"/>
      <c r="LB54" s="295"/>
      <c r="LC54" s="295"/>
      <c r="LD54" s="295"/>
      <c r="LE54" s="295"/>
      <c r="LF54" s="295"/>
      <c r="LG54" s="153"/>
      <c r="LH54" s="153"/>
      <c r="LI54" s="151"/>
      <c r="LJ54" s="153"/>
      <c r="LL54" s="267"/>
      <c r="LM54" s="267"/>
      <c r="LN54" s="260"/>
      <c r="LO54" s="297"/>
      <c r="LP54" s="297"/>
      <c r="LQ54" s="297"/>
      <c r="LR54" s="261"/>
      <c r="LS54" s="261"/>
      <c r="LT54" s="261"/>
      <c r="LU54" s="262"/>
      <c r="LV54" s="262"/>
      <c r="LW54" s="261"/>
      <c r="LX54" s="263"/>
      <c r="LY54" s="264"/>
      <c r="LZ54" s="295"/>
      <c r="MA54" s="295"/>
      <c r="MB54" s="295"/>
      <c r="MC54" s="295"/>
      <c r="MD54" s="295"/>
      <c r="ME54" s="295"/>
      <c r="MF54" s="153"/>
      <c r="MG54" s="153"/>
      <c r="MH54" s="151"/>
      <c r="MI54" s="153"/>
      <c r="MK54" s="267"/>
      <c r="ML54" s="267"/>
      <c r="MM54" s="260"/>
      <c r="MN54" s="297"/>
      <c r="MO54" s="297"/>
      <c r="MP54" s="297"/>
      <c r="MQ54" s="261"/>
      <c r="MR54" s="261"/>
      <c r="MS54" s="261"/>
      <c r="MT54" s="262"/>
      <c r="MU54" s="262"/>
      <c r="MV54" s="261"/>
      <c r="MW54" s="263"/>
      <c r="MX54" s="264"/>
      <c r="MY54" s="295"/>
      <c r="MZ54" s="295"/>
      <c r="NA54" s="295"/>
      <c r="NB54" s="295"/>
      <c r="NC54" s="295"/>
      <c r="ND54" s="295"/>
      <c r="NE54" s="153"/>
      <c r="NF54" s="153"/>
      <c r="NG54" s="151"/>
      <c r="NH54" s="153"/>
      <c r="NJ54" s="267"/>
      <c r="NK54" s="267"/>
      <c r="NL54" s="260"/>
      <c r="NM54" s="297"/>
      <c r="NN54" s="297"/>
      <c r="NO54" s="297"/>
      <c r="NP54" s="261"/>
      <c r="NQ54" s="261"/>
      <c r="NR54" s="261"/>
      <c r="NS54" s="262"/>
      <c r="NT54" s="262"/>
      <c r="NU54" s="261"/>
      <c r="NV54" s="263"/>
      <c r="NW54" s="264"/>
      <c r="NX54" s="295"/>
      <c r="NY54" s="295"/>
      <c r="NZ54" s="295"/>
      <c r="OA54" s="295"/>
      <c r="OB54" s="295"/>
      <c r="OC54" s="295"/>
      <c r="OD54" s="153"/>
      <c r="OE54" s="153"/>
      <c r="OF54" s="151"/>
      <c r="OG54" s="153"/>
      <c r="OI54" s="267"/>
      <c r="OJ54" s="267"/>
      <c r="OK54" s="260"/>
      <c r="OL54" s="297"/>
      <c r="OM54" s="297"/>
      <c r="ON54" s="297"/>
      <c r="OO54" s="261"/>
      <c r="OP54" s="261"/>
      <c r="OQ54" s="261"/>
      <c r="OR54" s="262"/>
      <c r="OS54" s="262"/>
      <c r="OT54" s="261"/>
      <c r="OU54" s="263"/>
      <c r="OV54" s="264"/>
      <c r="OW54" s="295"/>
      <c r="OX54" s="295"/>
      <c r="OY54" s="295"/>
      <c r="OZ54" s="295"/>
      <c r="PA54" s="295"/>
      <c r="PB54" s="295"/>
      <c r="PC54" s="153"/>
      <c r="PD54" s="153"/>
      <c r="PE54" s="151"/>
      <c r="PF54" s="153"/>
      <c r="PH54" s="267"/>
      <c r="PI54" s="267"/>
      <c r="PJ54" s="260"/>
      <c r="PK54" s="297"/>
      <c r="PL54" s="297"/>
      <c r="PM54" s="297"/>
      <c r="PN54" s="261"/>
      <c r="PO54" s="261"/>
      <c r="PP54" s="261"/>
      <c r="PQ54" s="262"/>
      <c r="PR54" s="262"/>
      <c r="PS54" s="261"/>
      <c r="PT54" s="263"/>
      <c r="PU54" s="264"/>
      <c r="PV54" s="295"/>
      <c r="PW54" s="295"/>
      <c r="PX54" s="295"/>
      <c r="PY54" s="295"/>
      <c r="PZ54" s="295"/>
      <c r="QA54" s="295"/>
      <c r="QB54" s="153"/>
      <c r="QC54" s="153"/>
      <c r="QD54" s="151"/>
      <c r="QE54" s="153"/>
      <c r="QG54" s="267"/>
      <c r="QH54" s="267"/>
      <c r="QI54" s="260"/>
      <c r="QJ54" s="297"/>
      <c r="QK54" s="297"/>
      <c r="QL54" s="297"/>
      <c r="QM54" s="261"/>
      <c r="QN54" s="261"/>
      <c r="QO54" s="261"/>
      <c r="QP54" s="262"/>
      <c r="QQ54" s="262"/>
      <c r="QR54" s="261"/>
      <c r="QS54" s="263"/>
      <c r="QT54" s="264"/>
      <c r="QU54" s="295"/>
      <c r="QV54" s="295"/>
      <c r="QW54" s="295"/>
      <c r="QX54" s="295"/>
      <c r="QY54" s="295"/>
      <c r="QZ54" s="295"/>
      <c r="RA54" s="153"/>
      <c r="RB54" s="153"/>
      <c r="RC54" s="151"/>
      <c r="RD54" s="153"/>
      <c r="RF54" s="267"/>
      <c r="RG54" s="267"/>
      <c r="RH54" s="260"/>
      <c r="RI54" s="297"/>
      <c r="RJ54" s="297"/>
      <c r="RK54" s="297"/>
      <c r="RL54" s="261"/>
      <c r="RM54" s="261"/>
      <c r="RN54" s="261"/>
      <c r="RO54" s="262"/>
      <c r="RP54" s="262"/>
      <c r="RQ54" s="261"/>
      <c r="RR54" s="263"/>
      <c r="RS54" s="264"/>
      <c r="RT54" s="295"/>
      <c r="RU54" s="295"/>
      <c r="RV54" s="295"/>
      <c r="RW54" s="295"/>
      <c r="RX54" s="295"/>
      <c r="RY54" s="295"/>
      <c r="RZ54" s="153"/>
      <c r="SA54" s="153"/>
      <c r="SB54" s="151"/>
      <c r="SC54" s="153"/>
      <c r="SE54" s="267"/>
      <c r="SF54" s="267"/>
      <c r="SG54" s="260"/>
      <c r="SH54" s="297"/>
      <c r="SI54" s="297"/>
      <c r="SJ54" s="297"/>
      <c r="SK54" s="261"/>
      <c r="SL54" s="261"/>
      <c r="SM54" s="261"/>
      <c r="SN54" s="262"/>
      <c r="SO54" s="262"/>
      <c r="SP54" s="261"/>
      <c r="SQ54" s="263"/>
      <c r="SR54" s="264"/>
      <c r="SS54" s="295"/>
      <c r="ST54" s="295"/>
      <c r="SU54" s="295"/>
      <c r="SV54" s="295"/>
      <c r="SW54" s="295"/>
      <c r="SX54" s="295"/>
      <c r="SY54" s="153"/>
      <c r="SZ54" s="153"/>
      <c r="TA54" s="151"/>
      <c r="TB54" s="153"/>
      <c r="TD54" s="267"/>
      <c r="TE54" s="267"/>
      <c r="TF54" s="260"/>
      <c r="TG54" s="297"/>
      <c r="TH54" s="297"/>
      <c r="TI54" s="297"/>
      <c r="TJ54" s="261"/>
      <c r="TK54" s="261"/>
      <c r="TL54" s="261"/>
      <c r="TM54" s="262"/>
      <c r="TN54" s="262"/>
      <c r="TO54" s="261"/>
      <c r="TP54" s="263"/>
      <c r="TQ54" s="264"/>
      <c r="TR54" s="295"/>
      <c r="TS54" s="295"/>
      <c r="TT54" s="295"/>
      <c r="TU54" s="295"/>
      <c r="TV54" s="295"/>
      <c r="TW54" s="295"/>
      <c r="TX54" s="153"/>
      <c r="TY54" s="153"/>
      <c r="TZ54" s="151"/>
      <c r="UA54" s="153"/>
      <c r="UC54" s="267"/>
      <c r="UD54" s="267"/>
      <c r="UE54" s="260"/>
      <c r="UF54" s="297"/>
      <c r="UG54" s="297"/>
      <c r="UH54" s="297"/>
      <c r="UI54" s="261"/>
      <c r="UJ54" s="261"/>
      <c r="UK54" s="261"/>
      <c r="UL54" s="262"/>
      <c r="UM54" s="262"/>
      <c r="UN54" s="261"/>
      <c r="UO54" s="263"/>
      <c r="UP54" s="264"/>
      <c r="UQ54" s="295"/>
      <c r="UR54" s="295"/>
      <c r="US54" s="295"/>
      <c r="UT54" s="295"/>
      <c r="UU54" s="295"/>
      <c r="UV54" s="295"/>
      <c r="UW54" s="153"/>
      <c r="UX54" s="153"/>
      <c r="UY54" s="151"/>
      <c r="UZ54" s="153"/>
      <c r="VB54" s="267"/>
      <c r="VC54" s="267"/>
      <c r="VD54" s="260"/>
      <c r="VE54" s="297"/>
      <c r="VF54" s="297"/>
      <c r="VG54" s="297"/>
      <c r="VH54" s="261"/>
      <c r="VI54" s="261"/>
      <c r="VJ54" s="261"/>
      <c r="VK54" s="262"/>
      <c r="VL54" s="262"/>
      <c r="VM54" s="261"/>
      <c r="VN54" s="263"/>
      <c r="VO54" s="264"/>
      <c r="VP54" s="295"/>
      <c r="VQ54" s="295"/>
      <c r="VR54" s="295"/>
      <c r="VS54" s="295"/>
      <c r="VT54" s="295"/>
      <c r="VU54" s="295"/>
      <c r="VV54" s="153"/>
      <c r="VW54" s="153"/>
      <c r="VX54" s="151"/>
      <c r="VY54" s="153"/>
      <c r="WA54" s="267"/>
      <c r="WB54" s="267"/>
      <c r="WC54" s="260"/>
      <c r="WD54" s="297"/>
      <c r="WE54" s="297"/>
      <c r="WF54" s="297"/>
      <c r="WG54" s="261"/>
      <c r="WH54" s="261"/>
      <c r="WI54" s="261"/>
      <c r="WJ54" s="262"/>
      <c r="WK54" s="262"/>
      <c r="WL54" s="261"/>
      <c r="WM54" s="263"/>
      <c r="WN54" s="264"/>
      <c r="WO54" s="295"/>
      <c r="WP54" s="295"/>
      <c r="WQ54" s="295"/>
      <c r="WR54" s="295"/>
      <c r="WS54" s="295"/>
      <c r="WT54" s="295"/>
      <c r="WU54" s="153"/>
      <c r="WV54" s="153"/>
      <c r="WW54" s="151"/>
      <c r="WX54" s="153"/>
      <c r="WZ54" s="267"/>
      <c r="XA54" s="267"/>
      <c r="XB54" s="260"/>
      <c r="XC54" s="297"/>
      <c r="XD54" s="297"/>
      <c r="XE54" s="297"/>
      <c r="XF54" s="261"/>
      <c r="XG54" s="261"/>
      <c r="XH54" s="261"/>
      <c r="XI54" s="262"/>
      <c r="XJ54" s="262"/>
      <c r="XK54" s="261"/>
      <c r="XL54" s="263"/>
      <c r="XM54" s="264"/>
      <c r="XN54" s="295"/>
      <c r="XO54" s="295"/>
      <c r="XP54" s="295"/>
      <c r="XQ54" s="295"/>
      <c r="XR54" s="295"/>
      <c r="XS54" s="295"/>
      <c r="XT54" s="153"/>
      <c r="XU54" s="153"/>
      <c r="XV54" s="151"/>
      <c r="XW54" s="153"/>
      <c r="XY54" s="267"/>
      <c r="XZ54" s="267"/>
      <c r="YA54" s="260"/>
      <c r="YB54" s="297"/>
      <c r="YC54" s="297"/>
      <c r="YD54" s="297"/>
      <c r="YE54" s="261"/>
      <c r="YF54" s="261"/>
      <c r="YG54" s="261"/>
      <c r="YH54" s="262"/>
      <c r="YI54" s="262"/>
      <c r="YJ54" s="261"/>
      <c r="YK54" s="263"/>
      <c r="YL54" s="264"/>
      <c r="YM54" s="295"/>
      <c r="YN54" s="295"/>
      <c r="YO54" s="295"/>
      <c r="YP54" s="295"/>
      <c r="YQ54" s="295"/>
      <c r="YR54" s="295"/>
      <c r="YS54" s="153"/>
      <c r="YT54" s="153"/>
      <c r="YU54" s="151"/>
      <c r="YV54" s="153"/>
      <c r="YX54" s="267"/>
      <c r="YY54" s="267"/>
      <c r="YZ54" s="260"/>
      <c r="ZA54" s="297"/>
      <c r="ZB54" s="297"/>
      <c r="ZC54" s="297"/>
      <c r="ZD54" s="261"/>
      <c r="ZE54" s="261"/>
      <c r="ZF54" s="261"/>
      <c r="ZG54" s="262"/>
      <c r="ZH54" s="262"/>
      <c r="ZI54" s="261"/>
      <c r="ZJ54" s="263"/>
      <c r="ZK54" s="264"/>
      <c r="ZL54" s="295"/>
      <c r="ZM54" s="295"/>
      <c r="ZN54" s="295"/>
      <c r="ZO54" s="295"/>
      <c r="ZP54" s="295"/>
      <c r="ZQ54" s="295"/>
      <c r="ZR54" s="153"/>
      <c r="ZS54" s="153"/>
      <c r="ZT54" s="151"/>
      <c r="ZU54" s="153"/>
      <c r="ZW54" s="267"/>
      <c r="ZX54" s="267"/>
      <c r="ZY54" s="260"/>
      <c r="ZZ54" s="297"/>
      <c r="AAA54" s="297"/>
      <c r="AAB54" s="297"/>
      <c r="AAC54" s="261"/>
      <c r="AAD54" s="261"/>
      <c r="AAE54" s="261"/>
      <c r="AAF54" s="262"/>
      <c r="AAG54" s="262"/>
      <c r="AAH54" s="261"/>
      <c r="AAI54" s="263"/>
      <c r="AAJ54" s="264"/>
      <c r="AAK54" s="295"/>
      <c r="AAL54" s="295"/>
      <c r="AAM54" s="295"/>
      <c r="AAN54" s="295"/>
      <c r="AAO54" s="295"/>
      <c r="AAP54" s="295"/>
      <c r="AAQ54" s="153"/>
      <c r="AAR54" s="153"/>
      <c r="AAS54" s="151"/>
      <c r="AAT54" s="153"/>
      <c r="AAV54" s="267"/>
      <c r="AAW54" s="267"/>
      <c r="AAX54" s="260"/>
      <c r="AAY54" s="297"/>
      <c r="AAZ54" s="297"/>
      <c r="ABA54" s="297"/>
      <c r="ABB54" s="261"/>
      <c r="ABC54" s="261"/>
      <c r="ABD54" s="261"/>
      <c r="ABE54" s="262"/>
      <c r="ABF54" s="262"/>
      <c r="ABG54" s="261"/>
      <c r="ABH54" s="263"/>
      <c r="ABI54" s="264"/>
      <c r="ABJ54" s="295"/>
      <c r="ABK54" s="295"/>
      <c r="ABL54" s="295"/>
      <c r="ABM54" s="295"/>
      <c r="ABN54" s="295"/>
      <c r="ABO54" s="295"/>
      <c r="ABP54" s="153"/>
      <c r="ABQ54" s="153"/>
      <c r="ABR54" s="151"/>
      <c r="ABS54" s="153"/>
      <c r="ABU54" s="267"/>
      <c r="ABV54" s="267"/>
      <c r="ABW54" s="260"/>
      <c r="ABX54" s="297"/>
      <c r="ABY54" s="297"/>
      <c r="ABZ54" s="297"/>
      <c r="ACA54" s="261"/>
      <c r="ACB54" s="261"/>
      <c r="ACC54" s="261"/>
      <c r="ACD54" s="262"/>
      <c r="ACE54" s="262"/>
      <c r="ACF54" s="261"/>
      <c r="ACG54" s="263"/>
      <c r="ACH54" s="264"/>
      <c r="ACI54" s="295"/>
      <c r="ACJ54" s="295"/>
      <c r="ACK54" s="295"/>
      <c r="ACL54" s="295"/>
      <c r="ACM54" s="295"/>
      <c r="ACN54" s="295"/>
      <c r="ACO54" s="153"/>
      <c r="ACP54" s="153"/>
      <c r="ACQ54" s="151"/>
      <c r="ACR54" s="153"/>
      <c r="ACT54" s="267"/>
      <c r="ACU54" s="267"/>
      <c r="ACV54" s="260"/>
      <c r="ACW54" s="297"/>
      <c r="ACX54" s="297"/>
      <c r="ACY54" s="297"/>
      <c r="ACZ54" s="261"/>
      <c r="ADA54" s="261"/>
      <c r="ADB54" s="261"/>
      <c r="ADC54" s="262"/>
      <c r="ADD54" s="262"/>
      <c r="ADE54" s="261"/>
      <c r="ADF54" s="263"/>
      <c r="ADG54" s="264"/>
      <c r="ADH54" s="295"/>
      <c r="ADI54" s="295"/>
      <c r="ADJ54" s="295"/>
      <c r="ADK54" s="295"/>
      <c r="ADL54" s="295"/>
      <c r="ADM54" s="295"/>
      <c r="ADN54" s="153"/>
      <c r="ADO54" s="153"/>
      <c r="ADP54" s="151"/>
      <c r="ADQ54" s="153"/>
      <c r="ADS54" s="267"/>
      <c r="ADT54" s="267"/>
      <c r="ADU54" s="260"/>
      <c r="ADV54" s="297"/>
      <c r="ADW54" s="297"/>
      <c r="ADX54" s="297"/>
      <c r="ADY54" s="261"/>
      <c r="ADZ54" s="261"/>
      <c r="AEA54" s="261"/>
      <c r="AEB54" s="262"/>
      <c r="AEC54" s="262"/>
      <c r="AED54" s="261"/>
      <c r="AEE54" s="263"/>
      <c r="AEF54" s="264"/>
      <c r="AEG54" s="295"/>
      <c r="AEH54" s="295"/>
      <c r="AEI54" s="295"/>
      <c r="AEJ54" s="295"/>
      <c r="AEK54" s="295"/>
      <c r="AEL54" s="295"/>
      <c r="AEM54" s="153"/>
      <c r="AEN54" s="153"/>
      <c r="AEO54" s="151"/>
      <c r="AEP54" s="153"/>
      <c r="AER54" s="267"/>
      <c r="AES54" s="267"/>
      <c r="AET54" s="260"/>
      <c r="AEU54" s="297"/>
      <c r="AEV54" s="297"/>
      <c r="AEW54" s="297"/>
      <c r="AEX54" s="261"/>
      <c r="AEY54" s="261"/>
      <c r="AEZ54" s="261"/>
      <c r="AFA54" s="262"/>
      <c r="AFB54" s="262"/>
      <c r="AFC54" s="261"/>
      <c r="AFD54" s="263"/>
      <c r="AFE54" s="264"/>
      <c r="AFF54" s="295"/>
      <c r="AFG54" s="295"/>
      <c r="AFH54" s="295"/>
      <c r="AFI54" s="295"/>
      <c r="AFJ54" s="295"/>
      <c r="AFK54" s="295"/>
      <c r="AFL54" s="153"/>
      <c r="AFM54" s="153"/>
      <c r="AFN54" s="151"/>
      <c r="AFO54" s="153"/>
      <c r="AFQ54" s="267"/>
      <c r="AFR54" s="267"/>
      <c r="AFS54" s="260"/>
      <c r="AFT54" s="297"/>
      <c r="AFU54" s="297"/>
      <c r="AFV54" s="297"/>
      <c r="AFW54" s="261"/>
      <c r="AFX54" s="261"/>
      <c r="AFY54" s="261"/>
      <c r="AFZ54" s="262"/>
      <c r="AGA54" s="262"/>
      <c r="AGB54" s="261"/>
      <c r="AGC54" s="263"/>
      <c r="AGD54" s="264"/>
      <c r="AGE54" s="295"/>
      <c r="AGF54" s="295"/>
      <c r="AGG54" s="295"/>
      <c r="AGH54" s="295"/>
      <c r="AGI54" s="295"/>
      <c r="AGJ54" s="295"/>
      <c r="AGK54" s="153"/>
      <c r="AGL54" s="153"/>
      <c r="AGM54" s="151"/>
      <c r="AGN54" s="153"/>
      <c r="AGP54" s="267"/>
      <c r="AGQ54" s="267"/>
      <c r="AGR54" s="260"/>
      <c r="AGS54" s="297"/>
      <c r="AGT54" s="297"/>
      <c r="AGU54" s="297"/>
      <c r="AGV54" s="261"/>
      <c r="AGW54" s="261"/>
      <c r="AGX54" s="261"/>
      <c r="AGY54" s="262"/>
      <c r="AGZ54" s="262"/>
      <c r="AHA54" s="261"/>
      <c r="AHB54" s="263"/>
      <c r="AHC54" s="264"/>
      <c r="AHD54" s="295"/>
      <c r="AHE54" s="295"/>
      <c r="AHF54" s="295"/>
      <c r="AHG54" s="295"/>
      <c r="AHH54" s="295"/>
      <c r="AHI54" s="295"/>
      <c r="AHJ54" s="153"/>
      <c r="AHK54" s="153"/>
      <c r="AHL54" s="151"/>
      <c r="AHM54" s="153"/>
      <c r="AHO54" s="267"/>
      <c r="AHP54" s="267"/>
      <c r="AHQ54" s="260"/>
      <c r="AHR54" s="297"/>
      <c r="AHS54" s="297"/>
      <c r="AHT54" s="297"/>
      <c r="AHU54" s="261"/>
      <c r="AHV54" s="261"/>
      <c r="AHW54" s="261"/>
      <c r="AHX54" s="262"/>
      <c r="AHY54" s="262"/>
      <c r="AHZ54" s="261"/>
      <c r="AIA54" s="263"/>
      <c r="AIB54" s="264"/>
      <c r="AIC54" s="295"/>
      <c r="AID54" s="295"/>
      <c r="AIE54" s="295"/>
      <c r="AIF54" s="295"/>
      <c r="AIG54" s="295"/>
      <c r="AIH54" s="295"/>
      <c r="AII54" s="153"/>
      <c r="AIJ54" s="153"/>
      <c r="AIK54" s="151"/>
      <c r="AIL54" s="153"/>
      <c r="AIN54" s="267"/>
      <c r="AIO54" s="267"/>
      <c r="AIP54" s="260"/>
      <c r="AIQ54" s="297"/>
      <c r="AIR54" s="297"/>
      <c r="AIS54" s="297"/>
      <c r="AIT54" s="261"/>
      <c r="AIU54" s="261"/>
      <c r="AIV54" s="261"/>
      <c r="AIW54" s="262"/>
      <c r="AIX54" s="262"/>
      <c r="AIY54" s="261"/>
      <c r="AIZ54" s="263"/>
      <c r="AJA54" s="264"/>
      <c r="AJB54" s="295"/>
      <c r="AJC54" s="295"/>
      <c r="AJD54" s="295"/>
      <c r="AJE54" s="295"/>
      <c r="AJF54" s="295"/>
      <c r="AJG54" s="295"/>
      <c r="AJH54" s="153"/>
      <c r="AJI54" s="153"/>
      <c r="AJJ54" s="151"/>
      <c r="AJK54" s="153"/>
      <c r="AJM54" s="267"/>
      <c r="AJN54" s="267"/>
      <c r="AJO54" s="260"/>
      <c r="AJP54" s="297"/>
      <c r="AJQ54" s="297"/>
      <c r="AJR54" s="297"/>
      <c r="AJS54" s="261"/>
      <c r="AJT54" s="261"/>
      <c r="AJU54" s="261"/>
      <c r="AJV54" s="262"/>
      <c r="AJW54" s="262"/>
      <c r="AJX54" s="261"/>
      <c r="AJY54" s="263"/>
      <c r="AJZ54" s="264"/>
      <c r="AKA54" s="295"/>
      <c r="AKB54" s="295"/>
      <c r="AKC54" s="295"/>
      <c r="AKD54" s="295"/>
      <c r="AKE54" s="295"/>
      <c r="AKF54" s="295"/>
      <c r="AKG54" s="153"/>
      <c r="AKH54" s="153"/>
      <c r="AKI54" s="151"/>
      <c r="AKJ54" s="153"/>
      <c r="AKL54" s="267"/>
      <c r="AKM54" s="267"/>
      <c r="AKN54" s="260"/>
      <c r="AKO54" s="297"/>
      <c r="AKP54" s="297"/>
      <c r="AKQ54" s="297"/>
      <c r="AKR54" s="261"/>
      <c r="AKS54" s="261"/>
      <c r="AKT54" s="261"/>
      <c r="AKU54" s="262"/>
      <c r="AKV54" s="262"/>
      <c r="AKW54" s="261"/>
      <c r="AKX54" s="263"/>
      <c r="AKY54" s="264"/>
      <c r="AKZ54" s="295"/>
      <c r="ALA54" s="295"/>
      <c r="ALB54" s="295"/>
      <c r="ALC54" s="295"/>
      <c r="ALD54" s="295"/>
      <c r="ALE54" s="295"/>
      <c r="ALF54" s="153"/>
      <c r="ALG54" s="153"/>
      <c r="ALH54" s="151"/>
      <c r="ALI54" s="153"/>
      <c r="ALK54" s="267"/>
      <c r="ALL54" s="267"/>
      <c r="ALM54" s="260"/>
      <c r="ALN54" s="297"/>
      <c r="ALO54" s="297"/>
      <c r="ALP54" s="297"/>
      <c r="ALQ54" s="261"/>
      <c r="ALR54" s="261"/>
      <c r="ALS54" s="261"/>
      <c r="ALT54" s="262"/>
      <c r="ALU54" s="262"/>
      <c r="ALV54" s="261"/>
      <c r="ALW54" s="263"/>
      <c r="ALX54" s="264"/>
      <c r="ALY54" s="295"/>
      <c r="ALZ54" s="295"/>
      <c r="AMA54" s="295"/>
      <c r="AMB54" s="295"/>
      <c r="AMC54" s="295"/>
      <c r="AMD54" s="295"/>
      <c r="AME54" s="153"/>
      <c r="AMF54" s="153"/>
      <c r="AMG54" s="151"/>
      <c r="AMH54" s="153"/>
      <c r="AMJ54" s="267"/>
      <c r="AMK54" s="267"/>
      <c r="AML54" s="260"/>
      <c r="AMM54" s="297"/>
      <c r="AMN54" s="297"/>
      <c r="AMO54" s="297"/>
      <c r="AMP54" s="261"/>
      <c r="AMQ54" s="261"/>
      <c r="AMR54" s="261"/>
      <c r="AMS54" s="262"/>
      <c r="AMT54" s="262"/>
      <c r="AMU54" s="261"/>
      <c r="AMV54" s="263"/>
      <c r="AMW54" s="264"/>
      <c r="AMX54" s="295"/>
      <c r="AMY54" s="295"/>
      <c r="AMZ54" s="295"/>
      <c r="ANA54" s="295"/>
      <c r="ANB54" s="295"/>
      <c r="ANC54" s="295"/>
      <c r="AND54" s="153"/>
      <c r="ANE54" s="153"/>
      <c r="ANF54" s="151"/>
      <c r="ANG54" s="153"/>
      <c r="ANI54" s="267"/>
      <c r="ANJ54" s="267"/>
      <c r="ANK54" s="260"/>
      <c r="ANL54" s="297"/>
      <c r="ANM54" s="297"/>
      <c r="ANN54" s="297"/>
      <c r="ANO54" s="261"/>
      <c r="ANP54" s="261"/>
      <c r="ANQ54" s="261"/>
      <c r="ANR54" s="262"/>
      <c r="ANS54" s="262"/>
      <c r="ANT54" s="261"/>
      <c r="ANU54" s="263"/>
      <c r="ANV54" s="264"/>
      <c r="ANW54" s="295"/>
      <c r="ANX54" s="295"/>
      <c r="ANY54" s="295"/>
      <c r="ANZ54" s="295"/>
      <c r="AOA54" s="295"/>
      <c r="AOB54" s="295"/>
      <c r="AOC54" s="153"/>
      <c r="AOD54" s="153"/>
      <c r="AOE54" s="151"/>
      <c r="AOF54" s="153"/>
      <c r="AOH54" s="267"/>
      <c r="AOI54" s="267"/>
      <c r="AOJ54" s="260"/>
      <c r="AOK54" s="297"/>
      <c r="AOL54" s="297"/>
      <c r="AOM54" s="297"/>
      <c r="AON54" s="261"/>
      <c r="AOO54" s="261"/>
      <c r="AOP54" s="261"/>
      <c r="AOQ54" s="262"/>
      <c r="AOR54" s="262"/>
      <c r="AOS54" s="261"/>
      <c r="AOT54" s="263"/>
      <c r="AOU54" s="264"/>
      <c r="AOV54" s="295"/>
      <c r="AOW54" s="295"/>
      <c r="AOX54" s="295"/>
      <c r="AOY54" s="295"/>
      <c r="AOZ54" s="295"/>
      <c r="APA54" s="295"/>
      <c r="APB54" s="153"/>
      <c r="APC54" s="153"/>
      <c r="APD54" s="151"/>
      <c r="APE54" s="153"/>
      <c r="APG54" s="267"/>
      <c r="APH54" s="267"/>
      <c r="API54" s="260"/>
      <c r="APJ54" s="297"/>
      <c r="APK54" s="297"/>
      <c r="APL54" s="297"/>
      <c r="APM54" s="261"/>
      <c r="APN54" s="261"/>
      <c r="APO54" s="261"/>
      <c r="APP54" s="262"/>
      <c r="APQ54" s="262"/>
      <c r="APR54" s="261"/>
      <c r="APS54" s="263"/>
      <c r="APT54" s="264"/>
      <c r="APU54" s="295"/>
      <c r="APV54" s="295"/>
      <c r="APW54" s="295"/>
      <c r="APX54" s="295"/>
      <c r="APY54" s="295"/>
      <c r="APZ54" s="295"/>
      <c r="AQA54" s="153"/>
      <c r="AQB54" s="153"/>
      <c r="AQC54" s="151"/>
      <c r="AQD54" s="153"/>
      <c r="AQF54" s="267"/>
      <c r="AQG54" s="267"/>
      <c r="AQH54" s="260"/>
      <c r="AQI54" s="297"/>
      <c r="AQJ54" s="297"/>
      <c r="AQK54" s="297"/>
      <c r="AQL54" s="261"/>
      <c r="AQM54" s="261"/>
      <c r="AQN54" s="261"/>
      <c r="AQO54" s="262"/>
      <c r="AQP54" s="262"/>
      <c r="AQQ54" s="261"/>
      <c r="AQR54" s="263"/>
      <c r="AQS54" s="264"/>
      <c r="AQT54" s="295"/>
      <c r="AQU54" s="295"/>
      <c r="AQV54" s="295"/>
      <c r="AQW54" s="295"/>
      <c r="AQX54" s="295"/>
      <c r="AQY54" s="295"/>
      <c r="AQZ54" s="153"/>
      <c r="ARA54" s="153"/>
      <c r="ARB54" s="151"/>
      <c r="ARC54" s="153"/>
      <c r="ARE54" s="267"/>
      <c r="ARF54" s="267"/>
      <c r="ARG54" s="260"/>
      <c r="ARH54" s="297"/>
      <c r="ARI54" s="297"/>
      <c r="ARJ54" s="297"/>
      <c r="ARK54" s="261"/>
      <c r="ARL54" s="261"/>
      <c r="ARM54" s="261"/>
      <c r="ARN54" s="262"/>
      <c r="ARO54" s="262"/>
      <c r="ARP54" s="261"/>
      <c r="ARQ54" s="263"/>
      <c r="ARR54" s="264"/>
      <c r="ARS54" s="295"/>
      <c r="ART54" s="295"/>
      <c r="ARU54" s="295"/>
      <c r="ARV54" s="295"/>
      <c r="ARW54" s="295"/>
      <c r="ARX54" s="295"/>
      <c r="ARY54" s="153"/>
      <c r="ARZ54" s="153"/>
      <c r="ASA54" s="151"/>
      <c r="ASB54" s="153"/>
      <c r="ASD54" s="267"/>
      <c r="ASE54" s="267"/>
      <c r="ASF54" s="260"/>
      <c r="ASG54" s="297"/>
      <c r="ASH54" s="297"/>
      <c r="ASI54" s="297"/>
      <c r="ASJ54" s="261"/>
      <c r="ASK54" s="261"/>
      <c r="ASL54" s="261"/>
      <c r="ASM54" s="262"/>
      <c r="ASN54" s="262"/>
      <c r="ASO54" s="261"/>
      <c r="ASP54" s="263"/>
      <c r="ASQ54" s="264"/>
      <c r="ASR54" s="295"/>
      <c r="ASS54" s="295"/>
      <c r="AST54" s="295"/>
      <c r="ASU54" s="295"/>
      <c r="ASV54" s="295"/>
      <c r="ASW54" s="295"/>
      <c r="ASX54" s="153"/>
      <c r="ASY54" s="153"/>
      <c r="ASZ54" s="151"/>
      <c r="ATA54" s="153"/>
      <c r="ATC54" s="267"/>
      <c r="ATD54" s="267"/>
      <c r="ATE54" s="260"/>
      <c r="ATF54" s="297"/>
      <c r="ATG54" s="297"/>
      <c r="ATH54" s="297"/>
      <c r="ATI54" s="261"/>
      <c r="ATJ54" s="261"/>
      <c r="ATK54" s="261"/>
      <c r="ATL54" s="262"/>
      <c r="ATM54" s="262"/>
      <c r="ATN54" s="261"/>
      <c r="ATO54" s="263"/>
      <c r="ATP54" s="264"/>
      <c r="ATQ54" s="295"/>
      <c r="ATR54" s="295"/>
      <c r="ATS54" s="295"/>
      <c r="ATT54" s="295"/>
      <c r="ATU54" s="295"/>
      <c r="ATV54" s="295"/>
      <c r="ATW54" s="153"/>
      <c r="ATX54" s="153"/>
      <c r="ATY54" s="151"/>
      <c r="ATZ54" s="153"/>
      <c r="AUB54" s="267"/>
      <c r="AUC54" s="267"/>
      <c r="AUD54" s="260"/>
      <c r="AUE54" s="297"/>
      <c r="AUF54" s="297"/>
      <c r="AUG54" s="297"/>
      <c r="AUH54" s="261"/>
      <c r="AUI54" s="261"/>
      <c r="AUJ54" s="261"/>
      <c r="AUK54" s="262"/>
      <c r="AUL54" s="262"/>
      <c r="AUM54" s="261"/>
      <c r="AUN54" s="263"/>
      <c r="AUO54" s="264"/>
      <c r="AUP54" s="295"/>
      <c r="AUQ54" s="295"/>
      <c r="AUR54" s="295"/>
      <c r="AUS54" s="295"/>
      <c r="AUT54" s="295"/>
      <c r="AUU54" s="295"/>
      <c r="AUV54" s="153"/>
      <c r="AUW54" s="153"/>
      <c r="AUX54" s="151"/>
      <c r="AUY54" s="153"/>
      <c r="AVA54" s="267"/>
      <c r="AVB54" s="267"/>
      <c r="AVC54" s="260"/>
      <c r="AVD54" s="297"/>
      <c r="AVE54" s="297"/>
      <c r="AVF54" s="297"/>
      <c r="AVG54" s="261"/>
      <c r="AVH54" s="261"/>
      <c r="AVI54" s="261"/>
      <c r="AVJ54" s="262"/>
      <c r="AVK54" s="262"/>
      <c r="AVL54" s="261"/>
      <c r="AVM54" s="263"/>
      <c r="AVN54" s="264"/>
      <c r="AVO54" s="295"/>
      <c r="AVP54" s="295"/>
      <c r="AVQ54" s="295"/>
      <c r="AVR54" s="295"/>
      <c r="AVS54" s="295"/>
      <c r="AVT54" s="295"/>
      <c r="AVU54" s="153"/>
      <c r="AVV54" s="153"/>
      <c r="AVW54" s="151"/>
      <c r="AVX54" s="153"/>
      <c r="AVZ54" s="267"/>
      <c r="AWA54" s="267"/>
      <c r="AWB54" s="260"/>
      <c r="AWC54" s="297"/>
      <c r="AWD54" s="297"/>
      <c r="AWE54" s="297"/>
      <c r="AWF54" s="261"/>
      <c r="AWG54" s="261"/>
      <c r="AWH54" s="261"/>
      <c r="AWI54" s="262"/>
      <c r="AWJ54" s="262"/>
      <c r="AWK54" s="261"/>
      <c r="AWL54" s="263"/>
      <c r="AWM54" s="264"/>
      <c r="AWN54" s="295"/>
      <c r="AWO54" s="295"/>
      <c r="AWP54" s="295"/>
      <c r="AWQ54" s="295"/>
      <c r="AWR54" s="295"/>
      <c r="AWS54" s="295"/>
      <c r="AWT54" s="153"/>
      <c r="AWU54" s="153"/>
      <c r="AWV54" s="151"/>
      <c r="AWW54" s="153"/>
      <c r="AWY54" s="267"/>
      <c r="AWZ54" s="267"/>
      <c r="AXA54" s="260"/>
      <c r="AXB54" s="297"/>
      <c r="AXC54" s="297"/>
      <c r="AXD54" s="297"/>
      <c r="AXE54" s="261"/>
      <c r="AXF54" s="261"/>
      <c r="AXG54" s="261"/>
      <c r="AXH54" s="262"/>
      <c r="AXI54" s="262"/>
      <c r="AXJ54" s="261"/>
      <c r="AXK54" s="263"/>
      <c r="AXL54" s="264"/>
      <c r="AXM54" s="295"/>
      <c r="AXN54" s="295"/>
      <c r="AXO54" s="295"/>
      <c r="AXP54" s="295"/>
      <c r="AXQ54" s="295"/>
      <c r="AXR54" s="295"/>
      <c r="AXS54" s="153"/>
      <c r="AXT54" s="153"/>
      <c r="AXU54" s="151"/>
      <c r="AXV54" s="153"/>
      <c r="AXX54" s="267"/>
      <c r="AXY54" s="267"/>
      <c r="AXZ54" s="260"/>
      <c r="AYA54" s="297"/>
      <c r="AYB54" s="297"/>
      <c r="AYC54" s="297"/>
      <c r="AYD54" s="261"/>
      <c r="AYE54" s="261"/>
      <c r="AYF54" s="261"/>
      <c r="AYG54" s="262"/>
      <c r="AYH54" s="262"/>
      <c r="AYI54" s="261"/>
      <c r="AYJ54" s="263"/>
      <c r="AYK54" s="264"/>
      <c r="AYL54" s="295"/>
      <c r="AYM54" s="295"/>
      <c r="AYN54" s="295"/>
      <c r="AYO54" s="295"/>
      <c r="AYP54" s="295"/>
      <c r="AYQ54" s="295"/>
      <c r="AYR54" s="153"/>
      <c r="AYS54" s="153"/>
      <c r="AYT54" s="151"/>
      <c r="AYU54" s="153"/>
      <c r="AYW54" s="267"/>
      <c r="AYX54" s="267"/>
      <c r="AYY54" s="260"/>
      <c r="AYZ54" s="297"/>
      <c r="AZA54" s="297"/>
      <c r="AZB54" s="297"/>
      <c r="AZC54" s="261"/>
      <c r="AZD54" s="261"/>
      <c r="AZE54" s="261"/>
      <c r="AZF54" s="262"/>
      <c r="AZG54" s="262"/>
      <c r="AZH54" s="261"/>
      <c r="AZI54" s="263"/>
      <c r="AZJ54" s="264"/>
      <c r="AZK54" s="295"/>
      <c r="AZL54" s="295"/>
      <c r="AZM54" s="295"/>
      <c r="AZN54" s="295"/>
      <c r="AZO54" s="295"/>
      <c r="AZP54" s="295"/>
      <c r="AZQ54" s="153"/>
      <c r="AZR54" s="153"/>
      <c r="AZS54" s="151"/>
      <c r="AZT54" s="153"/>
      <c r="AZV54" s="267"/>
      <c r="AZW54" s="267"/>
      <c r="AZX54" s="260"/>
      <c r="AZY54" s="297"/>
      <c r="AZZ54" s="297"/>
      <c r="BAA54" s="297"/>
      <c r="BAB54" s="261"/>
      <c r="BAC54" s="261"/>
      <c r="BAD54" s="261"/>
      <c r="BAE54" s="262"/>
      <c r="BAF54" s="262"/>
      <c r="BAG54" s="261"/>
      <c r="BAH54" s="263"/>
      <c r="BAI54" s="264"/>
      <c r="BAJ54" s="295"/>
      <c r="BAK54" s="295"/>
      <c r="BAL54" s="295"/>
      <c r="BAM54" s="295"/>
      <c r="BAN54" s="295"/>
      <c r="BAO54" s="295"/>
      <c r="BAP54" s="153"/>
      <c r="BAQ54" s="153"/>
      <c r="BAR54" s="151"/>
      <c r="BAS54" s="153"/>
      <c r="BAU54" s="267"/>
      <c r="BAV54" s="267"/>
      <c r="BAW54" s="260"/>
      <c r="BAX54" s="297"/>
      <c r="BAY54" s="297"/>
      <c r="BAZ54" s="297"/>
      <c r="BBA54" s="261"/>
      <c r="BBB54" s="261"/>
      <c r="BBC54" s="261"/>
      <c r="BBD54" s="262"/>
      <c r="BBE54" s="262"/>
      <c r="BBF54" s="261"/>
      <c r="BBG54" s="263"/>
      <c r="BBH54" s="264"/>
      <c r="BBI54" s="295"/>
      <c r="BBJ54" s="295"/>
      <c r="BBK54" s="295"/>
      <c r="BBL54" s="295"/>
      <c r="BBM54" s="295"/>
      <c r="BBN54" s="295"/>
      <c r="BBO54" s="153"/>
      <c r="BBP54" s="153"/>
      <c r="BBQ54" s="151"/>
      <c r="BBR54" s="153"/>
      <c r="BBT54" s="267"/>
      <c r="BBU54" s="267"/>
      <c r="BBV54" s="260"/>
      <c r="BBW54" s="297"/>
      <c r="BBX54" s="297"/>
      <c r="BBY54" s="297"/>
      <c r="BBZ54" s="261"/>
      <c r="BCA54" s="261"/>
      <c r="BCB54" s="261"/>
      <c r="BCC54" s="262"/>
      <c r="BCD54" s="262"/>
      <c r="BCE54" s="261"/>
      <c r="BCF54" s="263"/>
      <c r="BCG54" s="264"/>
      <c r="BCH54" s="295"/>
      <c r="BCI54" s="295"/>
      <c r="BCJ54" s="295"/>
      <c r="BCK54" s="295"/>
      <c r="BCL54" s="295"/>
      <c r="BCM54" s="295"/>
      <c r="BCN54" s="153"/>
      <c r="BCO54" s="153"/>
      <c r="BCP54" s="151"/>
      <c r="BCQ54" s="153"/>
      <c r="BCS54" s="267"/>
      <c r="BCT54" s="267"/>
      <c r="BCU54" s="260"/>
      <c r="BCV54" s="297"/>
      <c r="BCW54" s="297"/>
      <c r="BCX54" s="297"/>
      <c r="BCY54" s="261"/>
      <c r="BCZ54" s="261"/>
      <c r="BDA54" s="261"/>
      <c r="BDB54" s="262"/>
      <c r="BDC54" s="262"/>
      <c r="BDD54" s="261"/>
      <c r="BDE54" s="263"/>
      <c r="BDF54" s="264"/>
      <c r="BDG54" s="295"/>
      <c r="BDH54" s="295"/>
      <c r="BDI54" s="295"/>
      <c r="BDJ54" s="295"/>
      <c r="BDK54" s="295"/>
      <c r="BDL54" s="295"/>
      <c r="BDM54" s="153"/>
      <c r="BDN54" s="153"/>
      <c r="BDO54" s="151"/>
      <c r="BDP54" s="153"/>
      <c r="BDR54" s="267"/>
      <c r="BDS54" s="267"/>
      <c r="BDT54" s="260"/>
      <c r="BDU54" s="297"/>
      <c r="BDV54" s="297"/>
      <c r="BDW54" s="297"/>
      <c r="BDX54" s="261"/>
      <c r="BDY54" s="261"/>
      <c r="BDZ54" s="261"/>
      <c r="BEA54" s="262"/>
      <c r="BEB54" s="262"/>
      <c r="BEC54" s="261"/>
      <c r="BED54" s="263"/>
      <c r="BEE54" s="264"/>
      <c r="BEF54" s="295"/>
      <c r="BEG54" s="295"/>
      <c r="BEH54" s="295"/>
      <c r="BEI54" s="295"/>
      <c r="BEJ54" s="295"/>
      <c r="BEK54" s="295"/>
      <c r="BEL54" s="153"/>
      <c r="BEM54" s="153"/>
      <c r="BEN54" s="151"/>
      <c r="BEO54" s="153"/>
      <c r="BEQ54" s="267"/>
      <c r="BER54" s="267"/>
      <c r="BES54" s="260"/>
      <c r="BET54" s="297"/>
      <c r="BEU54" s="297"/>
      <c r="BEV54" s="297"/>
      <c r="BEW54" s="261"/>
      <c r="BEX54" s="261"/>
      <c r="BEY54" s="261"/>
      <c r="BEZ54" s="262"/>
      <c r="BFA54" s="262"/>
      <c r="BFB54" s="261"/>
      <c r="BFC54" s="263"/>
      <c r="BFD54" s="264"/>
      <c r="BFE54" s="295"/>
      <c r="BFF54" s="295"/>
      <c r="BFG54" s="295"/>
      <c r="BFH54" s="295"/>
      <c r="BFI54" s="295"/>
      <c r="BFJ54" s="295"/>
      <c r="BFK54" s="153"/>
      <c r="BFL54" s="153"/>
      <c r="BFM54" s="151"/>
      <c r="BFN54" s="153"/>
      <c r="BFP54" s="267"/>
      <c r="BFQ54" s="267"/>
      <c r="BFR54" s="260"/>
      <c r="BFS54" s="297"/>
      <c r="BFT54" s="297"/>
      <c r="BFU54" s="297"/>
      <c r="BFV54" s="261"/>
      <c r="BFW54" s="261"/>
      <c r="BFX54" s="261"/>
      <c r="BFY54" s="262"/>
      <c r="BFZ54" s="262"/>
      <c r="BGA54" s="261"/>
      <c r="BGB54" s="263"/>
      <c r="BGC54" s="264"/>
      <c r="BGD54" s="295"/>
      <c r="BGE54" s="295"/>
      <c r="BGF54" s="295"/>
      <c r="BGG54" s="295"/>
      <c r="BGH54" s="295"/>
      <c r="BGI54" s="295"/>
      <c r="BGJ54" s="153"/>
      <c r="BGK54" s="153"/>
      <c r="BGL54" s="151"/>
      <c r="BGM54" s="153"/>
      <c r="BGO54" s="267"/>
      <c r="BGP54" s="267"/>
      <c r="BGQ54" s="260"/>
      <c r="BGR54" s="297"/>
      <c r="BGS54" s="297"/>
      <c r="BGT54" s="297"/>
      <c r="BGU54" s="261"/>
      <c r="BGV54" s="261"/>
      <c r="BGW54" s="261"/>
      <c r="BGX54" s="262"/>
      <c r="BGY54" s="262"/>
      <c r="BGZ54" s="261"/>
      <c r="BHA54" s="263"/>
      <c r="BHB54" s="264"/>
      <c r="BHC54" s="295"/>
      <c r="BHD54" s="295"/>
      <c r="BHE54" s="295"/>
      <c r="BHF54" s="295"/>
      <c r="BHG54" s="295"/>
      <c r="BHH54" s="295"/>
      <c r="BHI54" s="153"/>
      <c r="BHJ54" s="153"/>
      <c r="BHK54" s="151"/>
      <c r="BHL54" s="153"/>
      <c r="BHN54" s="267"/>
      <c r="BHO54" s="267"/>
      <c r="BHP54" s="260"/>
      <c r="BHQ54" s="297"/>
      <c r="BHR54" s="297"/>
      <c r="BHS54" s="297"/>
      <c r="BHT54" s="261"/>
      <c r="BHU54" s="261"/>
      <c r="BHV54" s="261"/>
      <c r="BHW54" s="262"/>
      <c r="BHX54" s="262"/>
      <c r="BHY54" s="261"/>
      <c r="BHZ54" s="263"/>
      <c r="BIA54" s="264"/>
      <c r="BIB54" s="295"/>
      <c r="BIC54" s="295"/>
      <c r="BID54" s="295"/>
      <c r="BIE54" s="295"/>
      <c r="BIF54" s="295"/>
      <c r="BIG54" s="295"/>
      <c r="BIH54" s="153"/>
      <c r="BII54" s="153"/>
      <c r="BIJ54" s="151"/>
      <c r="BIK54" s="153"/>
      <c r="BIM54" s="267"/>
      <c r="BIN54" s="267"/>
      <c r="BIO54" s="260"/>
      <c r="BIP54" s="297"/>
      <c r="BIQ54" s="297"/>
      <c r="BIR54" s="297"/>
      <c r="BIS54" s="261"/>
      <c r="BIT54" s="261"/>
      <c r="BIU54" s="261"/>
      <c r="BIV54" s="262"/>
      <c r="BIW54" s="262"/>
      <c r="BIX54" s="261"/>
      <c r="BIY54" s="263"/>
      <c r="BIZ54" s="264"/>
      <c r="BJA54" s="295"/>
      <c r="BJB54" s="295"/>
      <c r="BJC54" s="295"/>
      <c r="BJD54" s="295"/>
      <c r="BJE54" s="295"/>
      <c r="BJF54" s="295"/>
      <c r="BJG54" s="153"/>
      <c r="BJH54" s="153"/>
      <c r="BJI54" s="151"/>
      <c r="BJJ54" s="153"/>
      <c r="BJL54" s="267"/>
      <c r="BJM54" s="267"/>
      <c r="BJN54" s="260"/>
      <c r="BJO54" s="297"/>
      <c r="BJP54" s="297"/>
      <c r="BJQ54" s="297"/>
      <c r="BJR54" s="261"/>
      <c r="BJS54" s="261"/>
      <c r="BJT54" s="261"/>
      <c r="BJU54" s="262"/>
      <c r="BJV54" s="262"/>
      <c r="BJW54" s="261"/>
      <c r="BJX54" s="263"/>
      <c r="BJY54" s="264"/>
      <c r="BJZ54" s="295"/>
      <c r="BKA54" s="295"/>
      <c r="BKB54" s="295"/>
      <c r="BKC54" s="295"/>
      <c r="BKD54" s="295"/>
      <c r="BKE54" s="295"/>
      <c r="BKF54" s="153"/>
      <c r="BKG54" s="153"/>
      <c r="BKH54" s="151"/>
      <c r="BKI54" s="153"/>
      <c r="BKK54" s="267"/>
      <c r="BKL54" s="267"/>
      <c r="BKM54" s="260"/>
      <c r="BKN54" s="297"/>
      <c r="BKO54" s="297"/>
      <c r="BKP54" s="297"/>
      <c r="BKQ54" s="261"/>
      <c r="BKR54" s="261"/>
      <c r="BKS54" s="261"/>
      <c r="BKT54" s="262"/>
      <c r="BKU54" s="262"/>
      <c r="BKV54" s="261"/>
      <c r="BKW54" s="263"/>
      <c r="BKX54" s="264"/>
      <c r="BKY54" s="295"/>
      <c r="BKZ54" s="295"/>
      <c r="BLA54" s="295"/>
      <c r="BLB54" s="295"/>
      <c r="BLC54" s="295"/>
      <c r="BLD54" s="295"/>
      <c r="BLE54" s="153"/>
      <c r="BLF54" s="153"/>
      <c r="BLG54" s="151"/>
      <c r="BLH54" s="153"/>
      <c r="BLJ54" s="267"/>
      <c r="BLK54" s="267"/>
      <c r="BLL54" s="260"/>
      <c r="BLM54" s="297"/>
      <c r="BLN54" s="297"/>
      <c r="BLO54" s="297"/>
      <c r="BLP54" s="261"/>
      <c r="BLQ54" s="261"/>
      <c r="BLR54" s="261"/>
      <c r="BLS54" s="262"/>
      <c r="BLT54" s="262"/>
      <c r="BLU54" s="261"/>
      <c r="BLV54" s="263"/>
      <c r="BLW54" s="264"/>
      <c r="BLX54" s="295"/>
      <c r="BLY54" s="295"/>
      <c r="BLZ54" s="295"/>
      <c r="BMA54" s="295"/>
      <c r="BMB54" s="295"/>
      <c r="BMC54" s="295"/>
      <c r="BMD54" s="153"/>
      <c r="BME54" s="153"/>
      <c r="BMF54" s="151"/>
      <c r="BMG54" s="153"/>
      <c r="BMI54" s="267"/>
      <c r="BMJ54" s="267"/>
      <c r="BMK54" s="260"/>
      <c r="BML54" s="297"/>
      <c r="BMM54" s="297"/>
      <c r="BMN54" s="297"/>
      <c r="BMO54" s="261"/>
      <c r="BMP54" s="261"/>
      <c r="BMQ54" s="261"/>
      <c r="BMR54" s="262"/>
      <c r="BMS54" s="262"/>
      <c r="BMT54" s="261"/>
      <c r="BMU54" s="263"/>
      <c r="BMV54" s="264"/>
      <c r="BMW54" s="295"/>
      <c r="BMX54" s="295"/>
      <c r="BMY54" s="295"/>
      <c r="BMZ54" s="295"/>
      <c r="BNA54" s="295"/>
      <c r="BNB54" s="295"/>
      <c r="BNC54" s="153"/>
      <c r="BND54" s="153"/>
      <c r="BNE54" s="151"/>
      <c r="BNF54" s="153"/>
      <c r="BNH54" s="267"/>
      <c r="BNI54" s="267"/>
      <c r="BNJ54" s="260"/>
      <c r="BNK54" s="297"/>
      <c r="BNL54" s="297"/>
      <c r="BNM54" s="297"/>
      <c r="BNN54" s="261"/>
      <c r="BNO54" s="261"/>
      <c r="BNP54" s="261"/>
      <c r="BNQ54" s="262"/>
      <c r="BNR54" s="262"/>
      <c r="BNS54" s="261"/>
      <c r="BNT54" s="263"/>
      <c r="BNU54" s="264"/>
      <c r="BNV54" s="295"/>
      <c r="BNW54" s="295"/>
      <c r="BNX54" s="295"/>
      <c r="BNY54" s="295"/>
      <c r="BNZ54" s="295"/>
      <c r="BOA54" s="295"/>
      <c r="BOB54" s="153"/>
      <c r="BOC54" s="153"/>
      <c r="BOD54" s="151"/>
      <c r="BOE54" s="153"/>
      <c r="BOG54" s="267"/>
      <c r="BOH54" s="267"/>
      <c r="BOI54" s="260"/>
      <c r="BOJ54" s="297"/>
      <c r="BOK54" s="297"/>
      <c r="BOL54" s="297"/>
      <c r="BOM54" s="261"/>
      <c r="BON54" s="261"/>
      <c r="BOO54" s="261"/>
      <c r="BOP54" s="262"/>
      <c r="BOQ54" s="262"/>
      <c r="BOR54" s="261"/>
      <c r="BOS54" s="263"/>
      <c r="BOT54" s="264"/>
      <c r="BOU54" s="295"/>
      <c r="BOV54" s="295"/>
      <c r="BOW54" s="295"/>
      <c r="BOX54" s="295"/>
      <c r="BOY54" s="295"/>
      <c r="BOZ54" s="295"/>
      <c r="BPA54" s="153"/>
      <c r="BPB54" s="153"/>
      <c r="BPC54" s="151"/>
      <c r="BPD54" s="153"/>
      <c r="BPF54" s="267"/>
      <c r="BPG54" s="267"/>
      <c r="BPH54" s="260"/>
      <c r="BPI54" s="297"/>
      <c r="BPJ54" s="297"/>
      <c r="BPK54" s="297"/>
      <c r="BPL54" s="261"/>
      <c r="BPM54" s="261"/>
      <c r="BPN54" s="261"/>
      <c r="BPO54" s="262"/>
      <c r="BPP54" s="262"/>
      <c r="BPQ54" s="261"/>
      <c r="BPR54" s="263"/>
      <c r="BPS54" s="264"/>
      <c r="BPT54" s="295"/>
      <c r="BPU54" s="295"/>
      <c r="BPV54" s="295"/>
      <c r="BPW54" s="295"/>
      <c r="BPX54" s="295"/>
      <c r="BPY54" s="295"/>
      <c r="BPZ54" s="153"/>
      <c r="BQA54" s="153"/>
      <c r="BQB54" s="151"/>
      <c r="BQC54" s="153"/>
      <c r="BQE54" s="267"/>
      <c r="BQF54" s="267"/>
      <c r="BQG54" s="260"/>
      <c r="BQH54" s="297"/>
      <c r="BQI54" s="297"/>
      <c r="BQJ54" s="297"/>
      <c r="BQK54" s="261"/>
      <c r="BQL54" s="261"/>
      <c r="BQM54" s="261"/>
      <c r="BQN54" s="262"/>
      <c r="BQO54" s="262"/>
      <c r="BQP54" s="261"/>
      <c r="BQQ54" s="263"/>
      <c r="BQR54" s="264"/>
      <c r="BQS54" s="295"/>
      <c r="BQT54" s="295"/>
      <c r="BQU54" s="295"/>
      <c r="BQV54" s="295"/>
      <c r="BQW54" s="295"/>
      <c r="BQX54" s="295"/>
      <c r="BQY54" s="153"/>
      <c r="BQZ54" s="153"/>
      <c r="BRA54" s="151"/>
      <c r="BRB54" s="153"/>
      <c r="BRD54" s="267"/>
      <c r="BRE54" s="267"/>
      <c r="BRF54" s="260"/>
      <c r="BRG54" s="297"/>
      <c r="BRH54" s="297"/>
      <c r="BRI54" s="297"/>
      <c r="BRJ54" s="261"/>
      <c r="BRK54" s="261"/>
      <c r="BRL54" s="261"/>
      <c r="BRM54" s="262"/>
      <c r="BRN54" s="262"/>
      <c r="BRO54" s="261"/>
      <c r="BRP54" s="263"/>
      <c r="BRQ54" s="264"/>
      <c r="BRR54" s="295"/>
      <c r="BRS54" s="295"/>
      <c r="BRT54" s="295"/>
      <c r="BRU54" s="295"/>
      <c r="BRV54" s="295"/>
      <c r="BRW54" s="295"/>
      <c r="BRX54" s="153"/>
      <c r="BRY54" s="153"/>
      <c r="BRZ54" s="151"/>
      <c r="BSA54" s="153"/>
      <c r="BSC54" s="267"/>
      <c r="BSD54" s="267"/>
      <c r="BSE54" s="260"/>
      <c r="BSF54" s="297"/>
      <c r="BSG54" s="297"/>
      <c r="BSH54" s="297"/>
      <c r="BSI54" s="261"/>
      <c r="BSJ54" s="261"/>
      <c r="BSK54" s="261"/>
      <c r="BSL54" s="262"/>
      <c r="BSM54" s="262"/>
      <c r="BSN54" s="261"/>
      <c r="BSO54" s="263"/>
      <c r="BSP54" s="264"/>
      <c r="BSQ54" s="295"/>
      <c r="BSR54" s="295"/>
      <c r="BSS54" s="295"/>
      <c r="BST54" s="295"/>
      <c r="BSU54" s="295"/>
      <c r="BSV54" s="295"/>
      <c r="BSW54" s="153"/>
      <c r="BSX54" s="153"/>
      <c r="BSY54" s="151"/>
      <c r="BSZ54" s="153"/>
      <c r="BTB54" s="267"/>
      <c r="BTC54" s="267"/>
      <c r="BTD54" s="260"/>
      <c r="BTE54" s="297"/>
      <c r="BTF54" s="297"/>
      <c r="BTG54" s="297"/>
      <c r="BTH54" s="261"/>
      <c r="BTI54" s="261"/>
      <c r="BTJ54" s="261"/>
      <c r="BTK54" s="262"/>
      <c r="BTL54" s="262"/>
      <c r="BTM54" s="261"/>
      <c r="BTN54" s="263"/>
      <c r="BTO54" s="264"/>
      <c r="BTP54" s="295"/>
      <c r="BTQ54" s="295"/>
      <c r="BTR54" s="295"/>
      <c r="BTS54" s="295"/>
      <c r="BTT54" s="295"/>
      <c r="BTU54" s="295"/>
      <c r="BTV54" s="153"/>
      <c r="BTW54" s="153"/>
      <c r="BTX54" s="151"/>
      <c r="BTY54" s="153"/>
      <c r="BUA54" s="267"/>
      <c r="BUB54" s="267"/>
      <c r="BUC54" s="260"/>
      <c r="BUD54" s="297"/>
      <c r="BUE54" s="297"/>
      <c r="BUF54" s="297"/>
      <c r="BUG54" s="261"/>
      <c r="BUH54" s="261"/>
      <c r="BUI54" s="261"/>
      <c r="BUJ54" s="262"/>
      <c r="BUK54" s="262"/>
      <c r="BUL54" s="261"/>
      <c r="BUM54" s="263"/>
      <c r="BUN54" s="264"/>
      <c r="BUO54" s="295"/>
      <c r="BUP54" s="295"/>
      <c r="BUQ54" s="295"/>
      <c r="BUR54" s="295"/>
      <c r="BUS54" s="295"/>
      <c r="BUT54" s="295"/>
      <c r="BUU54" s="153"/>
      <c r="BUV54" s="153"/>
      <c r="BUW54" s="151"/>
      <c r="BUX54" s="153"/>
      <c r="BUZ54" s="267"/>
      <c r="BVA54" s="267"/>
      <c r="BVB54" s="260"/>
      <c r="BVC54" s="297"/>
      <c r="BVD54" s="297"/>
      <c r="BVE54" s="297"/>
      <c r="BVF54" s="261"/>
      <c r="BVG54" s="261"/>
      <c r="BVH54" s="261"/>
      <c r="BVI54" s="262"/>
      <c r="BVJ54" s="262"/>
      <c r="BVK54" s="261"/>
      <c r="BVL54" s="263"/>
      <c r="BVM54" s="264"/>
      <c r="BVN54" s="295"/>
      <c r="BVO54" s="295"/>
      <c r="BVP54" s="295"/>
      <c r="BVQ54" s="295"/>
      <c r="BVR54" s="295"/>
      <c r="BVS54" s="295"/>
      <c r="BVT54" s="153"/>
      <c r="BVU54" s="153"/>
      <c r="BVV54" s="151"/>
      <c r="BVW54" s="153"/>
      <c r="BVY54" s="267"/>
      <c r="BVZ54" s="267"/>
      <c r="BWA54" s="260"/>
      <c r="BWB54" s="297"/>
      <c r="BWC54" s="297"/>
      <c r="BWD54" s="297"/>
      <c r="BWE54" s="261"/>
      <c r="BWF54" s="261"/>
      <c r="BWG54" s="261"/>
      <c r="BWH54" s="262"/>
      <c r="BWI54" s="262"/>
      <c r="BWJ54" s="261"/>
      <c r="BWK54" s="263"/>
      <c r="BWL54" s="264"/>
      <c r="BWM54" s="295"/>
      <c r="BWN54" s="295"/>
      <c r="BWO54" s="295"/>
      <c r="BWP54" s="295"/>
      <c r="BWQ54" s="295"/>
      <c r="BWR54" s="295"/>
      <c r="BWS54" s="153"/>
      <c r="BWT54" s="153"/>
      <c r="BWU54" s="151"/>
      <c r="BWV54" s="153"/>
      <c r="BWX54" s="267"/>
      <c r="BWY54" s="267"/>
      <c r="BWZ54" s="260"/>
      <c r="BXA54" s="297"/>
      <c r="BXB54" s="297"/>
      <c r="BXC54" s="297"/>
      <c r="BXD54" s="261"/>
      <c r="BXE54" s="261"/>
      <c r="BXF54" s="261"/>
      <c r="BXG54" s="262"/>
      <c r="BXH54" s="262"/>
      <c r="BXI54" s="261"/>
      <c r="BXJ54" s="263"/>
      <c r="BXK54" s="264"/>
      <c r="BXL54" s="295"/>
      <c r="BXM54" s="295"/>
      <c r="BXN54" s="295"/>
      <c r="BXO54" s="295"/>
      <c r="BXP54" s="295"/>
      <c r="BXQ54" s="295"/>
      <c r="BXR54" s="153"/>
      <c r="BXS54" s="153"/>
      <c r="BXT54" s="151"/>
      <c r="BXU54" s="153"/>
      <c r="BXW54" s="267"/>
      <c r="BXX54" s="267"/>
      <c r="BXY54" s="260"/>
      <c r="BXZ54" s="297"/>
      <c r="BYA54" s="297"/>
      <c r="BYB54" s="297"/>
      <c r="BYC54" s="261"/>
      <c r="BYD54" s="261"/>
      <c r="BYE54" s="261"/>
      <c r="BYF54" s="262"/>
      <c r="BYG54" s="262"/>
      <c r="BYH54" s="261"/>
      <c r="BYI54" s="263"/>
      <c r="BYJ54" s="264"/>
      <c r="BYK54" s="295"/>
      <c r="BYL54" s="295"/>
      <c r="BYM54" s="295"/>
      <c r="BYN54" s="295"/>
      <c r="BYO54" s="295"/>
      <c r="BYP54" s="295"/>
      <c r="BYQ54" s="153"/>
      <c r="BYR54" s="153"/>
      <c r="BYS54" s="151"/>
      <c r="BYT54" s="153"/>
      <c r="BYV54" s="267"/>
      <c r="BYW54" s="267"/>
      <c r="BYX54" s="260"/>
      <c r="BYY54" s="297"/>
      <c r="BYZ54" s="297"/>
      <c r="BZA54" s="297"/>
      <c r="BZB54" s="261"/>
      <c r="BZC54" s="261"/>
      <c r="BZD54" s="261"/>
      <c r="BZE54" s="262"/>
      <c r="BZF54" s="262"/>
      <c r="BZG54" s="261"/>
      <c r="BZH54" s="263"/>
      <c r="BZI54" s="264"/>
      <c r="BZJ54" s="295"/>
      <c r="BZK54" s="295"/>
      <c r="BZL54" s="295"/>
      <c r="BZM54" s="295"/>
      <c r="BZN54" s="295"/>
      <c r="BZO54" s="295"/>
      <c r="BZP54" s="153"/>
      <c r="BZQ54" s="153"/>
      <c r="BZR54" s="151"/>
      <c r="BZS54" s="153"/>
      <c r="BZU54" s="267"/>
      <c r="BZV54" s="267"/>
      <c r="BZW54" s="260"/>
      <c r="BZX54" s="297"/>
      <c r="BZY54" s="297"/>
      <c r="BZZ54" s="297"/>
      <c r="CAA54" s="261"/>
      <c r="CAB54" s="261"/>
      <c r="CAC54" s="261"/>
      <c r="CAD54" s="262"/>
      <c r="CAE54" s="262"/>
      <c r="CAF54" s="261"/>
      <c r="CAG54" s="263"/>
      <c r="CAH54" s="264"/>
      <c r="CAI54" s="295"/>
      <c r="CAJ54" s="295"/>
      <c r="CAK54" s="295"/>
      <c r="CAL54" s="295"/>
      <c r="CAM54" s="295"/>
      <c r="CAN54" s="295"/>
      <c r="CAO54" s="153"/>
      <c r="CAP54" s="153"/>
      <c r="CAQ54" s="151"/>
      <c r="CAR54" s="153"/>
      <c r="CAT54" s="267"/>
      <c r="CAU54" s="267"/>
      <c r="CAV54" s="260"/>
      <c r="CAW54" s="297"/>
      <c r="CAX54" s="297"/>
      <c r="CAY54" s="297"/>
      <c r="CAZ54" s="261"/>
      <c r="CBA54" s="261"/>
      <c r="CBB54" s="261"/>
      <c r="CBC54" s="262"/>
      <c r="CBD54" s="262"/>
      <c r="CBE54" s="261"/>
      <c r="CBF54" s="263"/>
      <c r="CBG54" s="264"/>
      <c r="CBH54" s="295"/>
      <c r="CBI54" s="295"/>
      <c r="CBJ54" s="295"/>
      <c r="CBK54" s="295"/>
      <c r="CBL54" s="295"/>
      <c r="CBM54" s="295"/>
      <c r="CBN54" s="153"/>
      <c r="CBO54" s="153"/>
      <c r="CBP54" s="151"/>
      <c r="CBQ54" s="153"/>
      <c r="CBS54" s="267"/>
      <c r="CBT54" s="267"/>
      <c r="CBU54" s="260"/>
      <c r="CBV54" s="297"/>
      <c r="CBW54" s="297"/>
      <c r="CBX54" s="297"/>
      <c r="CBY54" s="261"/>
      <c r="CBZ54" s="261"/>
      <c r="CCA54" s="261"/>
      <c r="CCB54" s="262"/>
      <c r="CCC54" s="262"/>
      <c r="CCD54" s="261"/>
      <c r="CCE54" s="263"/>
      <c r="CCF54" s="264"/>
      <c r="CCG54" s="295"/>
      <c r="CCH54" s="295"/>
      <c r="CCI54" s="295"/>
      <c r="CCJ54" s="295"/>
      <c r="CCK54" s="295"/>
      <c r="CCL54" s="295"/>
      <c r="CCM54" s="153"/>
      <c r="CCN54" s="153"/>
      <c r="CCO54" s="151"/>
      <c r="CCP54" s="153"/>
      <c r="CCR54" s="267"/>
      <c r="CCS54" s="267"/>
      <c r="CCT54" s="260"/>
      <c r="CCU54" s="297"/>
      <c r="CCV54" s="297"/>
      <c r="CCW54" s="297"/>
      <c r="CCX54" s="261"/>
      <c r="CCY54" s="261"/>
      <c r="CCZ54" s="261"/>
      <c r="CDA54" s="262"/>
      <c r="CDB54" s="262"/>
      <c r="CDC54" s="261"/>
      <c r="CDD54" s="263"/>
      <c r="CDE54" s="264"/>
      <c r="CDF54" s="295"/>
      <c r="CDG54" s="295"/>
      <c r="CDH54" s="295"/>
      <c r="CDI54" s="295"/>
      <c r="CDJ54" s="295"/>
      <c r="CDK54" s="295"/>
      <c r="CDL54" s="153"/>
      <c r="CDM54" s="153"/>
      <c r="CDN54" s="151"/>
      <c r="CDO54" s="153"/>
      <c r="CDQ54" s="267"/>
      <c r="CDR54" s="267"/>
      <c r="CDS54" s="260"/>
      <c r="CDT54" s="297"/>
      <c r="CDU54" s="297"/>
      <c r="CDV54" s="297"/>
      <c r="CDW54" s="261"/>
      <c r="CDX54" s="261"/>
      <c r="CDY54" s="261"/>
      <c r="CDZ54" s="262"/>
      <c r="CEA54" s="262"/>
      <c r="CEB54" s="261"/>
      <c r="CEC54" s="263"/>
      <c r="CED54" s="264"/>
      <c r="CEE54" s="295"/>
      <c r="CEF54" s="295"/>
      <c r="CEG54" s="295"/>
      <c r="CEH54" s="295"/>
      <c r="CEI54" s="295"/>
      <c r="CEJ54" s="295"/>
      <c r="CEK54" s="153"/>
      <c r="CEL54" s="153"/>
      <c r="CEM54" s="151"/>
      <c r="CEN54" s="153"/>
      <c r="CEP54" s="267"/>
      <c r="CEQ54" s="267"/>
      <c r="CER54" s="260"/>
      <c r="CES54" s="297"/>
      <c r="CET54" s="297"/>
      <c r="CEU54" s="297"/>
      <c r="CEV54" s="261"/>
      <c r="CEW54" s="261"/>
      <c r="CEX54" s="261"/>
      <c r="CEY54" s="262"/>
      <c r="CEZ54" s="262"/>
      <c r="CFA54" s="261"/>
      <c r="CFB54" s="263"/>
      <c r="CFC54" s="264"/>
      <c r="CFD54" s="295"/>
      <c r="CFE54" s="295"/>
      <c r="CFF54" s="295"/>
      <c r="CFG54" s="295"/>
      <c r="CFH54" s="295"/>
      <c r="CFI54" s="295"/>
      <c r="CFJ54" s="153"/>
      <c r="CFK54" s="153"/>
      <c r="CFL54" s="151"/>
      <c r="CFM54" s="153"/>
      <c r="CFO54" s="267"/>
      <c r="CFP54" s="267"/>
      <c r="CFQ54" s="260"/>
      <c r="CFR54" s="297"/>
      <c r="CFS54" s="297"/>
      <c r="CFT54" s="297"/>
      <c r="CFU54" s="261"/>
      <c r="CFV54" s="261"/>
      <c r="CFW54" s="261"/>
      <c r="CFX54" s="262"/>
      <c r="CFY54" s="262"/>
      <c r="CFZ54" s="261"/>
      <c r="CGA54" s="263"/>
      <c r="CGB54" s="264"/>
      <c r="CGC54" s="295"/>
      <c r="CGD54" s="295"/>
      <c r="CGE54" s="295"/>
      <c r="CGF54" s="295"/>
      <c r="CGG54" s="295"/>
      <c r="CGH54" s="295"/>
      <c r="CGI54" s="153"/>
      <c r="CGJ54" s="153"/>
      <c r="CGK54" s="151"/>
      <c r="CGL54" s="153"/>
      <c r="CGN54" s="267"/>
      <c r="CGO54" s="267"/>
      <c r="CGP54" s="260"/>
      <c r="CGQ54" s="297"/>
      <c r="CGR54" s="297"/>
      <c r="CGS54" s="297"/>
      <c r="CGT54" s="261"/>
      <c r="CGU54" s="261"/>
      <c r="CGV54" s="261"/>
      <c r="CGW54" s="262"/>
      <c r="CGX54" s="262"/>
      <c r="CGY54" s="261"/>
      <c r="CGZ54" s="263"/>
      <c r="CHA54" s="264"/>
      <c r="CHB54" s="295"/>
      <c r="CHC54" s="295"/>
      <c r="CHD54" s="295"/>
      <c r="CHE54" s="295"/>
      <c r="CHF54" s="295"/>
      <c r="CHG54" s="295"/>
      <c r="CHH54" s="153"/>
      <c r="CHI54" s="153"/>
      <c r="CHJ54" s="151"/>
      <c r="CHK54" s="153"/>
      <c r="CHM54" s="267"/>
      <c r="CHN54" s="267"/>
      <c r="CHO54" s="260"/>
      <c r="CHP54" s="297"/>
      <c r="CHQ54" s="297"/>
      <c r="CHR54" s="297"/>
      <c r="CHS54" s="261"/>
      <c r="CHT54" s="261"/>
      <c r="CHU54" s="261"/>
      <c r="CHV54" s="262"/>
      <c r="CHW54" s="262"/>
      <c r="CHX54" s="261"/>
      <c r="CHY54" s="263"/>
      <c r="CHZ54" s="264"/>
      <c r="CIA54" s="295"/>
      <c r="CIB54" s="295"/>
      <c r="CIC54" s="295"/>
      <c r="CID54" s="295"/>
      <c r="CIE54" s="295"/>
      <c r="CIF54" s="295"/>
      <c r="CIG54" s="153"/>
      <c r="CIH54" s="153"/>
      <c r="CII54" s="151"/>
      <c r="CIJ54" s="153"/>
      <c r="CIL54" s="267"/>
      <c r="CIM54" s="267"/>
      <c r="CIN54" s="260"/>
      <c r="CIO54" s="297"/>
      <c r="CIP54" s="297"/>
      <c r="CIQ54" s="297"/>
      <c r="CIR54" s="261"/>
      <c r="CIS54" s="261"/>
      <c r="CIT54" s="261"/>
      <c r="CIU54" s="262"/>
      <c r="CIV54" s="262"/>
      <c r="CIW54" s="261"/>
      <c r="CIX54" s="263"/>
      <c r="CIY54" s="264"/>
      <c r="CIZ54" s="295"/>
      <c r="CJA54" s="295"/>
      <c r="CJB54" s="295"/>
      <c r="CJC54" s="295"/>
      <c r="CJD54" s="295"/>
      <c r="CJE54" s="295"/>
      <c r="CJF54" s="153"/>
      <c r="CJG54" s="153"/>
      <c r="CJH54" s="151"/>
      <c r="CJI54" s="153"/>
      <c r="CJK54" s="267"/>
      <c r="CJL54" s="267"/>
      <c r="CJM54" s="260"/>
      <c r="CJN54" s="297"/>
      <c r="CJO54" s="297"/>
      <c r="CJP54" s="297"/>
      <c r="CJQ54" s="261"/>
      <c r="CJR54" s="261"/>
      <c r="CJS54" s="261"/>
      <c r="CJT54" s="262"/>
      <c r="CJU54" s="262"/>
      <c r="CJV54" s="261"/>
      <c r="CJW54" s="263"/>
      <c r="CJX54" s="264"/>
      <c r="CJY54" s="295"/>
      <c r="CJZ54" s="295"/>
      <c r="CKA54" s="295"/>
      <c r="CKB54" s="295"/>
      <c r="CKC54" s="295"/>
      <c r="CKD54" s="295"/>
      <c r="CKE54" s="153"/>
      <c r="CKF54" s="153"/>
      <c r="CKG54" s="151"/>
      <c r="CKH54" s="153"/>
      <c r="CKJ54" s="267"/>
      <c r="CKK54" s="267"/>
      <c r="CKL54" s="260"/>
      <c r="CKM54" s="297"/>
      <c r="CKN54" s="297"/>
      <c r="CKO54" s="297"/>
      <c r="CKP54" s="261"/>
      <c r="CKQ54" s="261"/>
      <c r="CKR54" s="261"/>
      <c r="CKS54" s="262"/>
      <c r="CKT54" s="262"/>
      <c r="CKU54" s="261"/>
      <c r="CKV54" s="263"/>
      <c r="CKW54" s="264"/>
      <c r="CKX54" s="295"/>
      <c r="CKY54" s="295"/>
      <c r="CKZ54" s="295"/>
      <c r="CLA54" s="295"/>
      <c r="CLB54" s="295"/>
      <c r="CLC54" s="295"/>
      <c r="CLD54" s="153"/>
      <c r="CLE54" s="153"/>
      <c r="CLF54" s="151"/>
      <c r="CLG54" s="153"/>
      <c r="CLI54" s="267"/>
      <c r="CLJ54" s="267"/>
      <c r="CLK54" s="260"/>
      <c r="CLL54" s="297"/>
      <c r="CLM54" s="297"/>
      <c r="CLN54" s="297"/>
      <c r="CLO54" s="261"/>
      <c r="CLP54" s="261"/>
      <c r="CLQ54" s="261"/>
      <c r="CLR54" s="262"/>
      <c r="CLS54" s="262"/>
      <c r="CLT54" s="261"/>
      <c r="CLU54" s="263"/>
      <c r="CLV54" s="264"/>
      <c r="CLW54" s="295"/>
      <c r="CLX54" s="295"/>
      <c r="CLY54" s="295"/>
      <c r="CLZ54" s="295"/>
      <c r="CMA54" s="295"/>
      <c r="CMB54" s="295"/>
      <c r="CMC54" s="153"/>
      <c r="CMD54" s="153"/>
      <c r="CME54" s="151"/>
      <c r="CMF54" s="153"/>
      <c r="CMH54" s="267"/>
      <c r="CMI54" s="267"/>
      <c r="CMJ54" s="260"/>
      <c r="CMK54" s="297"/>
      <c r="CML54" s="297"/>
      <c r="CMM54" s="297"/>
      <c r="CMN54" s="261"/>
      <c r="CMO54" s="261"/>
      <c r="CMP54" s="261"/>
      <c r="CMQ54" s="262"/>
      <c r="CMR54" s="262"/>
      <c r="CMS54" s="261"/>
      <c r="CMT54" s="263"/>
      <c r="CMU54" s="264"/>
      <c r="CMV54" s="295"/>
      <c r="CMW54" s="295"/>
      <c r="CMX54" s="295"/>
      <c r="CMY54" s="295"/>
      <c r="CMZ54" s="295"/>
      <c r="CNA54" s="295"/>
      <c r="CNB54" s="153"/>
      <c r="CNC54" s="153"/>
      <c r="CND54" s="151"/>
      <c r="CNE54" s="153"/>
      <c r="CNG54" s="267"/>
      <c r="CNH54" s="267"/>
      <c r="CNI54" s="260"/>
      <c r="CNJ54" s="297"/>
      <c r="CNK54" s="297"/>
      <c r="CNL54" s="297"/>
      <c r="CNM54" s="261"/>
      <c r="CNN54" s="261"/>
      <c r="CNO54" s="261"/>
      <c r="CNP54" s="262"/>
      <c r="CNQ54" s="262"/>
      <c r="CNR54" s="261"/>
      <c r="CNS54" s="263"/>
      <c r="CNT54" s="264"/>
      <c r="CNU54" s="295"/>
      <c r="CNV54" s="295"/>
      <c r="CNW54" s="295"/>
      <c r="CNX54" s="295"/>
      <c r="CNY54" s="295"/>
      <c r="CNZ54" s="295"/>
      <c r="COA54" s="153"/>
      <c r="COB54" s="153"/>
      <c r="COC54" s="151"/>
      <c r="COD54" s="153"/>
      <c r="COF54" s="267"/>
      <c r="COG54" s="267"/>
      <c r="COH54" s="260"/>
      <c r="COI54" s="297"/>
      <c r="COJ54" s="297"/>
      <c r="COK54" s="297"/>
      <c r="COL54" s="261"/>
      <c r="COM54" s="261"/>
      <c r="CON54" s="261"/>
      <c r="COO54" s="262"/>
      <c r="COP54" s="262"/>
      <c r="COQ54" s="261"/>
      <c r="COR54" s="263"/>
      <c r="COS54" s="264"/>
      <c r="COT54" s="295"/>
      <c r="COU54" s="295"/>
      <c r="COV54" s="295"/>
      <c r="COW54" s="295"/>
      <c r="COX54" s="295"/>
      <c r="COY54" s="295"/>
      <c r="COZ54" s="153"/>
      <c r="CPA54" s="153"/>
      <c r="CPB54" s="151"/>
      <c r="CPC54" s="153"/>
      <c r="CPE54" s="267"/>
      <c r="CPF54" s="267"/>
      <c r="CPG54" s="260"/>
      <c r="CPH54" s="297"/>
      <c r="CPI54" s="297"/>
      <c r="CPJ54" s="297"/>
      <c r="CPK54" s="261"/>
      <c r="CPL54" s="261"/>
      <c r="CPM54" s="261"/>
      <c r="CPN54" s="262"/>
      <c r="CPO54" s="262"/>
      <c r="CPP54" s="261"/>
      <c r="CPQ54" s="263"/>
      <c r="CPR54" s="264"/>
      <c r="CPS54" s="295"/>
      <c r="CPT54" s="295"/>
      <c r="CPU54" s="295"/>
      <c r="CPV54" s="295"/>
      <c r="CPW54" s="295"/>
      <c r="CPX54" s="295"/>
      <c r="CPY54" s="153"/>
      <c r="CPZ54" s="153"/>
      <c r="CQA54" s="151"/>
      <c r="CQB54" s="153"/>
      <c r="CQD54" s="267"/>
      <c r="CQE54" s="267"/>
      <c r="CQF54" s="260"/>
      <c r="CQG54" s="297"/>
      <c r="CQH54" s="297"/>
      <c r="CQI54" s="297"/>
      <c r="CQJ54" s="261"/>
      <c r="CQK54" s="261"/>
      <c r="CQL54" s="261"/>
      <c r="CQM54" s="262"/>
      <c r="CQN54" s="262"/>
      <c r="CQO54" s="261"/>
      <c r="CQP54" s="263"/>
      <c r="CQQ54" s="264"/>
      <c r="CQR54" s="295"/>
      <c r="CQS54" s="295"/>
      <c r="CQT54" s="295"/>
      <c r="CQU54" s="295"/>
      <c r="CQV54" s="295"/>
      <c r="CQW54" s="295"/>
      <c r="CQX54" s="153"/>
      <c r="CQY54" s="153"/>
      <c r="CQZ54" s="151"/>
      <c r="CRA54" s="153"/>
      <c r="CRC54" s="267"/>
      <c r="CRD54" s="267"/>
      <c r="CRE54" s="260"/>
      <c r="CRF54" s="297"/>
      <c r="CRG54" s="297"/>
      <c r="CRH54" s="297"/>
      <c r="CRI54" s="261"/>
      <c r="CRJ54" s="261"/>
      <c r="CRK54" s="261"/>
      <c r="CRL54" s="262"/>
      <c r="CRM54" s="262"/>
      <c r="CRN54" s="261"/>
      <c r="CRO54" s="263"/>
      <c r="CRP54" s="264"/>
      <c r="CRQ54" s="295"/>
      <c r="CRR54" s="295"/>
      <c r="CRS54" s="295"/>
      <c r="CRT54" s="295"/>
      <c r="CRU54" s="295"/>
      <c r="CRV54" s="295"/>
      <c r="CRW54" s="153"/>
      <c r="CRX54" s="153"/>
      <c r="CRY54" s="151"/>
      <c r="CRZ54" s="153"/>
      <c r="CSB54" s="267"/>
      <c r="CSC54" s="267"/>
      <c r="CSD54" s="260"/>
      <c r="CSE54" s="297"/>
      <c r="CSF54" s="297"/>
      <c r="CSG54" s="297"/>
      <c r="CSH54" s="261"/>
      <c r="CSI54" s="261"/>
      <c r="CSJ54" s="261"/>
      <c r="CSK54" s="262"/>
      <c r="CSL54" s="262"/>
      <c r="CSM54" s="261"/>
      <c r="CSN54" s="263"/>
      <c r="CSO54" s="264"/>
      <c r="CSP54" s="295"/>
      <c r="CSQ54" s="295"/>
      <c r="CSR54" s="295"/>
      <c r="CSS54" s="295"/>
      <c r="CST54" s="295"/>
      <c r="CSU54" s="295"/>
      <c r="CSV54" s="153"/>
      <c r="CSW54" s="153"/>
      <c r="CSX54" s="151"/>
      <c r="CSY54" s="153"/>
      <c r="CTA54" s="267"/>
      <c r="CTB54" s="267"/>
      <c r="CTC54" s="260"/>
      <c r="CTD54" s="297"/>
      <c r="CTE54" s="297"/>
      <c r="CTF54" s="297"/>
      <c r="CTG54" s="261"/>
      <c r="CTH54" s="261"/>
      <c r="CTI54" s="261"/>
      <c r="CTJ54" s="262"/>
      <c r="CTK54" s="262"/>
      <c r="CTL54" s="261"/>
      <c r="CTM54" s="263"/>
      <c r="CTN54" s="264"/>
      <c r="CTO54" s="295"/>
      <c r="CTP54" s="295"/>
      <c r="CTQ54" s="295"/>
      <c r="CTR54" s="295"/>
      <c r="CTS54" s="295"/>
      <c r="CTT54" s="295"/>
      <c r="CTU54" s="153"/>
      <c r="CTV54" s="153"/>
      <c r="CTW54" s="151"/>
      <c r="CTX54" s="153"/>
      <c r="CTZ54" s="267"/>
      <c r="CUA54" s="267"/>
      <c r="CUB54" s="260"/>
      <c r="CUC54" s="297"/>
      <c r="CUD54" s="297"/>
      <c r="CUE54" s="297"/>
      <c r="CUF54" s="261"/>
      <c r="CUG54" s="261"/>
      <c r="CUH54" s="261"/>
      <c r="CUI54" s="262"/>
      <c r="CUJ54" s="262"/>
      <c r="CUK54" s="261"/>
      <c r="CUL54" s="263"/>
      <c r="CUM54" s="264"/>
      <c r="CUN54" s="295"/>
      <c r="CUO54" s="295"/>
      <c r="CUP54" s="295"/>
      <c r="CUQ54" s="295"/>
      <c r="CUR54" s="295"/>
      <c r="CUS54" s="295"/>
      <c r="CUT54" s="153"/>
      <c r="CUU54" s="153"/>
      <c r="CUV54" s="151"/>
      <c r="CUW54" s="153"/>
      <c r="CUY54" s="267"/>
      <c r="CUZ54" s="267"/>
      <c r="CVA54" s="260"/>
      <c r="CVB54" s="297"/>
      <c r="CVC54" s="297"/>
      <c r="CVD54" s="297"/>
      <c r="CVE54" s="261"/>
      <c r="CVF54" s="261"/>
      <c r="CVG54" s="261"/>
      <c r="CVH54" s="262"/>
      <c r="CVI54" s="262"/>
      <c r="CVJ54" s="261"/>
      <c r="CVK54" s="263"/>
      <c r="CVL54" s="264"/>
      <c r="CVM54" s="295"/>
      <c r="CVN54" s="295"/>
      <c r="CVO54" s="295"/>
      <c r="CVP54" s="295"/>
      <c r="CVQ54" s="295"/>
      <c r="CVR54" s="295"/>
      <c r="CVS54" s="153"/>
      <c r="CVT54" s="153"/>
      <c r="CVU54" s="151"/>
      <c r="CVV54" s="153"/>
      <c r="CVX54" s="267"/>
      <c r="CVY54" s="267"/>
      <c r="CVZ54" s="260"/>
      <c r="CWA54" s="297"/>
      <c r="CWB54" s="297"/>
      <c r="CWC54" s="297"/>
      <c r="CWD54" s="261"/>
      <c r="CWE54" s="261"/>
      <c r="CWF54" s="261"/>
      <c r="CWG54" s="262"/>
      <c r="CWH54" s="262"/>
      <c r="CWI54" s="261"/>
      <c r="CWJ54" s="263"/>
      <c r="CWK54" s="264"/>
      <c r="CWL54" s="295"/>
      <c r="CWM54" s="295"/>
      <c r="CWN54" s="295"/>
      <c r="CWO54" s="295"/>
      <c r="CWP54" s="295"/>
      <c r="CWQ54" s="295"/>
      <c r="CWR54" s="153"/>
      <c r="CWS54" s="153"/>
      <c r="CWT54" s="151"/>
      <c r="CWU54" s="153"/>
      <c r="CWW54" s="267"/>
      <c r="CWX54" s="267"/>
      <c r="CWY54" s="260"/>
      <c r="CWZ54" s="297"/>
      <c r="CXA54" s="297"/>
      <c r="CXB54" s="297"/>
      <c r="CXC54" s="261"/>
      <c r="CXD54" s="261"/>
      <c r="CXE54" s="261"/>
      <c r="CXF54" s="262"/>
      <c r="CXG54" s="262"/>
      <c r="CXH54" s="261"/>
      <c r="CXI54" s="263"/>
      <c r="CXJ54" s="264"/>
      <c r="CXK54" s="295"/>
      <c r="CXL54" s="295"/>
      <c r="CXM54" s="295"/>
      <c r="CXN54" s="295"/>
      <c r="CXO54" s="295"/>
      <c r="CXP54" s="295"/>
      <c r="CXQ54" s="153"/>
      <c r="CXR54" s="153"/>
      <c r="CXS54" s="151"/>
      <c r="CXT54" s="153"/>
      <c r="CXV54" s="267"/>
      <c r="CXW54" s="267"/>
      <c r="CXX54" s="260"/>
      <c r="CXY54" s="297"/>
      <c r="CXZ54" s="297"/>
      <c r="CYA54" s="297"/>
      <c r="CYB54" s="261"/>
      <c r="CYC54" s="261"/>
      <c r="CYD54" s="261"/>
      <c r="CYE54" s="262"/>
      <c r="CYF54" s="262"/>
      <c r="CYG54" s="261"/>
      <c r="CYH54" s="263"/>
      <c r="CYI54" s="264"/>
      <c r="CYJ54" s="295"/>
      <c r="CYK54" s="295"/>
      <c r="CYL54" s="295"/>
      <c r="CYM54" s="295"/>
      <c r="CYN54" s="295"/>
      <c r="CYO54" s="295"/>
      <c r="CYP54" s="153"/>
      <c r="CYQ54" s="153"/>
      <c r="CYR54" s="151"/>
      <c r="CYS54" s="153"/>
      <c r="CYU54" s="267"/>
      <c r="CYV54" s="267"/>
      <c r="CYW54" s="260"/>
      <c r="CYX54" s="297"/>
      <c r="CYY54" s="297"/>
      <c r="CYZ54" s="297"/>
      <c r="CZA54" s="261"/>
      <c r="CZB54" s="261"/>
      <c r="CZC54" s="261"/>
      <c r="CZD54" s="262"/>
      <c r="CZE54" s="262"/>
      <c r="CZF54" s="261"/>
      <c r="CZG54" s="263"/>
      <c r="CZH54" s="264"/>
      <c r="CZI54" s="295"/>
      <c r="CZJ54" s="295"/>
      <c r="CZK54" s="295"/>
      <c r="CZL54" s="295"/>
      <c r="CZM54" s="295"/>
      <c r="CZN54" s="295"/>
      <c r="CZO54" s="153"/>
      <c r="CZP54" s="153"/>
      <c r="CZQ54" s="151"/>
      <c r="CZR54" s="153"/>
      <c r="CZT54" s="267"/>
      <c r="CZU54" s="267"/>
      <c r="CZV54" s="260"/>
      <c r="CZW54" s="297"/>
      <c r="CZX54" s="297"/>
      <c r="CZY54" s="297"/>
      <c r="CZZ54" s="261"/>
      <c r="DAA54" s="261"/>
      <c r="DAB54" s="261"/>
      <c r="DAC54" s="262"/>
      <c r="DAD54" s="262"/>
      <c r="DAE54" s="261"/>
      <c r="DAF54" s="263"/>
      <c r="DAG54" s="264"/>
      <c r="DAH54" s="295"/>
      <c r="DAI54" s="295"/>
      <c r="DAJ54" s="295"/>
      <c r="DAK54" s="295"/>
      <c r="DAL54" s="295"/>
      <c r="DAM54" s="295"/>
      <c r="DAN54" s="153"/>
      <c r="DAO54" s="153"/>
      <c r="DAP54" s="151"/>
      <c r="DAQ54" s="153"/>
      <c r="DAS54" s="267"/>
      <c r="DAT54" s="267"/>
      <c r="DAU54" s="260"/>
      <c r="DAV54" s="297"/>
      <c r="DAW54" s="297"/>
      <c r="DAX54" s="297"/>
      <c r="DAY54" s="261"/>
      <c r="DAZ54" s="261"/>
      <c r="DBA54" s="261"/>
      <c r="DBB54" s="262"/>
      <c r="DBC54" s="262"/>
      <c r="DBD54" s="261"/>
      <c r="DBE54" s="263"/>
      <c r="DBF54" s="264"/>
      <c r="DBG54" s="295"/>
      <c r="DBH54" s="295"/>
      <c r="DBI54" s="295"/>
      <c r="DBJ54" s="295"/>
      <c r="DBK54" s="295"/>
      <c r="DBL54" s="295"/>
      <c r="DBM54" s="153"/>
      <c r="DBN54" s="153"/>
      <c r="DBO54" s="151"/>
      <c r="DBP54" s="153"/>
      <c r="DBR54" s="267"/>
      <c r="DBS54" s="267"/>
      <c r="DBT54" s="260"/>
      <c r="DBU54" s="297"/>
      <c r="DBV54" s="297"/>
      <c r="DBW54" s="297"/>
      <c r="DBX54" s="261"/>
      <c r="DBY54" s="261"/>
      <c r="DBZ54" s="261"/>
      <c r="DCA54" s="262"/>
      <c r="DCB54" s="262"/>
      <c r="DCC54" s="261"/>
      <c r="DCD54" s="263"/>
      <c r="DCE54" s="264"/>
      <c r="DCF54" s="295"/>
      <c r="DCG54" s="295"/>
      <c r="DCH54" s="295"/>
      <c r="DCI54" s="295"/>
      <c r="DCJ54" s="295"/>
      <c r="DCK54" s="295"/>
      <c r="DCL54" s="153"/>
      <c r="DCM54" s="153"/>
      <c r="DCN54" s="151"/>
      <c r="DCO54" s="153"/>
      <c r="DCQ54" s="267"/>
      <c r="DCR54" s="267"/>
      <c r="DCS54" s="260"/>
      <c r="DCT54" s="297"/>
      <c r="DCU54" s="297"/>
      <c r="DCV54" s="297"/>
      <c r="DCW54" s="261"/>
      <c r="DCX54" s="261"/>
      <c r="DCY54" s="261"/>
      <c r="DCZ54" s="262"/>
      <c r="DDA54" s="262"/>
      <c r="DDB54" s="261"/>
      <c r="DDC54" s="263"/>
      <c r="DDD54" s="264"/>
      <c r="DDE54" s="295"/>
      <c r="DDF54" s="295"/>
      <c r="DDG54" s="295"/>
      <c r="DDH54" s="295"/>
      <c r="DDI54" s="295"/>
      <c r="DDJ54" s="295"/>
      <c r="DDK54" s="153"/>
      <c r="DDL54" s="153"/>
      <c r="DDM54" s="151"/>
      <c r="DDN54" s="153"/>
      <c r="DDP54" s="267"/>
      <c r="DDQ54" s="267"/>
      <c r="DDR54" s="260"/>
      <c r="DDS54" s="297"/>
      <c r="DDT54" s="297"/>
      <c r="DDU54" s="297"/>
      <c r="DDV54" s="261"/>
      <c r="DDW54" s="261"/>
      <c r="DDX54" s="261"/>
      <c r="DDY54" s="262"/>
      <c r="DDZ54" s="262"/>
      <c r="DEA54" s="261"/>
      <c r="DEB54" s="263"/>
      <c r="DEC54" s="264"/>
      <c r="DED54" s="295"/>
      <c r="DEE54" s="295"/>
      <c r="DEF54" s="295"/>
      <c r="DEG54" s="295"/>
      <c r="DEH54" s="295"/>
      <c r="DEI54" s="295"/>
      <c r="DEJ54" s="153"/>
      <c r="DEK54" s="153"/>
      <c r="DEL54" s="151"/>
      <c r="DEM54" s="153"/>
      <c r="DEO54" s="267"/>
      <c r="DEP54" s="267"/>
      <c r="DEQ54" s="260"/>
      <c r="DER54" s="297"/>
      <c r="DES54" s="297"/>
      <c r="DET54" s="297"/>
      <c r="DEU54" s="261"/>
      <c r="DEV54" s="261"/>
      <c r="DEW54" s="261"/>
      <c r="DEX54" s="262"/>
      <c r="DEY54" s="262"/>
      <c r="DEZ54" s="261"/>
      <c r="DFA54" s="263"/>
      <c r="DFB54" s="264"/>
      <c r="DFC54" s="295"/>
      <c r="DFD54" s="295"/>
      <c r="DFE54" s="295"/>
      <c r="DFF54" s="295"/>
      <c r="DFG54" s="295"/>
      <c r="DFH54" s="295"/>
      <c r="DFI54" s="153"/>
      <c r="DFJ54" s="153"/>
      <c r="DFK54" s="151"/>
      <c r="DFL54" s="153"/>
      <c r="DFN54" s="267"/>
      <c r="DFO54" s="267"/>
      <c r="DFP54" s="260"/>
      <c r="DFQ54" s="297"/>
      <c r="DFR54" s="297"/>
      <c r="DFS54" s="297"/>
      <c r="DFT54" s="261"/>
      <c r="DFU54" s="261"/>
      <c r="DFV54" s="261"/>
      <c r="DFW54" s="262"/>
      <c r="DFX54" s="262"/>
      <c r="DFY54" s="261"/>
      <c r="DFZ54" s="263"/>
      <c r="DGA54" s="264"/>
      <c r="DGB54" s="295"/>
      <c r="DGC54" s="295"/>
      <c r="DGD54" s="295"/>
      <c r="DGE54" s="295"/>
      <c r="DGF54" s="295"/>
      <c r="DGG54" s="295"/>
      <c r="DGH54" s="153"/>
      <c r="DGI54" s="153"/>
      <c r="DGJ54" s="151"/>
      <c r="DGK54" s="153"/>
      <c r="DGM54" s="267"/>
      <c r="DGN54" s="267"/>
      <c r="DGO54" s="260"/>
      <c r="DGP54" s="297"/>
      <c r="DGQ54" s="297"/>
      <c r="DGR54" s="297"/>
      <c r="DGS54" s="261"/>
      <c r="DGT54" s="261"/>
      <c r="DGU54" s="261"/>
      <c r="DGV54" s="262"/>
      <c r="DGW54" s="262"/>
      <c r="DGX54" s="261"/>
      <c r="DGY54" s="263"/>
      <c r="DGZ54" s="264"/>
      <c r="DHA54" s="295"/>
      <c r="DHB54" s="295"/>
      <c r="DHC54" s="295"/>
      <c r="DHD54" s="295"/>
      <c r="DHE54" s="295"/>
      <c r="DHF54" s="295"/>
      <c r="DHG54" s="153"/>
      <c r="DHH54" s="153"/>
      <c r="DHI54" s="151"/>
      <c r="DHJ54" s="153"/>
      <c r="DHL54" s="267"/>
      <c r="DHM54" s="267"/>
      <c r="DHN54" s="260"/>
      <c r="DHO54" s="297"/>
      <c r="DHP54" s="297"/>
      <c r="DHQ54" s="297"/>
      <c r="DHR54" s="261"/>
      <c r="DHS54" s="261"/>
      <c r="DHT54" s="261"/>
      <c r="DHU54" s="262"/>
      <c r="DHV54" s="262"/>
      <c r="DHW54" s="261"/>
      <c r="DHX54" s="263"/>
      <c r="DHY54" s="264"/>
      <c r="DHZ54" s="295"/>
      <c r="DIA54" s="295"/>
      <c r="DIB54" s="295"/>
      <c r="DIC54" s="295"/>
      <c r="DID54" s="295"/>
      <c r="DIE54" s="295"/>
      <c r="DIF54" s="153"/>
      <c r="DIG54" s="153"/>
      <c r="DIH54" s="151"/>
      <c r="DII54" s="153"/>
      <c r="DIK54" s="267"/>
      <c r="DIL54" s="267"/>
      <c r="DIM54" s="260"/>
      <c r="DIN54" s="297"/>
      <c r="DIO54" s="297"/>
      <c r="DIP54" s="297"/>
      <c r="DIQ54" s="261"/>
      <c r="DIR54" s="261"/>
      <c r="DIS54" s="261"/>
      <c r="DIT54" s="262"/>
      <c r="DIU54" s="262"/>
      <c r="DIV54" s="261"/>
      <c r="DIW54" s="263"/>
      <c r="DIX54" s="264"/>
      <c r="DIY54" s="295"/>
      <c r="DIZ54" s="295"/>
      <c r="DJA54" s="295"/>
      <c r="DJB54" s="295"/>
      <c r="DJC54" s="295"/>
      <c r="DJD54" s="295"/>
      <c r="DJE54" s="153"/>
      <c r="DJF54" s="153"/>
      <c r="DJG54" s="151"/>
      <c r="DJH54" s="153"/>
      <c r="DJJ54" s="267"/>
      <c r="DJK54" s="267"/>
      <c r="DJL54" s="260"/>
      <c r="DJM54" s="297"/>
      <c r="DJN54" s="297"/>
      <c r="DJO54" s="297"/>
      <c r="DJP54" s="261"/>
      <c r="DJQ54" s="261"/>
      <c r="DJR54" s="261"/>
      <c r="DJS54" s="262"/>
      <c r="DJT54" s="262"/>
      <c r="DJU54" s="261"/>
      <c r="DJV54" s="263"/>
      <c r="DJW54" s="264"/>
      <c r="DJX54" s="295"/>
      <c r="DJY54" s="295"/>
      <c r="DJZ54" s="295"/>
      <c r="DKA54" s="295"/>
      <c r="DKB54" s="295"/>
      <c r="DKC54" s="295"/>
      <c r="DKD54" s="153"/>
      <c r="DKE54" s="153"/>
      <c r="DKF54" s="151"/>
      <c r="DKG54" s="153"/>
      <c r="DKI54" s="267"/>
      <c r="DKJ54" s="267"/>
      <c r="DKK54" s="260"/>
      <c r="DKL54" s="297"/>
      <c r="DKM54" s="297"/>
      <c r="DKN54" s="297"/>
      <c r="DKO54" s="261"/>
      <c r="DKP54" s="261"/>
      <c r="DKQ54" s="261"/>
      <c r="DKR54" s="262"/>
      <c r="DKS54" s="262"/>
      <c r="DKT54" s="261"/>
      <c r="DKU54" s="263"/>
      <c r="DKV54" s="264"/>
      <c r="DKW54" s="295"/>
      <c r="DKX54" s="295"/>
      <c r="DKY54" s="295"/>
      <c r="DKZ54" s="295"/>
      <c r="DLA54" s="295"/>
      <c r="DLB54" s="295"/>
      <c r="DLC54" s="153"/>
      <c r="DLD54" s="153"/>
      <c r="DLE54" s="151"/>
      <c r="DLF54" s="153"/>
      <c r="DLH54" s="267"/>
      <c r="DLI54" s="267"/>
      <c r="DLJ54" s="260"/>
      <c r="DLK54" s="297"/>
      <c r="DLL54" s="297"/>
      <c r="DLM54" s="297"/>
      <c r="DLN54" s="261"/>
      <c r="DLO54" s="261"/>
      <c r="DLP54" s="261"/>
      <c r="DLQ54" s="262"/>
      <c r="DLR54" s="262"/>
      <c r="DLS54" s="261"/>
      <c r="DLT54" s="263"/>
      <c r="DLU54" s="264"/>
      <c r="DLV54" s="295"/>
      <c r="DLW54" s="295"/>
      <c r="DLX54" s="295"/>
      <c r="DLY54" s="295"/>
      <c r="DLZ54" s="295"/>
      <c r="DMA54" s="295"/>
      <c r="DMB54" s="153"/>
      <c r="DMC54" s="153"/>
      <c r="DMD54" s="151"/>
      <c r="DME54" s="153"/>
      <c r="DMG54" s="267"/>
      <c r="DMH54" s="267"/>
      <c r="DMI54" s="260"/>
      <c r="DMJ54" s="297"/>
      <c r="DMK54" s="297"/>
      <c r="DML54" s="297"/>
      <c r="DMM54" s="261"/>
      <c r="DMN54" s="261"/>
      <c r="DMO54" s="261"/>
      <c r="DMP54" s="262"/>
      <c r="DMQ54" s="262"/>
      <c r="DMR54" s="261"/>
      <c r="DMS54" s="263"/>
      <c r="DMT54" s="264"/>
      <c r="DMU54" s="295"/>
      <c r="DMV54" s="295"/>
      <c r="DMW54" s="295"/>
      <c r="DMX54" s="295"/>
      <c r="DMY54" s="295"/>
      <c r="DMZ54" s="295"/>
      <c r="DNA54" s="153"/>
      <c r="DNB54" s="153"/>
      <c r="DNC54" s="151"/>
      <c r="DND54" s="153"/>
      <c r="DNF54" s="267"/>
      <c r="DNG54" s="267"/>
      <c r="DNH54" s="260"/>
      <c r="DNI54" s="297"/>
      <c r="DNJ54" s="297"/>
      <c r="DNK54" s="297"/>
      <c r="DNL54" s="261"/>
      <c r="DNM54" s="261"/>
      <c r="DNN54" s="261"/>
      <c r="DNO54" s="262"/>
      <c r="DNP54" s="262"/>
      <c r="DNQ54" s="261"/>
      <c r="DNR54" s="263"/>
      <c r="DNS54" s="264"/>
      <c r="DNT54" s="295"/>
      <c r="DNU54" s="295"/>
      <c r="DNV54" s="295"/>
      <c r="DNW54" s="295"/>
      <c r="DNX54" s="295"/>
      <c r="DNY54" s="295"/>
      <c r="DNZ54" s="153"/>
      <c r="DOA54" s="153"/>
      <c r="DOB54" s="151"/>
      <c r="DOC54" s="153"/>
      <c r="DOE54" s="267"/>
      <c r="DOF54" s="267"/>
      <c r="DOG54" s="260"/>
      <c r="DOH54" s="297"/>
      <c r="DOI54" s="297"/>
      <c r="DOJ54" s="297"/>
      <c r="DOK54" s="261"/>
      <c r="DOL54" s="261"/>
      <c r="DOM54" s="261"/>
      <c r="DON54" s="262"/>
      <c r="DOO54" s="262"/>
      <c r="DOP54" s="261"/>
      <c r="DOQ54" s="263"/>
      <c r="DOR54" s="264"/>
      <c r="DOS54" s="295"/>
      <c r="DOT54" s="295"/>
      <c r="DOU54" s="295"/>
      <c r="DOV54" s="295"/>
      <c r="DOW54" s="295"/>
      <c r="DOX54" s="295"/>
      <c r="DOY54" s="153"/>
      <c r="DOZ54" s="153"/>
      <c r="DPA54" s="151"/>
      <c r="DPB54" s="153"/>
      <c r="DPD54" s="267"/>
      <c r="DPE54" s="267"/>
      <c r="DPF54" s="260"/>
      <c r="DPG54" s="297"/>
      <c r="DPH54" s="297"/>
      <c r="DPI54" s="297"/>
      <c r="DPJ54" s="261"/>
      <c r="DPK54" s="261"/>
      <c r="DPL54" s="261"/>
      <c r="DPM54" s="262"/>
      <c r="DPN54" s="262"/>
      <c r="DPO54" s="261"/>
      <c r="DPP54" s="263"/>
      <c r="DPQ54" s="264"/>
      <c r="DPR54" s="295"/>
      <c r="DPS54" s="295"/>
      <c r="DPT54" s="295"/>
      <c r="DPU54" s="295"/>
      <c r="DPV54" s="295"/>
      <c r="DPW54" s="295"/>
      <c r="DPX54" s="153"/>
      <c r="DPY54" s="153"/>
      <c r="DPZ54" s="151"/>
      <c r="DQA54" s="153"/>
      <c r="DQC54" s="267"/>
      <c r="DQD54" s="267"/>
      <c r="DQE54" s="260"/>
      <c r="DQF54" s="297"/>
      <c r="DQG54" s="297"/>
      <c r="DQH54" s="297"/>
      <c r="DQI54" s="261"/>
      <c r="DQJ54" s="261"/>
      <c r="DQK54" s="261"/>
      <c r="DQL54" s="262"/>
      <c r="DQM54" s="262"/>
      <c r="DQN54" s="261"/>
      <c r="DQO54" s="263"/>
      <c r="DQP54" s="264"/>
      <c r="DQQ54" s="295"/>
      <c r="DQR54" s="295"/>
      <c r="DQS54" s="295"/>
      <c r="DQT54" s="295"/>
      <c r="DQU54" s="295"/>
      <c r="DQV54" s="295"/>
      <c r="DQW54" s="153"/>
      <c r="DQX54" s="153"/>
      <c r="DQY54" s="151"/>
      <c r="DQZ54" s="153"/>
      <c r="DRB54" s="267"/>
      <c r="DRC54" s="267"/>
      <c r="DRD54" s="260"/>
      <c r="DRE54" s="297"/>
      <c r="DRF54" s="297"/>
      <c r="DRG54" s="297"/>
      <c r="DRH54" s="261"/>
      <c r="DRI54" s="261"/>
      <c r="DRJ54" s="261"/>
      <c r="DRK54" s="262"/>
      <c r="DRL54" s="262"/>
      <c r="DRM54" s="261"/>
      <c r="DRN54" s="263"/>
      <c r="DRO54" s="264"/>
      <c r="DRP54" s="295"/>
      <c r="DRQ54" s="295"/>
      <c r="DRR54" s="295"/>
      <c r="DRS54" s="295"/>
      <c r="DRT54" s="295"/>
      <c r="DRU54" s="295"/>
      <c r="DRV54" s="153"/>
      <c r="DRW54" s="153"/>
      <c r="DRX54" s="151"/>
      <c r="DRY54" s="153"/>
      <c r="DSA54" s="267"/>
      <c r="DSB54" s="267"/>
      <c r="DSC54" s="260"/>
      <c r="DSD54" s="297"/>
      <c r="DSE54" s="297"/>
      <c r="DSF54" s="297"/>
      <c r="DSG54" s="261"/>
      <c r="DSH54" s="261"/>
      <c r="DSI54" s="261"/>
      <c r="DSJ54" s="262"/>
      <c r="DSK54" s="262"/>
      <c r="DSL54" s="261"/>
      <c r="DSM54" s="263"/>
      <c r="DSN54" s="264"/>
      <c r="DSO54" s="295"/>
      <c r="DSP54" s="295"/>
      <c r="DSQ54" s="295"/>
      <c r="DSR54" s="295"/>
      <c r="DSS54" s="295"/>
      <c r="DST54" s="295"/>
      <c r="DSU54" s="153"/>
      <c r="DSV54" s="153"/>
      <c r="DSW54" s="151"/>
      <c r="DSX54" s="153"/>
      <c r="DSZ54" s="267"/>
      <c r="DTA54" s="267"/>
      <c r="DTB54" s="260"/>
      <c r="DTC54" s="297"/>
      <c r="DTD54" s="297"/>
      <c r="DTE54" s="297"/>
      <c r="DTF54" s="261"/>
      <c r="DTG54" s="261"/>
      <c r="DTH54" s="261"/>
      <c r="DTI54" s="262"/>
      <c r="DTJ54" s="262"/>
      <c r="DTK54" s="261"/>
      <c r="DTL54" s="263"/>
      <c r="DTM54" s="264"/>
      <c r="DTN54" s="295"/>
      <c r="DTO54" s="295"/>
      <c r="DTP54" s="295"/>
      <c r="DTQ54" s="295"/>
      <c r="DTR54" s="295"/>
      <c r="DTS54" s="295"/>
      <c r="DTT54" s="153"/>
      <c r="DTU54" s="153"/>
      <c r="DTV54" s="151"/>
      <c r="DTW54" s="153"/>
      <c r="DTY54" s="267"/>
      <c r="DTZ54" s="267"/>
      <c r="DUA54" s="260"/>
      <c r="DUB54" s="297"/>
      <c r="DUC54" s="297"/>
      <c r="DUD54" s="297"/>
      <c r="DUE54" s="261"/>
      <c r="DUF54" s="261"/>
      <c r="DUG54" s="261"/>
      <c r="DUH54" s="262"/>
      <c r="DUI54" s="262"/>
      <c r="DUJ54" s="261"/>
      <c r="DUK54" s="263"/>
      <c r="DUL54" s="264"/>
      <c r="DUM54" s="295"/>
      <c r="DUN54" s="295"/>
      <c r="DUO54" s="295"/>
      <c r="DUP54" s="295"/>
      <c r="DUQ54" s="295"/>
      <c r="DUR54" s="295"/>
      <c r="DUS54" s="153"/>
      <c r="DUT54" s="153"/>
      <c r="DUU54" s="151"/>
      <c r="DUV54" s="153"/>
      <c r="DUX54" s="267"/>
      <c r="DUY54" s="267"/>
      <c r="DUZ54" s="260"/>
      <c r="DVA54" s="297"/>
      <c r="DVB54" s="297"/>
      <c r="DVC54" s="297"/>
      <c r="DVD54" s="261"/>
      <c r="DVE54" s="261"/>
      <c r="DVF54" s="261"/>
      <c r="DVG54" s="262"/>
      <c r="DVH54" s="262"/>
      <c r="DVI54" s="261"/>
      <c r="DVJ54" s="263"/>
      <c r="DVK54" s="264"/>
      <c r="DVL54" s="295"/>
      <c r="DVM54" s="295"/>
      <c r="DVN54" s="295"/>
      <c r="DVO54" s="295"/>
      <c r="DVP54" s="295"/>
      <c r="DVQ54" s="295"/>
      <c r="DVR54" s="153"/>
      <c r="DVS54" s="153"/>
      <c r="DVT54" s="151"/>
      <c r="DVU54" s="153"/>
      <c r="DVW54" s="267"/>
      <c r="DVX54" s="267"/>
      <c r="DVY54" s="260"/>
      <c r="DVZ54" s="297"/>
      <c r="DWA54" s="297"/>
      <c r="DWB54" s="297"/>
      <c r="DWC54" s="261"/>
      <c r="DWD54" s="261"/>
      <c r="DWE54" s="261"/>
      <c r="DWF54" s="262"/>
      <c r="DWG54" s="262"/>
      <c r="DWH54" s="261"/>
      <c r="DWI54" s="263"/>
      <c r="DWJ54" s="264"/>
      <c r="DWK54" s="295"/>
      <c r="DWL54" s="295"/>
      <c r="DWM54" s="295"/>
      <c r="DWN54" s="295"/>
      <c r="DWO54" s="295"/>
      <c r="DWP54" s="295"/>
      <c r="DWQ54" s="153"/>
      <c r="DWR54" s="153"/>
      <c r="DWS54" s="151"/>
      <c r="DWT54" s="153"/>
      <c r="DWV54" s="267"/>
      <c r="DWW54" s="267"/>
      <c r="DWX54" s="260"/>
      <c r="DWY54" s="297"/>
      <c r="DWZ54" s="297"/>
      <c r="DXA54" s="297"/>
      <c r="DXB54" s="261"/>
      <c r="DXC54" s="261"/>
      <c r="DXD54" s="261"/>
      <c r="DXE54" s="262"/>
      <c r="DXF54" s="262"/>
      <c r="DXG54" s="261"/>
      <c r="DXH54" s="263"/>
      <c r="DXI54" s="264"/>
      <c r="DXJ54" s="295"/>
      <c r="DXK54" s="295"/>
      <c r="DXL54" s="295"/>
      <c r="DXM54" s="295"/>
      <c r="DXN54" s="295"/>
      <c r="DXO54" s="295"/>
      <c r="DXP54" s="153"/>
      <c r="DXQ54" s="153"/>
      <c r="DXR54" s="151"/>
      <c r="DXS54" s="153"/>
      <c r="DXU54" s="267"/>
      <c r="DXV54" s="267"/>
      <c r="DXW54" s="260"/>
      <c r="DXX54" s="297"/>
      <c r="DXY54" s="297"/>
      <c r="DXZ54" s="297"/>
      <c r="DYA54" s="261"/>
      <c r="DYB54" s="261"/>
      <c r="DYC54" s="261"/>
      <c r="DYD54" s="262"/>
      <c r="DYE54" s="262"/>
      <c r="DYF54" s="261"/>
      <c r="DYG54" s="263"/>
      <c r="DYH54" s="264"/>
      <c r="DYI54" s="295"/>
      <c r="DYJ54" s="295"/>
      <c r="DYK54" s="295"/>
      <c r="DYL54" s="295"/>
      <c r="DYM54" s="295"/>
      <c r="DYN54" s="295"/>
      <c r="DYO54" s="153"/>
      <c r="DYP54" s="153"/>
      <c r="DYQ54" s="151"/>
      <c r="DYR54" s="153"/>
      <c r="DYT54" s="267"/>
      <c r="DYU54" s="267"/>
      <c r="DYV54" s="260"/>
      <c r="DYW54" s="297"/>
      <c r="DYX54" s="297"/>
      <c r="DYY54" s="297"/>
      <c r="DYZ54" s="261"/>
      <c r="DZA54" s="261"/>
      <c r="DZB54" s="261"/>
      <c r="DZC54" s="262"/>
      <c r="DZD54" s="262"/>
      <c r="DZE54" s="261"/>
      <c r="DZF54" s="263"/>
      <c r="DZG54" s="264"/>
      <c r="DZH54" s="295"/>
      <c r="DZI54" s="295"/>
      <c r="DZJ54" s="295"/>
      <c r="DZK54" s="295"/>
      <c r="DZL54" s="295"/>
      <c r="DZM54" s="295"/>
      <c r="DZN54" s="153"/>
      <c r="DZO54" s="153"/>
      <c r="DZP54" s="151"/>
      <c r="DZQ54" s="153"/>
      <c r="DZS54" s="267"/>
      <c r="DZT54" s="267"/>
      <c r="DZU54" s="260"/>
      <c r="DZV54" s="297"/>
      <c r="DZW54" s="297"/>
      <c r="DZX54" s="297"/>
      <c r="DZY54" s="261"/>
      <c r="DZZ54" s="261"/>
      <c r="EAA54" s="261"/>
      <c r="EAB54" s="262"/>
      <c r="EAC54" s="262"/>
      <c r="EAD54" s="261"/>
      <c r="EAE54" s="263"/>
      <c r="EAF54" s="264"/>
      <c r="EAG54" s="295"/>
      <c r="EAH54" s="295"/>
      <c r="EAI54" s="295"/>
      <c r="EAJ54" s="295"/>
      <c r="EAK54" s="295"/>
      <c r="EAL54" s="295"/>
      <c r="EAM54" s="153"/>
      <c r="EAN54" s="153"/>
      <c r="EAO54" s="151"/>
      <c r="EAP54" s="153"/>
      <c r="EAR54" s="267"/>
      <c r="EAS54" s="267"/>
      <c r="EAT54" s="260"/>
      <c r="EAU54" s="297"/>
      <c r="EAV54" s="297"/>
      <c r="EAW54" s="297"/>
      <c r="EAX54" s="261"/>
      <c r="EAY54" s="261"/>
      <c r="EAZ54" s="261"/>
      <c r="EBA54" s="262"/>
      <c r="EBB54" s="262"/>
      <c r="EBC54" s="261"/>
      <c r="EBD54" s="263"/>
      <c r="EBE54" s="264"/>
      <c r="EBF54" s="295"/>
      <c r="EBG54" s="295"/>
      <c r="EBH54" s="295"/>
      <c r="EBI54" s="295"/>
      <c r="EBJ54" s="295"/>
      <c r="EBK54" s="295"/>
      <c r="EBL54" s="153"/>
      <c r="EBM54" s="153"/>
      <c r="EBN54" s="151"/>
      <c r="EBO54" s="153"/>
      <c r="EBQ54" s="267"/>
      <c r="EBR54" s="267"/>
      <c r="EBS54" s="260"/>
      <c r="EBT54" s="297"/>
      <c r="EBU54" s="297"/>
      <c r="EBV54" s="297"/>
      <c r="EBW54" s="261"/>
      <c r="EBX54" s="261"/>
      <c r="EBY54" s="261"/>
      <c r="EBZ54" s="262"/>
      <c r="ECA54" s="262"/>
      <c r="ECB54" s="261"/>
      <c r="ECC54" s="263"/>
      <c r="ECD54" s="264"/>
      <c r="ECE54" s="295"/>
      <c r="ECF54" s="295"/>
      <c r="ECG54" s="295"/>
      <c r="ECH54" s="295"/>
      <c r="ECI54" s="295"/>
      <c r="ECJ54" s="295"/>
      <c r="ECK54" s="153"/>
      <c r="ECL54" s="153"/>
      <c r="ECM54" s="151"/>
      <c r="ECN54" s="153"/>
      <c r="ECP54" s="267"/>
      <c r="ECQ54" s="267"/>
      <c r="ECR54" s="260"/>
      <c r="ECS54" s="297"/>
      <c r="ECT54" s="297"/>
      <c r="ECU54" s="297"/>
      <c r="ECV54" s="261"/>
      <c r="ECW54" s="261"/>
      <c r="ECX54" s="261"/>
      <c r="ECY54" s="262"/>
      <c r="ECZ54" s="262"/>
      <c r="EDA54" s="261"/>
      <c r="EDB54" s="263"/>
      <c r="EDC54" s="264"/>
      <c r="EDD54" s="295"/>
      <c r="EDE54" s="295"/>
      <c r="EDF54" s="295"/>
      <c r="EDG54" s="295"/>
      <c r="EDH54" s="295"/>
      <c r="EDI54" s="295"/>
      <c r="EDJ54" s="153"/>
      <c r="EDK54" s="153"/>
      <c r="EDL54" s="151"/>
      <c r="EDM54" s="153"/>
      <c r="EDO54" s="267"/>
      <c r="EDP54" s="267"/>
      <c r="EDQ54" s="260"/>
      <c r="EDR54" s="297"/>
      <c r="EDS54" s="297"/>
      <c r="EDT54" s="297"/>
      <c r="EDU54" s="261"/>
      <c r="EDV54" s="261"/>
      <c r="EDW54" s="261"/>
      <c r="EDX54" s="262"/>
      <c r="EDY54" s="262"/>
      <c r="EDZ54" s="261"/>
      <c r="EEA54" s="263"/>
      <c r="EEB54" s="264"/>
      <c r="EEC54" s="295"/>
      <c r="EED54" s="295"/>
      <c r="EEE54" s="295"/>
      <c r="EEF54" s="295"/>
      <c r="EEG54" s="295"/>
      <c r="EEH54" s="295"/>
      <c r="EEI54" s="153"/>
      <c r="EEJ54" s="153"/>
      <c r="EEK54" s="151"/>
      <c r="EEL54" s="153"/>
      <c r="EEN54" s="267"/>
      <c r="EEO54" s="267"/>
      <c r="EEP54" s="260"/>
      <c r="EEQ54" s="297"/>
      <c r="EER54" s="297"/>
      <c r="EES54" s="297"/>
      <c r="EET54" s="261"/>
      <c r="EEU54" s="261"/>
      <c r="EEV54" s="261"/>
      <c r="EEW54" s="262"/>
      <c r="EEX54" s="262"/>
      <c r="EEY54" s="261"/>
      <c r="EEZ54" s="263"/>
      <c r="EFA54" s="264"/>
      <c r="EFB54" s="295"/>
      <c r="EFC54" s="295"/>
      <c r="EFD54" s="295"/>
      <c r="EFE54" s="295"/>
      <c r="EFF54" s="295"/>
      <c r="EFG54" s="295"/>
      <c r="EFH54" s="153"/>
      <c r="EFI54" s="153"/>
      <c r="EFJ54" s="151"/>
      <c r="EFK54" s="153"/>
      <c r="EFM54" s="267"/>
      <c r="EFN54" s="267"/>
      <c r="EFO54" s="260"/>
      <c r="EFP54" s="297"/>
      <c r="EFQ54" s="297"/>
      <c r="EFR54" s="297"/>
      <c r="EFS54" s="261"/>
      <c r="EFT54" s="261"/>
      <c r="EFU54" s="261"/>
      <c r="EFV54" s="262"/>
      <c r="EFW54" s="262"/>
      <c r="EFX54" s="261"/>
      <c r="EFY54" s="263"/>
      <c r="EFZ54" s="264"/>
      <c r="EGA54" s="295"/>
      <c r="EGB54" s="295"/>
      <c r="EGC54" s="295"/>
      <c r="EGD54" s="295"/>
      <c r="EGE54" s="295"/>
      <c r="EGF54" s="295"/>
      <c r="EGG54" s="153"/>
      <c r="EGH54" s="153"/>
      <c r="EGI54" s="151"/>
      <c r="EGJ54" s="153"/>
      <c r="EGL54" s="267"/>
      <c r="EGM54" s="267"/>
      <c r="EGN54" s="260"/>
      <c r="EGO54" s="297"/>
      <c r="EGP54" s="297"/>
      <c r="EGQ54" s="297"/>
      <c r="EGR54" s="261"/>
      <c r="EGS54" s="261"/>
      <c r="EGT54" s="261"/>
      <c r="EGU54" s="262"/>
      <c r="EGV54" s="262"/>
      <c r="EGW54" s="261"/>
      <c r="EGX54" s="263"/>
      <c r="EGY54" s="264"/>
      <c r="EGZ54" s="295"/>
      <c r="EHA54" s="295"/>
      <c r="EHB54" s="295"/>
      <c r="EHC54" s="295"/>
      <c r="EHD54" s="295"/>
      <c r="EHE54" s="295"/>
      <c r="EHF54" s="153"/>
      <c r="EHG54" s="153"/>
      <c r="EHH54" s="151"/>
      <c r="EHI54" s="153"/>
      <c r="EHK54" s="267"/>
      <c r="EHL54" s="267"/>
      <c r="EHM54" s="260"/>
      <c r="EHN54" s="297"/>
      <c r="EHO54" s="297"/>
      <c r="EHP54" s="297"/>
      <c r="EHQ54" s="261"/>
      <c r="EHR54" s="261"/>
      <c r="EHS54" s="261"/>
      <c r="EHT54" s="262"/>
      <c r="EHU54" s="262"/>
      <c r="EHV54" s="261"/>
      <c r="EHW54" s="263"/>
      <c r="EHX54" s="264"/>
      <c r="EHY54" s="295"/>
      <c r="EHZ54" s="295"/>
      <c r="EIA54" s="295"/>
      <c r="EIB54" s="295"/>
      <c r="EIC54" s="295"/>
      <c r="EID54" s="295"/>
      <c r="EIE54" s="153"/>
      <c r="EIF54" s="153"/>
      <c r="EIG54" s="151"/>
      <c r="EIH54" s="153"/>
      <c r="EIJ54" s="267"/>
      <c r="EIK54" s="267"/>
      <c r="EIL54" s="260"/>
      <c r="EIM54" s="297"/>
      <c r="EIN54" s="297"/>
      <c r="EIO54" s="297"/>
      <c r="EIP54" s="261"/>
      <c r="EIQ54" s="261"/>
      <c r="EIR54" s="261"/>
      <c r="EIS54" s="262"/>
      <c r="EIT54" s="262"/>
      <c r="EIU54" s="261"/>
      <c r="EIV54" s="263"/>
      <c r="EIW54" s="264"/>
      <c r="EIX54" s="295"/>
      <c r="EIY54" s="295"/>
      <c r="EIZ54" s="295"/>
      <c r="EJA54" s="295"/>
      <c r="EJB54" s="295"/>
      <c r="EJC54" s="295"/>
      <c r="EJD54" s="153"/>
      <c r="EJE54" s="153"/>
      <c r="EJF54" s="151"/>
      <c r="EJG54" s="153"/>
      <c r="EJI54" s="267"/>
      <c r="EJJ54" s="267"/>
      <c r="EJK54" s="260"/>
      <c r="EJL54" s="297"/>
      <c r="EJM54" s="297"/>
      <c r="EJN54" s="297"/>
      <c r="EJO54" s="261"/>
      <c r="EJP54" s="261"/>
      <c r="EJQ54" s="261"/>
      <c r="EJR54" s="262"/>
      <c r="EJS54" s="262"/>
      <c r="EJT54" s="261"/>
      <c r="EJU54" s="263"/>
      <c r="EJV54" s="264"/>
      <c r="EJW54" s="295"/>
      <c r="EJX54" s="295"/>
      <c r="EJY54" s="295"/>
      <c r="EJZ54" s="295"/>
      <c r="EKA54" s="295"/>
      <c r="EKB54" s="295"/>
      <c r="EKC54" s="153"/>
      <c r="EKD54" s="153"/>
      <c r="EKE54" s="151"/>
      <c r="EKF54" s="153"/>
      <c r="EKH54" s="267"/>
      <c r="EKI54" s="267"/>
      <c r="EKJ54" s="260"/>
      <c r="EKK54" s="297"/>
      <c r="EKL54" s="297"/>
      <c r="EKM54" s="297"/>
      <c r="EKN54" s="261"/>
      <c r="EKO54" s="261"/>
      <c r="EKP54" s="261"/>
      <c r="EKQ54" s="262"/>
      <c r="EKR54" s="262"/>
      <c r="EKS54" s="261"/>
      <c r="EKT54" s="263"/>
      <c r="EKU54" s="264"/>
      <c r="EKV54" s="295"/>
      <c r="EKW54" s="295"/>
      <c r="EKX54" s="295"/>
      <c r="EKY54" s="295"/>
      <c r="EKZ54" s="295"/>
      <c r="ELA54" s="295"/>
      <c r="ELB54" s="153"/>
      <c r="ELC54" s="153"/>
      <c r="ELD54" s="151"/>
      <c r="ELE54" s="153"/>
      <c r="ELG54" s="267"/>
      <c r="ELH54" s="267"/>
      <c r="ELI54" s="260"/>
      <c r="ELJ54" s="297"/>
      <c r="ELK54" s="297"/>
      <c r="ELL54" s="297"/>
      <c r="ELM54" s="261"/>
      <c r="ELN54" s="261"/>
      <c r="ELO54" s="261"/>
      <c r="ELP54" s="262"/>
      <c r="ELQ54" s="262"/>
      <c r="ELR54" s="261"/>
      <c r="ELS54" s="263"/>
      <c r="ELT54" s="264"/>
      <c r="ELU54" s="295"/>
      <c r="ELV54" s="295"/>
      <c r="ELW54" s="295"/>
      <c r="ELX54" s="295"/>
      <c r="ELY54" s="295"/>
      <c r="ELZ54" s="295"/>
      <c r="EMA54" s="153"/>
      <c r="EMB54" s="153"/>
      <c r="EMC54" s="151"/>
      <c r="EMD54" s="153"/>
      <c r="EMF54" s="267"/>
      <c r="EMG54" s="267"/>
      <c r="EMH54" s="260"/>
      <c r="EMI54" s="297"/>
      <c r="EMJ54" s="297"/>
      <c r="EMK54" s="297"/>
      <c r="EML54" s="261"/>
      <c r="EMM54" s="261"/>
      <c r="EMN54" s="261"/>
      <c r="EMO54" s="262"/>
      <c r="EMP54" s="262"/>
      <c r="EMQ54" s="261"/>
      <c r="EMR54" s="263"/>
      <c r="EMS54" s="264"/>
      <c r="EMT54" s="295"/>
      <c r="EMU54" s="295"/>
      <c r="EMV54" s="295"/>
      <c r="EMW54" s="295"/>
      <c r="EMX54" s="295"/>
      <c r="EMY54" s="295"/>
      <c r="EMZ54" s="153"/>
      <c r="ENA54" s="153"/>
      <c r="ENB54" s="151"/>
      <c r="ENC54" s="153"/>
      <c r="ENE54" s="267"/>
      <c r="ENF54" s="267"/>
      <c r="ENG54" s="260"/>
      <c r="ENH54" s="297"/>
      <c r="ENI54" s="297"/>
      <c r="ENJ54" s="297"/>
      <c r="ENK54" s="261"/>
      <c r="ENL54" s="261"/>
      <c r="ENM54" s="261"/>
      <c r="ENN54" s="262"/>
      <c r="ENO54" s="262"/>
      <c r="ENP54" s="261"/>
      <c r="ENQ54" s="263"/>
      <c r="ENR54" s="264"/>
      <c r="ENS54" s="295"/>
      <c r="ENT54" s="295"/>
      <c r="ENU54" s="295"/>
      <c r="ENV54" s="295"/>
      <c r="ENW54" s="295"/>
      <c r="ENX54" s="295"/>
      <c r="ENY54" s="153"/>
      <c r="ENZ54" s="153"/>
      <c r="EOA54" s="151"/>
      <c r="EOB54" s="153"/>
      <c r="EOD54" s="267"/>
      <c r="EOE54" s="267"/>
      <c r="EOF54" s="260"/>
      <c r="EOG54" s="297"/>
      <c r="EOH54" s="297"/>
      <c r="EOI54" s="297"/>
      <c r="EOJ54" s="261"/>
      <c r="EOK54" s="261"/>
      <c r="EOL54" s="261"/>
      <c r="EOM54" s="262"/>
      <c r="EON54" s="262"/>
      <c r="EOO54" s="261"/>
      <c r="EOP54" s="263"/>
      <c r="EOQ54" s="264"/>
      <c r="EOR54" s="295"/>
      <c r="EOS54" s="295"/>
      <c r="EOT54" s="295"/>
      <c r="EOU54" s="295"/>
      <c r="EOV54" s="295"/>
      <c r="EOW54" s="295"/>
      <c r="EOX54" s="153"/>
      <c r="EOY54" s="153"/>
      <c r="EOZ54" s="151"/>
      <c r="EPA54" s="153"/>
      <c r="EPC54" s="267"/>
      <c r="EPD54" s="267"/>
      <c r="EPE54" s="260"/>
      <c r="EPF54" s="297"/>
      <c r="EPG54" s="297"/>
      <c r="EPH54" s="297"/>
      <c r="EPI54" s="261"/>
      <c r="EPJ54" s="261"/>
      <c r="EPK54" s="261"/>
      <c r="EPL54" s="262"/>
      <c r="EPM54" s="262"/>
      <c r="EPN54" s="261"/>
      <c r="EPO54" s="263"/>
      <c r="EPP54" s="264"/>
      <c r="EPQ54" s="295"/>
      <c r="EPR54" s="295"/>
      <c r="EPS54" s="295"/>
      <c r="EPT54" s="295"/>
      <c r="EPU54" s="295"/>
      <c r="EPV54" s="295"/>
      <c r="EPW54" s="153"/>
      <c r="EPX54" s="153"/>
      <c r="EPY54" s="151"/>
      <c r="EPZ54" s="153"/>
      <c r="EQB54" s="267"/>
      <c r="EQC54" s="267"/>
      <c r="EQD54" s="260"/>
      <c r="EQE54" s="297"/>
      <c r="EQF54" s="297"/>
      <c r="EQG54" s="297"/>
      <c r="EQH54" s="261"/>
      <c r="EQI54" s="261"/>
      <c r="EQJ54" s="261"/>
      <c r="EQK54" s="262"/>
      <c r="EQL54" s="262"/>
      <c r="EQM54" s="261"/>
      <c r="EQN54" s="263"/>
      <c r="EQO54" s="264"/>
      <c r="EQP54" s="295"/>
      <c r="EQQ54" s="295"/>
      <c r="EQR54" s="295"/>
      <c r="EQS54" s="295"/>
      <c r="EQT54" s="295"/>
      <c r="EQU54" s="295"/>
      <c r="EQV54" s="153"/>
      <c r="EQW54" s="153"/>
      <c r="EQX54" s="151"/>
      <c r="EQY54" s="153"/>
      <c r="ERA54" s="267"/>
      <c r="ERB54" s="267"/>
      <c r="ERC54" s="260"/>
      <c r="ERD54" s="297"/>
      <c r="ERE54" s="297"/>
      <c r="ERF54" s="297"/>
      <c r="ERG54" s="261"/>
      <c r="ERH54" s="261"/>
      <c r="ERI54" s="261"/>
      <c r="ERJ54" s="262"/>
      <c r="ERK54" s="262"/>
      <c r="ERL54" s="261"/>
      <c r="ERM54" s="263"/>
      <c r="ERN54" s="264"/>
      <c r="ERO54" s="295"/>
      <c r="ERP54" s="295"/>
      <c r="ERQ54" s="295"/>
      <c r="ERR54" s="295"/>
      <c r="ERS54" s="295"/>
      <c r="ERT54" s="295"/>
      <c r="ERU54" s="153"/>
      <c r="ERV54" s="153"/>
      <c r="ERW54" s="151"/>
      <c r="ERX54" s="153"/>
      <c r="ERZ54" s="267"/>
      <c r="ESA54" s="267"/>
      <c r="ESB54" s="260"/>
      <c r="ESC54" s="297"/>
      <c r="ESD54" s="297"/>
      <c r="ESE54" s="297"/>
      <c r="ESF54" s="261"/>
      <c r="ESG54" s="261"/>
      <c r="ESH54" s="261"/>
      <c r="ESI54" s="262"/>
      <c r="ESJ54" s="262"/>
      <c r="ESK54" s="261"/>
      <c r="ESL54" s="263"/>
      <c r="ESM54" s="264"/>
      <c r="ESN54" s="295"/>
      <c r="ESO54" s="295"/>
      <c r="ESP54" s="295"/>
      <c r="ESQ54" s="295"/>
      <c r="ESR54" s="295"/>
      <c r="ESS54" s="295"/>
      <c r="EST54" s="153"/>
      <c r="ESU54" s="153"/>
      <c r="ESV54" s="151"/>
      <c r="ESW54" s="153"/>
      <c r="ESY54" s="267"/>
      <c r="ESZ54" s="267"/>
      <c r="ETA54" s="260"/>
      <c r="ETB54" s="297"/>
      <c r="ETC54" s="297"/>
      <c r="ETD54" s="297"/>
      <c r="ETE54" s="261"/>
      <c r="ETF54" s="261"/>
      <c r="ETG54" s="261"/>
      <c r="ETH54" s="262"/>
      <c r="ETI54" s="262"/>
      <c r="ETJ54" s="261"/>
      <c r="ETK54" s="263"/>
      <c r="ETL54" s="264"/>
      <c r="ETM54" s="295"/>
      <c r="ETN54" s="295"/>
      <c r="ETO54" s="295"/>
      <c r="ETP54" s="295"/>
      <c r="ETQ54" s="295"/>
      <c r="ETR54" s="295"/>
      <c r="ETS54" s="153"/>
      <c r="ETT54" s="153"/>
      <c r="ETU54" s="151"/>
      <c r="ETV54" s="153"/>
      <c r="ETX54" s="267"/>
      <c r="ETY54" s="267"/>
      <c r="ETZ54" s="260"/>
      <c r="EUA54" s="297"/>
      <c r="EUB54" s="297"/>
      <c r="EUC54" s="297"/>
      <c r="EUD54" s="261"/>
      <c r="EUE54" s="261"/>
      <c r="EUF54" s="261"/>
      <c r="EUG54" s="262"/>
      <c r="EUH54" s="262"/>
      <c r="EUI54" s="261"/>
      <c r="EUJ54" s="263"/>
      <c r="EUK54" s="264"/>
      <c r="EUL54" s="295"/>
      <c r="EUM54" s="295"/>
      <c r="EUN54" s="295"/>
      <c r="EUO54" s="295"/>
      <c r="EUP54" s="295"/>
      <c r="EUQ54" s="295"/>
      <c r="EUR54" s="153"/>
      <c r="EUS54" s="153"/>
      <c r="EUT54" s="151"/>
      <c r="EUU54" s="153"/>
      <c r="EUW54" s="267"/>
      <c r="EUX54" s="267"/>
      <c r="EUY54" s="260"/>
      <c r="EUZ54" s="297"/>
      <c r="EVA54" s="297"/>
      <c r="EVB54" s="297"/>
      <c r="EVC54" s="261"/>
      <c r="EVD54" s="261"/>
      <c r="EVE54" s="261"/>
      <c r="EVF54" s="262"/>
      <c r="EVG54" s="262"/>
      <c r="EVH54" s="261"/>
      <c r="EVI54" s="263"/>
      <c r="EVJ54" s="264"/>
      <c r="EVK54" s="295"/>
      <c r="EVL54" s="295"/>
      <c r="EVM54" s="295"/>
      <c r="EVN54" s="295"/>
      <c r="EVO54" s="295"/>
      <c r="EVP54" s="295"/>
      <c r="EVQ54" s="153"/>
      <c r="EVR54" s="153"/>
      <c r="EVS54" s="151"/>
      <c r="EVT54" s="153"/>
      <c r="EVV54" s="267"/>
      <c r="EVW54" s="267"/>
      <c r="EVX54" s="260"/>
      <c r="EVY54" s="297"/>
      <c r="EVZ54" s="297"/>
      <c r="EWA54" s="297"/>
      <c r="EWB54" s="261"/>
      <c r="EWC54" s="261"/>
      <c r="EWD54" s="261"/>
      <c r="EWE54" s="262"/>
      <c r="EWF54" s="262"/>
      <c r="EWG54" s="261"/>
      <c r="EWH54" s="263"/>
      <c r="EWI54" s="264"/>
      <c r="EWJ54" s="295"/>
      <c r="EWK54" s="295"/>
      <c r="EWL54" s="295"/>
      <c r="EWM54" s="295"/>
      <c r="EWN54" s="295"/>
      <c r="EWO54" s="295"/>
      <c r="EWP54" s="153"/>
      <c r="EWQ54" s="153"/>
      <c r="EWR54" s="151"/>
      <c r="EWS54" s="153"/>
      <c r="EWU54" s="267"/>
      <c r="EWV54" s="267"/>
      <c r="EWW54" s="260"/>
      <c r="EWX54" s="297"/>
      <c r="EWY54" s="297"/>
      <c r="EWZ54" s="297"/>
      <c r="EXA54" s="261"/>
      <c r="EXB54" s="261"/>
      <c r="EXC54" s="261"/>
      <c r="EXD54" s="262"/>
      <c r="EXE54" s="262"/>
      <c r="EXF54" s="261"/>
      <c r="EXG54" s="263"/>
      <c r="EXH54" s="264"/>
      <c r="EXI54" s="295"/>
      <c r="EXJ54" s="295"/>
      <c r="EXK54" s="295"/>
      <c r="EXL54" s="295"/>
      <c r="EXM54" s="295"/>
      <c r="EXN54" s="295"/>
      <c r="EXO54" s="153"/>
      <c r="EXP54" s="153"/>
      <c r="EXQ54" s="151"/>
      <c r="EXR54" s="153"/>
      <c r="EXT54" s="267"/>
      <c r="EXU54" s="267"/>
      <c r="EXV54" s="260"/>
      <c r="EXW54" s="297"/>
      <c r="EXX54" s="297"/>
      <c r="EXY54" s="297"/>
      <c r="EXZ54" s="261"/>
      <c r="EYA54" s="261"/>
      <c r="EYB54" s="261"/>
      <c r="EYC54" s="262"/>
      <c r="EYD54" s="262"/>
      <c r="EYE54" s="261"/>
      <c r="EYF54" s="263"/>
      <c r="EYG54" s="264"/>
      <c r="EYH54" s="295"/>
      <c r="EYI54" s="295"/>
      <c r="EYJ54" s="295"/>
      <c r="EYK54" s="295"/>
      <c r="EYL54" s="295"/>
      <c r="EYM54" s="295"/>
      <c r="EYN54" s="153"/>
      <c r="EYO54" s="153"/>
      <c r="EYP54" s="151"/>
      <c r="EYQ54" s="153"/>
      <c r="EYS54" s="267"/>
      <c r="EYT54" s="267"/>
      <c r="EYU54" s="260"/>
      <c r="EYV54" s="297"/>
      <c r="EYW54" s="297"/>
      <c r="EYX54" s="297"/>
      <c r="EYY54" s="261"/>
      <c r="EYZ54" s="261"/>
      <c r="EZA54" s="261"/>
      <c r="EZB54" s="262"/>
      <c r="EZC54" s="262"/>
      <c r="EZD54" s="261"/>
      <c r="EZE54" s="263"/>
      <c r="EZF54" s="264"/>
      <c r="EZG54" s="295"/>
      <c r="EZH54" s="295"/>
      <c r="EZI54" s="295"/>
      <c r="EZJ54" s="295"/>
      <c r="EZK54" s="295"/>
      <c r="EZL54" s="295"/>
      <c r="EZM54" s="153"/>
      <c r="EZN54" s="153"/>
      <c r="EZO54" s="151"/>
      <c r="EZP54" s="153"/>
      <c r="EZR54" s="267"/>
      <c r="EZS54" s="267"/>
      <c r="EZT54" s="260"/>
      <c r="EZU54" s="297"/>
      <c r="EZV54" s="297"/>
      <c r="EZW54" s="297"/>
      <c r="EZX54" s="261"/>
      <c r="EZY54" s="261"/>
      <c r="EZZ54" s="261"/>
      <c r="FAA54" s="262"/>
      <c r="FAB54" s="262"/>
      <c r="FAC54" s="261"/>
      <c r="FAD54" s="263"/>
      <c r="FAE54" s="264"/>
      <c r="FAF54" s="295"/>
      <c r="FAG54" s="295"/>
      <c r="FAH54" s="295"/>
      <c r="FAI54" s="295"/>
      <c r="FAJ54" s="295"/>
      <c r="FAK54" s="295"/>
      <c r="FAL54" s="153"/>
      <c r="FAM54" s="153"/>
      <c r="FAN54" s="151"/>
      <c r="FAO54" s="153"/>
      <c r="FAQ54" s="267"/>
      <c r="FAR54" s="267"/>
      <c r="FAS54" s="260"/>
      <c r="FAT54" s="297"/>
      <c r="FAU54" s="297"/>
      <c r="FAV54" s="297"/>
      <c r="FAW54" s="261"/>
      <c r="FAX54" s="261"/>
      <c r="FAY54" s="261"/>
      <c r="FAZ54" s="262"/>
      <c r="FBA54" s="262"/>
      <c r="FBB54" s="261"/>
      <c r="FBC54" s="263"/>
      <c r="FBD54" s="264"/>
      <c r="FBE54" s="295"/>
      <c r="FBF54" s="295"/>
      <c r="FBG54" s="295"/>
      <c r="FBH54" s="295"/>
      <c r="FBI54" s="295"/>
      <c r="FBJ54" s="295"/>
      <c r="FBK54" s="153"/>
      <c r="FBL54" s="153"/>
      <c r="FBM54" s="151"/>
      <c r="FBN54" s="153"/>
      <c r="FBP54" s="267"/>
      <c r="FBQ54" s="267"/>
      <c r="FBR54" s="260"/>
      <c r="FBS54" s="297"/>
      <c r="FBT54" s="297"/>
      <c r="FBU54" s="297"/>
      <c r="FBV54" s="261"/>
      <c r="FBW54" s="261"/>
      <c r="FBX54" s="261"/>
      <c r="FBY54" s="262"/>
      <c r="FBZ54" s="262"/>
      <c r="FCA54" s="261"/>
      <c r="FCB54" s="263"/>
      <c r="FCC54" s="264"/>
      <c r="FCD54" s="295"/>
      <c r="FCE54" s="295"/>
      <c r="FCF54" s="295"/>
      <c r="FCG54" s="295"/>
      <c r="FCH54" s="295"/>
      <c r="FCI54" s="295"/>
      <c r="FCJ54" s="153"/>
      <c r="FCK54" s="153"/>
      <c r="FCL54" s="151"/>
      <c r="FCM54" s="153"/>
      <c r="FCO54" s="267"/>
      <c r="FCP54" s="267"/>
      <c r="FCQ54" s="260"/>
      <c r="FCR54" s="297"/>
      <c r="FCS54" s="297"/>
      <c r="FCT54" s="297"/>
      <c r="FCU54" s="261"/>
      <c r="FCV54" s="261"/>
      <c r="FCW54" s="261"/>
      <c r="FCX54" s="262"/>
      <c r="FCY54" s="262"/>
      <c r="FCZ54" s="261"/>
      <c r="FDA54" s="263"/>
      <c r="FDB54" s="264"/>
      <c r="FDC54" s="295"/>
      <c r="FDD54" s="295"/>
      <c r="FDE54" s="295"/>
      <c r="FDF54" s="295"/>
      <c r="FDG54" s="295"/>
      <c r="FDH54" s="295"/>
      <c r="FDI54" s="153"/>
      <c r="FDJ54" s="153"/>
      <c r="FDK54" s="151"/>
      <c r="FDL54" s="153"/>
      <c r="FDN54" s="267"/>
      <c r="FDO54" s="267"/>
      <c r="FDP54" s="260"/>
      <c r="FDQ54" s="297"/>
      <c r="FDR54" s="297"/>
      <c r="FDS54" s="297"/>
      <c r="FDT54" s="261"/>
      <c r="FDU54" s="261"/>
      <c r="FDV54" s="261"/>
      <c r="FDW54" s="262"/>
      <c r="FDX54" s="262"/>
      <c r="FDY54" s="261"/>
      <c r="FDZ54" s="263"/>
      <c r="FEA54" s="264"/>
      <c r="FEB54" s="295"/>
      <c r="FEC54" s="295"/>
      <c r="FED54" s="295"/>
      <c r="FEE54" s="295"/>
      <c r="FEF54" s="295"/>
      <c r="FEG54" s="295"/>
      <c r="FEH54" s="153"/>
      <c r="FEI54" s="153"/>
      <c r="FEJ54" s="151"/>
      <c r="FEK54" s="153"/>
      <c r="FEM54" s="267"/>
      <c r="FEN54" s="267"/>
      <c r="FEO54" s="260"/>
      <c r="FEP54" s="297"/>
      <c r="FEQ54" s="297"/>
      <c r="FER54" s="297"/>
      <c r="FES54" s="261"/>
      <c r="FET54" s="261"/>
      <c r="FEU54" s="261"/>
      <c r="FEV54" s="262"/>
      <c r="FEW54" s="262"/>
      <c r="FEX54" s="261"/>
      <c r="FEY54" s="263"/>
      <c r="FEZ54" s="264"/>
      <c r="FFA54" s="295"/>
      <c r="FFB54" s="295"/>
      <c r="FFC54" s="295"/>
      <c r="FFD54" s="295"/>
      <c r="FFE54" s="295"/>
      <c r="FFF54" s="295"/>
      <c r="FFG54" s="153"/>
      <c r="FFH54" s="153"/>
      <c r="FFI54" s="151"/>
      <c r="FFJ54" s="153"/>
      <c r="FFL54" s="267"/>
      <c r="FFM54" s="267"/>
      <c r="FFN54" s="260"/>
      <c r="FFO54" s="297"/>
      <c r="FFP54" s="297"/>
      <c r="FFQ54" s="297"/>
      <c r="FFR54" s="261"/>
      <c r="FFS54" s="261"/>
      <c r="FFT54" s="261"/>
      <c r="FFU54" s="262"/>
      <c r="FFV54" s="262"/>
      <c r="FFW54" s="261"/>
      <c r="FFX54" s="263"/>
      <c r="FFY54" s="264"/>
      <c r="FFZ54" s="295"/>
      <c r="FGA54" s="295"/>
      <c r="FGB54" s="295"/>
      <c r="FGC54" s="295"/>
      <c r="FGD54" s="295"/>
      <c r="FGE54" s="295"/>
      <c r="FGF54" s="153"/>
      <c r="FGG54" s="153"/>
      <c r="FGH54" s="151"/>
      <c r="FGI54" s="153"/>
      <c r="FGK54" s="267"/>
      <c r="FGL54" s="267"/>
      <c r="FGM54" s="260"/>
      <c r="FGN54" s="297"/>
      <c r="FGO54" s="297"/>
      <c r="FGP54" s="297"/>
      <c r="FGQ54" s="261"/>
      <c r="FGR54" s="261"/>
      <c r="FGS54" s="261"/>
      <c r="FGT54" s="262"/>
      <c r="FGU54" s="262"/>
      <c r="FGV54" s="261"/>
      <c r="FGW54" s="263"/>
      <c r="FGX54" s="264"/>
      <c r="FGY54" s="295"/>
      <c r="FGZ54" s="295"/>
      <c r="FHA54" s="295"/>
      <c r="FHB54" s="295"/>
      <c r="FHC54" s="295"/>
      <c r="FHD54" s="295"/>
      <c r="FHE54" s="153"/>
      <c r="FHF54" s="153"/>
      <c r="FHG54" s="151"/>
      <c r="FHH54" s="153"/>
      <c r="FHJ54" s="267"/>
      <c r="FHK54" s="267"/>
      <c r="FHL54" s="260"/>
      <c r="FHM54" s="297"/>
      <c r="FHN54" s="297"/>
      <c r="FHO54" s="297"/>
      <c r="FHP54" s="261"/>
      <c r="FHQ54" s="261"/>
      <c r="FHR54" s="261"/>
      <c r="FHS54" s="262"/>
      <c r="FHT54" s="262"/>
      <c r="FHU54" s="261"/>
      <c r="FHV54" s="263"/>
      <c r="FHW54" s="264"/>
      <c r="FHX54" s="295"/>
      <c r="FHY54" s="295"/>
      <c r="FHZ54" s="295"/>
      <c r="FIA54" s="295"/>
      <c r="FIB54" s="295"/>
      <c r="FIC54" s="295"/>
      <c r="FID54" s="153"/>
      <c r="FIE54" s="153"/>
      <c r="FIF54" s="151"/>
      <c r="FIG54" s="153"/>
      <c r="FII54" s="267"/>
      <c r="FIJ54" s="267"/>
      <c r="FIK54" s="260"/>
      <c r="FIL54" s="297"/>
      <c r="FIM54" s="297"/>
      <c r="FIN54" s="297"/>
      <c r="FIO54" s="261"/>
      <c r="FIP54" s="261"/>
      <c r="FIQ54" s="261"/>
      <c r="FIR54" s="262"/>
      <c r="FIS54" s="262"/>
      <c r="FIT54" s="261"/>
      <c r="FIU54" s="263"/>
      <c r="FIV54" s="264"/>
      <c r="FIW54" s="295"/>
      <c r="FIX54" s="295"/>
      <c r="FIY54" s="295"/>
      <c r="FIZ54" s="295"/>
      <c r="FJA54" s="295"/>
      <c r="FJB54" s="295"/>
      <c r="FJC54" s="153"/>
      <c r="FJD54" s="153"/>
      <c r="FJE54" s="151"/>
      <c r="FJF54" s="153"/>
      <c r="FJH54" s="267"/>
      <c r="FJI54" s="267"/>
      <c r="FJJ54" s="260"/>
      <c r="FJK54" s="297"/>
      <c r="FJL54" s="297"/>
      <c r="FJM54" s="297"/>
      <c r="FJN54" s="261"/>
      <c r="FJO54" s="261"/>
      <c r="FJP54" s="261"/>
      <c r="FJQ54" s="262"/>
      <c r="FJR54" s="262"/>
      <c r="FJS54" s="261"/>
      <c r="FJT54" s="263"/>
      <c r="FJU54" s="264"/>
      <c r="FJV54" s="295"/>
      <c r="FJW54" s="295"/>
      <c r="FJX54" s="295"/>
      <c r="FJY54" s="295"/>
      <c r="FJZ54" s="295"/>
      <c r="FKA54" s="295"/>
      <c r="FKB54" s="153"/>
      <c r="FKC54" s="153"/>
      <c r="FKD54" s="151"/>
      <c r="FKE54" s="153"/>
      <c r="FKG54" s="267"/>
      <c r="FKH54" s="267"/>
      <c r="FKI54" s="260"/>
      <c r="FKJ54" s="297"/>
      <c r="FKK54" s="297"/>
      <c r="FKL54" s="297"/>
      <c r="FKM54" s="261"/>
      <c r="FKN54" s="261"/>
      <c r="FKO54" s="261"/>
      <c r="FKP54" s="262"/>
      <c r="FKQ54" s="262"/>
      <c r="FKR54" s="261"/>
      <c r="FKS54" s="263"/>
      <c r="FKT54" s="264"/>
      <c r="FKU54" s="295"/>
      <c r="FKV54" s="295"/>
      <c r="FKW54" s="295"/>
      <c r="FKX54" s="295"/>
      <c r="FKY54" s="295"/>
      <c r="FKZ54" s="295"/>
      <c r="FLA54" s="153"/>
      <c r="FLB54" s="153"/>
      <c r="FLC54" s="151"/>
      <c r="FLD54" s="153"/>
      <c r="FLF54" s="267"/>
      <c r="FLG54" s="267"/>
      <c r="FLH54" s="260"/>
      <c r="FLI54" s="297"/>
      <c r="FLJ54" s="297"/>
      <c r="FLK54" s="297"/>
      <c r="FLL54" s="261"/>
      <c r="FLM54" s="261"/>
      <c r="FLN54" s="261"/>
      <c r="FLO54" s="262"/>
      <c r="FLP54" s="262"/>
      <c r="FLQ54" s="261"/>
      <c r="FLR54" s="263"/>
      <c r="FLS54" s="264"/>
      <c r="FLT54" s="295"/>
      <c r="FLU54" s="295"/>
      <c r="FLV54" s="295"/>
      <c r="FLW54" s="295"/>
      <c r="FLX54" s="295"/>
      <c r="FLY54" s="295"/>
      <c r="FLZ54" s="153"/>
      <c r="FMA54" s="153"/>
      <c r="FMB54" s="151"/>
      <c r="FMC54" s="153"/>
      <c r="FME54" s="267"/>
      <c r="FMF54" s="267"/>
      <c r="FMG54" s="260"/>
      <c r="FMH54" s="297"/>
      <c r="FMI54" s="297"/>
      <c r="FMJ54" s="297"/>
      <c r="FMK54" s="261"/>
      <c r="FML54" s="261"/>
      <c r="FMM54" s="261"/>
      <c r="FMN54" s="262"/>
      <c r="FMO54" s="262"/>
      <c r="FMP54" s="261"/>
      <c r="FMQ54" s="263"/>
      <c r="FMR54" s="264"/>
      <c r="FMS54" s="295"/>
      <c r="FMT54" s="295"/>
      <c r="FMU54" s="295"/>
      <c r="FMV54" s="295"/>
      <c r="FMW54" s="295"/>
      <c r="FMX54" s="295"/>
      <c r="FMY54" s="153"/>
      <c r="FMZ54" s="153"/>
      <c r="FNA54" s="151"/>
      <c r="FNB54" s="153"/>
      <c r="FND54" s="267"/>
      <c r="FNE54" s="267"/>
      <c r="FNF54" s="260"/>
      <c r="FNG54" s="297"/>
      <c r="FNH54" s="297"/>
      <c r="FNI54" s="297"/>
      <c r="FNJ54" s="261"/>
      <c r="FNK54" s="261"/>
      <c r="FNL54" s="261"/>
      <c r="FNM54" s="262"/>
      <c r="FNN54" s="262"/>
      <c r="FNO54" s="261"/>
      <c r="FNP54" s="263"/>
      <c r="FNQ54" s="264"/>
      <c r="FNR54" s="295"/>
      <c r="FNS54" s="295"/>
      <c r="FNT54" s="295"/>
      <c r="FNU54" s="295"/>
      <c r="FNV54" s="295"/>
      <c r="FNW54" s="295"/>
      <c r="FNX54" s="153"/>
      <c r="FNY54" s="153"/>
      <c r="FNZ54" s="151"/>
      <c r="FOA54" s="153"/>
      <c r="FOC54" s="267"/>
      <c r="FOD54" s="267"/>
      <c r="FOE54" s="260"/>
      <c r="FOF54" s="297"/>
      <c r="FOG54" s="297"/>
      <c r="FOH54" s="297"/>
      <c r="FOI54" s="261"/>
      <c r="FOJ54" s="261"/>
      <c r="FOK54" s="261"/>
      <c r="FOL54" s="262"/>
      <c r="FOM54" s="262"/>
      <c r="FON54" s="261"/>
      <c r="FOO54" s="263"/>
      <c r="FOP54" s="264"/>
      <c r="FOQ54" s="295"/>
      <c r="FOR54" s="295"/>
      <c r="FOS54" s="295"/>
      <c r="FOT54" s="295"/>
      <c r="FOU54" s="295"/>
      <c r="FOV54" s="295"/>
      <c r="FOW54" s="153"/>
      <c r="FOX54" s="153"/>
      <c r="FOY54" s="151"/>
      <c r="FOZ54" s="153"/>
      <c r="FPB54" s="267"/>
      <c r="FPC54" s="267"/>
      <c r="FPD54" s="260"/>
      <c r="FPE54" s="297"/>
      <c r="FPF54" s="297"/>
      <c r="FPG54" s="297"/>
      <c r="FPH54" s="261"/>
      <c r="FPI54" s="261"/>
      <c r="FPJ54" s="261"/>
      <c r="FPK54" s="262"/>
      <c r="FPL54" s="262"/>
      <c r="FPM54" s="261"/>
      <c r="FPN54" s="263"/>
      <c r="FPO54" s="264"/>
      <c r="FPP54" s="295"/>
      <c r="FPQ54" s="295"/>
      <c r="FPR54" s="295"/>
      <c r="FPS54" s="295"/>
      <c r="FPT54" s="295"/>
      <c r="FPU54" s="295"/>
      <c r="FPV54" s="153"/>
      <c r="FPW54" s="153"/>
      <c r="FPX54" s="151"/>
      <c r="FPY54" s="153"/>
      <c r="FQA54" s="267"/>
      <c r="FQB54" s="267"/>
      <c r="FQC54" s="260"/>
      <c r="FQD54" s="297"/>
      <c r="FQE54" s="297"/>
      <c r="FQF54" s="297"/>
      <c r="FQG54" s="261"/>
      <c r="FQH54" s="261"/>
      <c r="FQI54" s="261"/>
      <c r="FQJ54" s="262"/>
      <c r="FQK54" s="262"/>
      <c r="FQL54" s="261"/>
      <c r="FQM54" s="263"/>
      <c r="FQN54" s="264"/>
      <c r="FQO54" s="295"/>
      <c r="FQP54" s="295"/>
      <c r="FQQ54" s="295"/>
      <c r="FQR54" s="295"/>
      <c r="FQS54" s="295"/>
      <c r="FQT54" s="295"/>
      <c r="FQU54" s="153"/>
      <c r="FQV54" s="153"/>
      <c r="FQW54" s="151"/>
      <c r="FQX54" s="153"/>
      <c r="FQZ54" s="267"/>
      <c r="FRA54" s="267"/>
      <c r="FRB54" s="260"/>
      <c r="FRC54" s="297"/>
      <c r="FRD54" s="297"/>
      <c r="FRE54" s="297"/>
      <c r="FRF54" s="261"/>
      <c r="FRG54" s="261"/>
      <c r="FRH54" s="261"/>
      <c r="FRI54" s="262"/>
      <c r="FRJ54" s="262"/>
      <c r="FRK54" s="261"/>
      <c r="FRL54" s="263"/>
      <c r="FRM54" s="264"/>
      <c r="FRN54" s="295"/>
      <c r="FRO54" s="295"/>
      <c r="FRP54" s="295"/>
      <c r="FRQ54" s="295"/>
      <c r="FRR54" s="295"/>
      <c r="FRS54" s="295"/>
      <c r="FRT54" s="153"/>
      <c r="FRU54" s="153"/>
      <c r="FRV54" s="151"/>
      <c r="FRW54" s="153"/>
      <c r="FRY54" s="267"/>
      <c r="FRZ54" s="267"/>
      <c r="FSA54" s="260"/>
      <c r="FSB54" s="297"/>
      <c r="FSC54" s="297"/>
      <c r="FSD54" s="297"/>
      <c r="FSE54" s="261"/>
      <c r="FSF54" s="261"/>
      <c r="FSG54" s="261"/>
      <c r="FSH54" s="262"/>
      <c r="FSI54" s="262"/>
      <c r="FSJ54" s="261"/>
      <c r="FSK54" s="263"/>
      <c r="FSL54" s="264"/>
      <c r="FSM54" s="295"/>
      <c r="FSN54" s="295"/>
      <c r="FSO54" s="295"/>
      <c r="FSP54" s="295"/>
      <c r="FSQ54" s="295"/>
      <c r="FSR54" s="295"/>
      <c r="FSS54" s="153"/>
      <c r="FST54" s="153"/>
      <c r="FSU54" s="151"/>
      <c r="FSV54" s="153"/>
      <c r="FSX54" s="267"/>
      <c r="FSY54" s="267"/>
      <c r="FSZ54" s="260"/>
      <c r="FTA54" s="297"/>
      <c r="FTB54" s="297"/>
      <c r="FTC54" s="297"/>
      <c r="FTD54" s="261"/>
      <c r="FTE54" s="261"/>
      <c r="FTF54" s="261"/>
      <c r="FTG54" s="262"/>
      <c r="FTH54" s="262"/>
      <c r="FTI54" s="261"/>
      <c r="FTJ54" s="263"/>
      <c r="FTK54" s="264"/>
      <c r="FTL54" s="295"/>
      <c r="FTM54" s="295"/>
      <c r="FTN54" s="295"/>
      <c r="FTO54" s="295"/>
      <c r="FTP54" s="295"/>
      <c r="FTQ54" s="295"/>
      <c r="FTR54" s="153"/>
      <c r="FTS54" s="153"/>
      <c r="FTT54" s="151"/>
      <c r="FTU54" s="153"/>
      <c r="FTW54" s="267"/>
      <c r="FTX54" s="267"/>
      <c r="FTY54" s="260"/>
      <c r="FTZ54" s="297"/>
      <c r="FUA54" s="297"/>
      <c r="FUB54" s="297"/>
      <c r="FUC54" s="261"/>
      <c r="FUD54" s="261"/>
      <c r="FUE54" s="261"/>
      <c r="FUF54" s="262"/>
      <c r="FUG54" s="262"/>
      <c r="FUH54" s="261"/>
      <c r="FUI54" s="263"/>
      <c r="FUJ54" s="264"/>
      <c r="FUK54" s="295"/>
      <c r="FUL54" s="295"/>
      <c r="FUM54" s="295"/>
      <c r="FUN54" s="295"/>
      <c r="FUO54" s="295"/>
      <c r="FUP54" s="295"/>
      <c r="FUQ54" s="153"/>
      <c r="FUR54" s="153"/>
      <c r="FUS54" s="151"/>
      <c r="FUT54" s="153"/>
      <c r="FUV54" s="267"/>
      <c r="FUW54" s="267"/>
      <c r="FUX54" s="260"/>
      <c r="FUY54" s="297"/>
      <c r="FUZ54" s="297"/>
      <c r="FVA54" s="297"/>
      <c r="FVB54" s="261"/>
      <c r="FVC54" s="261"/>
      <c r="FVD54" s="261"/>
      <c r="FVE54" s="262"/>
      <c r="FVF54" s="262"/>
      <c r="FVG54" s="261"/>
      <c r="FVH54" s="263"/>
      <c r="FVI54" s="264"/>
      <c r="FVJ54" s="295"/>
      <c r="FVK54" s="295"/>
      <c r="FVL54" s="295"/>
      <c r="FVM54" s="295"/>
      <c r="FVN54" s="295"/>
      <c r="FVO54" s="295"/>
      <c r="FVP54" s="153"/>
      <c r="FVQ54" s="153"/>
      <c r="FVR54" s="151"/>
      <c r="FVS54" s="153"/>
      <c r="FVU54" s="267"/>
      <c r="FVV54" s="267"/>
      <c r="FVW54" s="260"/>
      <c r="FVX54" s="297"/>
      <c r="FVY54" s="297"/>
      <c r="FVZ54" s="297"/>
      <c r="FWA54" s="261"/>
      <c r="FWB54" s="261"/>
      <c r="FWC54" s="261"/>
      <c r="FWD54" s="262"/>
      <c r="FWE54" s="262"/>
      <c r="FWF54" s="261"/>
      <c r="FWG54" s="263"/>
      <c r="FWH54" s="264"/>
      <c r="FWI54" s="295"/>
      <c r="FWJ54" s="295"/>
      <c r="FWK54" s="295"/>
      <c r="FWL54" s="295"/>
      <c r="FWM54" s="295"/>
      <c r="FWN54" s="295"/>
      <c r="FWO54" s="153"/>
      <c r="FWP54" s="153"/>
      <c r="FWQ54" s="151"/>
      <c r="FWR54" s="153"/>
      <c r="FWT54" s="267"/>
      <c r="FWU54" s="267"/>
      <c r="FWV54" s="260"/>
      <c r="FWW54" s="297"/>
      <c r="FWX54" s="297"/>
      <c r="FWY54" s="297"/>
      <c r="FWZ54" s="261"/>
      <c r="FXA54" s="261"/>
      <c r="FXB54" s="261"/>
      <c r="FXC54" s="262"/>
      <c r="FXD54" s="262"/>
      <c r="FXE54" s="261"/>
      <c r="FXF54" s="263"/>
      <c r="FXG54" s="264"/>
      <c r="FXH54" s="295"/>
      <c r="FXI54" s="295"/>
      <c r="FXJ54" s="295"/>
      <c r="FXK54" s="295"/>
      <c r="FXL54" s="295"/>
      <c r="FXM54" s="295"/>
      <c r="FXN54" s="153"/>
      <c r="FXO54" s="153"/>
      <c r="FXP54" s="151"/>
      <c r="FXQ54" s="153"/>
      <c r="FXS54" s="267"/>
      <c r="FXT54" s="267"/>
      <c r="FXU54" s="260"/>
      <c r="FXV54" s="297"/>
      <c r="FXW54" s="297"/>
      <c r="FXX54" s="297"/>
      <c r="FXY54" s="261"/>
      <c r="FXZ54" s="261"/>
      <c r="FYA54" s="261"/>
      <c r="FYB54" s="262"/>
      <c r="FYC54" s="262"/>
      <c r="FYD54" s="261"/>
      <c r="FYE54" s="263"/>
      <c r="FYF54" s="264"/>
      <c r="FYG54" s="295"/>
      <c r="FYH54" s="295"/>
      <c r="FYI54" s="295"/>
      <c r="FYJ54" s="295"/>
      <c r="FYK54" s="295"/>
      <c r="FYL54" s="295"/>
      <c r="FYM54" s="153"/>
      <c r="FYN54" s="153"/>
      <c r="FYO54" s="151"/>
      <c r="FYP54" s="153"/>
      <c r="FYR54" s="267"/>
      <c r="FYS54" s="267"/>
      <c r="FYT54" s="260"/>
      <c r="FYU54" s="297"/>
      <c r="FYV54" s="297"/>
      <c r="FYW54" s="297"/>
      <c r="FYX54" s="261"/>
      <c r="FYY54" s="261"/>
      <c r="FYZ54" s="261"/>
      <c r="FZA54" s="262"/>
      <c r="FZB54" s="262"/>
      <c r="FZC54" s="261"/>
      <c r="FZD54" s="263"/>
      <c r="FZE54" s="264"/>
      <c r="FZF54" s="295"/>
      <c r="FZG54" s="295"/>
      <c r="FZH54" s="295"/>
      <c r="FZI54" s="295"/>
      <c r="FZJ54" s="295"/>
      <c r="FZK54" s="295"/>
      <c r="FZL54" s="153"/>
      <c r="FZM54" s="153"/>
      <c r="FZN54" s="151"/>
      <c r="FZO54" s="153"/>
      <c r="FZQ54" s="267"/>
      <c r="FZR54" s="267"/>
      <c r="FZS54" s="260"/>
      <c r="FZT54" s="297"/>
      <c r="FZU54" s="297"/>
      <c r="FZV54" s="297"/>
      <c r="FZW54" s="261"/>
      <c r="FZX54" s="261"/>
      <c r="FZY54" s="261"/>
      <c r="FZZ54" s="262"/>
      <c r="GAA54" s="262"/>
      <c r="GAB54" s="261"/>
      <c r="GAC54" s="263"/>
      <c r="GAD54" s="264"/>
      <c r="GAE54" s="295"/>
      <c r="GAF54" s="295"/>
      <c r="GAG54" s="295"/>
      <c r="GAH54" s="295"/>
      <c r="GAI54" s="295"/>
      <c r="GAJ54" s="295"/>
      <c r="GAK54" s="153"/>
      <c r="GAL54" s="153"/>
      <c r="GAM54" s="151"/>
      <c r="GAN54" s="153"/>
      <c r="GAP54" s="267"/>
      <c r="GAQ54" s="267"/>
      <c r="GAR54" s="260"/>
      <c r="GAS54" s="297"/>
      <c r="GAT54" s="297"/>
      <c r="GAU54" s="297"/>
      <c r="GAV54" s="261"/>
      <c r="GAW54" s="261"/>
      <c r="GAX54" s="261"/>
      <c r="GAY54" s="262"/>
      <c r="GAZ54" s="262"/>
      <c r="GBA54" s="261"/>
      <c r="GBB54" s="263"/>
      <c r="GBC54" s="264"/>
      <c r="GBD54" s="295"/>
      <c r="GBE54" s="295"/>
      <c r="GBF54" s="295"/>
      <c r="GBG54" s="295"/>
      <c r="GBH54" s="295"/>
      <c r="GBI54" s="295"/>
      <c r="GBJ54" s="153"/>
      <c r="GBK54" s="153"/>
      <c r="GBL54" s="151"/>
      <c r="GBM54" s="153"/>
      <c r="GBO54" s="267"/>
      <c r="GBP54" s="267"/>
      <c r="GBQ54" s="260"/>
      <c r="GBR54" s="297"/>
      <c r="GBS54" s="297"/>
      <c r="GBT54" s="297"/>
      <c r="GBU54" s="261"/>
      <c r="GBV54" s="261"/>
      <c r="GBW54" s="261"/>
      <c r="GBX54" s="262"/>
      <c r="GBY54" s="262"/>
      <c r="GBZ54" s="261"/>
      <c r="GCA54" s="263"/>
      <c r="GCB54" s="264"/>
      <c r="GCC54" s="295"/>
      <c r="GCD54" s="295"/>
      <c r="GCE54" s="295"/>
      <c r="GCF54" s="295"/>
      <c r="GCG54" s="295"/>
      <c r="GCH54" s="295"/>
      <c r="GCI54" s="153"/>
      <c r="GCJ54" s="153"/>
      <c r="GCK54" s="151"/>
      <c r="GCL54" s="153"/>
      <c r="GCN54" s="267"/>
      <c r="GCO54" s="267"/>
      <c r="GCP54" s="260"/>
      <c r="GCQ54" s="297"/>
      <c r="GCR54" s="297"/>
      <c r="GCS54" s="297"/>
      <c r="GCT54" s="261"/>
      <c r="GCU54" s="261"/>
      <c r="GCV54" s="261"/>
      <c r="GCW54" s="262"/>
      <c r="GCX54" s="262"/>
      <c r="GCY54" s="261"/>
      <c r="GCZ54" s="263"/>
      <c r="GDA54" s="264"/>
      <c r="GDB54" s="295"/>
      <c r="GDC54" s="295"/>
      <c r="GDD54" s="295"/>
      <c r="GDE54" s="295"/>
      <c r="GDF54" s="295"/>
      <c r="GDG54" s="295"/>
      <c r="GDH54" s="153"/>
      <c r="GDI54" s="153"/>
      <c r="GDJ54" s="151"/>
      <c r="GDK54" s="153"/>
      <c r="GDM54" s="267"/>
      <c r="GDN54" s="267"/>
      <c r="GDO54" s="260"/>
      <c r="GDP54" s="297"/>
      <c r="GDQ54" s="297"/>
      <c r="GDR54" s="297"/>
      <c r="GDS54" s="261"/>
      <c r="GDT54" s="261"/>
      <c r="GDU54" s="261"/>
      <c r="GDV54" s="262"/>
      <c r="GDW54" s="262"/>
      <c r="GDX54" s="261"/>
      <c r="GDY54" s="263"/>
      <c r="GDZ54" s="264"/>
      <c r="GEA54" s="295"/>
      <c r="GEB54" s="295"/>
      <c r="GEC54" s="295"/>
      <c r="GED54" s="295"/>
      <c r="GEE54" s="295"/>
      <c r="GEF54" s="295"/>
      <c r="GEG54" s="153"/>
      <c r="GEH54" s="153"/>
      <c r="GEI54" s="151"/>
      <c r="GEJ54" s="153"/>
      <c r="GEL54" s="267"/>
      <c r="GEM54" s="267"/>
      <c r="GEN54" s="260"/>
      <c r="GEO54" s="297"/>
      <c r="GEP54" s="297"/>
      <c r="GEQ54" s="297"/>
      <c r="GER54" s="261"/>
      <c r="GES54" s="261"/>
      <c r="GET54" s="261"/>
      <c r="GEU54" s="262"/>
      <c r="GEV54" s="262"/>
      <c r="GEW54" s="261"/>
      <c r="GEX54" s="263"/>
      <c r="GEY54" s="264"/>
      <c r="GEZ54" s="295"/>
      <c r="GFA54" s="295"/>
      <c r="GFB54" s="295"/>
      <c r="GFC54" s="295"/>
      <c r="GFD54" s="295"/>
      <c r="GFE54" s="295"/>
      <c r="GFF54" s="153"/>
      <c r="GFG54" s="153"/>
      <c r="GFH54" s="151"/>
      <c r="GFI54" s="153"/>
      <c r="GFK54" s="267"/>
      <c r="GFL54" s="267"/>
      <c r="GFM54" s="260"/>
      <c r="GFN54" s="297"/>
      <c r="GFO54" s="297"/>
      <c r="GFP54" s="297"/>
      <c r="GFQ54" s="261"/>
      <c r="GFR54" s="261"/>
      <c r="GFS54" s="261"/>
      <c r="GFT54" s="262"/>
      <c r="GFU54" s="262"/>
      <c r="GFV54" s="261"/>
      <c r="GFW54" s="263"/>
      <c r="GFX54" s="264"/>
      <c r="GFY54" s="295"/>
      <c r="GFZ54" s="295"/>
      <c r="GGA54" s="295"/>
      <c r="GGB54" s="295"/>
      <c r="GGC54" s="295"/>
      <c r="GGD54" s="295"/>
      <c r="GGE54" s="153"/>
      <c r="GGF54" s="153"/>
      <c r="GGG54" s="151"/>
      <c r="GGH54" s="153"/>
      <c r="GGJ54" s="267"/>
      <c r="GGK54" s="267"/>
      <c r="GGL54" s="260"/>
      <c r="GGM54" s="297"/>
      <c r="GGN54" s="297"/>
      <c r="GGO54" s="297"/>
      <c r="GGP54" s="261"/>
      <c r="GGQ54" s="261"/>
      <c r="GGR54" s="261"/>
      <c r="GGS54" s="262"/>
      <c r="GGT54" s="262"/>
      <c r="GGU54" s="261"/>
      <c r="GGV54" s="263"/>
      <c r="GGW54" s="264"/>
      <c r="GGX54" s="295"/>
      <c r="GGY54" s="295"/>
      <c r="GGZ54" s="295"/>
      <c r="GHA54" s="295"/>
      <c r="GHB54" s="295"/>
      <c r="GHC54" s="295"/>
      <c r="GHD54" s="153"/>
      <c r="GHE54" s="153"/>
      <c r="GHF54" s="151"/>
      <c r="GHG54" s="153"/>
      <c r="GHI54" s="267"/>
      <c r="GHJ54" s="267"/>
      <c r="GHK54" s="260"/>
      <c r="GHL54" s="297"/>
      <c r="GHM54" s="297"/>
      <c r="GHN54" s="297"/>
      <c r="GHO54" s="261"/>
      <c r="GHP54" s="261"/>
      <c r="GHQ54" s="261"/>
      <c r="GHR54" s="262"/>
      <c r="GHS54" s="262"/>
      <c r="GHT54" s="261"/>
      <c r="GHU54" s="263"/>
      <c r="GHV54" s="264"/>
      <c r="GHW54" s="295"/>
      <c r="GHX54" s="295"/>
      <c r="GHY54" s="295"/>
      <c r="GHZ54" s="295"/>
      <c r="GIA54" s="295"/>
      <c r="GIB54" s="295"/>
      <c r="GIC54" s="153"/>
      <c r="GID54" s="153"/>
      <c r="GIE54" s="151"/>
      <c r="GIF54" s="153"/>
      <c r="GIH54" s="267"/>
      <c r="GII54" s="267"/>
      <c r="GIJ54" s="260"/>
      <c r="GIK54" s="297"/>
      <c r="GIL54" s="297"/>
      <c r="GIM54" s="297"/>
      <c r="GIN54" s="261"/>
      <c r="GIO54" s="261"/>
      <c r="GIP54" s="261"/>
      <c r="GIQ54" s="262"/>
      <c r="GIR54" s="262"/>
      <c r="GIS54" s="261"/>
      <c r="GIT54" s="263"/>
      <c r="GIU54" s="264"/>
      <c r="GIV54" s="295"/>
      <c r="GIW54" s="295"/>
      <c r="GIX54" s="295"/>
      <c r="GIY54" s="295"/>
      <c r="GIZ54" s="295"/>
      <c r="GJA54" s="295"/>
      <c r="GJB54" s="153"/>
      <c r="GJC54" s="153"/>
      <c r="GJD54" s="151"/>
      <c r="GJE54" s="153"/>
      <c r="GJG54" s="267"/>
      <c r="GJH54" s="267"/>
      <c r="GJI54" s="260"/>
      <c r="GJJ54" s="297"/>
      <c r="GJK54" s="297"/>
      <c r="GJL54" s="297"/>
      <c r="GJM54" s="261"/>
      <c r="GJN54" s="261"/>
      <c r="GJO54" s="261"/>
      <c r="GJP54" s="262"/>
      <c r="GJQ54" s="262"/>
      <c r="GJR54" s="261"/>
      <c r="GJS54" s="263"/>
      <c r="GJT54" s="264"/>
      <c r="GJU54" s="295"/>
      <c r="GJV54" s="295"/>
      <c r="GJW54" s="295"/>
      <c r="GJX54" s="295"/>
      <c r="GJY54" s="295"/>
      <c r="GJZ54" s="295"/>
      <c r="GKA54" s="153"/>
      <c r="GKB54" s="153"/>
      <c r="GKC54" s="151"/>
      <c r="GKD54" s="153"/>
      <c r="GKF54" s="267"/>
      <c r="GKG54" s="267"/>
      <c r="GKH54" s="260"/>
      <c r="GKI54" s="297"/>
      <c r="GKJ54" s="297"/>
      <c r="GKK54" s="297"/>
      <c r="GKL54" s="261"/>
      <c r="GKM54" s="261"/>
      <c r="GKN54" s="261"/>
      <c r="GKO54" s="262"/>
      <c r="GKP54" s="262"/>
      <c r="GKQ54" s="261"/>
      <c r="GKR54" s="263"/>
      <c r="GKS54" s="264"/>
      <c r="GKT54" s="295"/>
      <c r="GKU54" s="295"/>
      <c r="GKV54" s="295"/>
      <c r="GKW54" s="295"/>
      <c r="GKX54" s="295"/>
      <c r="GKY54" s="295"/>
      <c r="GKZ54" s="153"/>
      <c r="GLA54" s="153"/>
      <c r="GLB54" s="151"/>
      <c r="GLC54" s="153"/>
      <c r="GLE54" s="267"/>
      <c r="GLF54" s="267"/>
      <c r="GLG54" s="260"/>
      <c r="GLH54" s="297"/>
      <c r="GLI54" s="297"/>
      <c r="GLJ54" s="297"/>
      <c r="GLK54" s="261"/>
      <c r="GLL54" s="261"/>
      <c r="GLM54" s="261"/>
      <c r="GLN54" s="262"/>
      <c r="GLO54" s="262"/>
      <c r="GLP54" s="261"/>
      <c r="GLQ54" s="263"/>
      <c r="GLR54" s="264"/>
      <c r="GLS54" s="295"/>
      <c r="GLT54" s="295"/>
      <c r="GLU54" s="295"/>
      <c r="GLV54" s="295"/>
      <c r="GLW54" s="295"/>
      <c r="GLX54" s="295"/>
      <c r="GLY54" s="153"/>
      <c r="GLZ54" s="153"/>
      <c r="GMA54" s="151"/>
      <c r="GMB54" s="153"/>
      <c r="GMD54" s="267"/>
      <c r="GME54" s="267"/>
      <c r="GMF54" s="260"/>
      <c r="GMG54" s="297"/>
      <c r="GMH54" s="297"/>
      <c r="GMI54" s="297"/>
      <c r="GMJ54" s="261"/>
      <c r="GMK54" s="261"/>
      <c r="GML54" s="261"/>
      <c r="GMM54" s="262"/>
      <c r="GMN54" s="262"/>
      <c r="GMO54" s="261"/>
      <c r="GMP54" s="263"/>
      <c r="GMQ54" s="264"/>
      <c r="GMR54" s="295"/>
      <c r="GMS54" s="295"/>
      <c r="GMT54" s="295"/>
      <c r="GMU54" s="295"/>
      <c r="GMV54" s="295"/>
      <c r="GMW54" s="295"/>
      <c r="GMX54" s="153"/>
      <c r="GMY54" s="153"/>
      <c r="GMZ54" s="151"/>
      <c r="GNA54" s="153"/>
      <c r="GNC54" s="267"/>
      <c r="GND54" s="267"/>
      <c r="GNE54" s="260"/>
      <c r="GNF54" s="297"/>
      <c r="GNG54" s="297"/>
      <c r="GNH54" s="297"/>
      <c r="GNI54" s="261"/>
      <c r="GNJ54" s="261"/>
      <c r="GNK54" s="261"/>
      <c r="GNL54" s="262"/>
      <c r="GNM54" s="262"/>
      <c r="GNN54" s="261"/>
      <c r="GNO54" s="263"/>
      <c r="GNP54" s="264"/>
      <c r="GNQ54" s="295"/>
      <c r="GNR54" s="295"/>
      <c r="GNS54" s="295"/>
      <c r="GNT54" s="295"/>
      <c r="GNU54" s="295"/>
      <c r="GNV54" s="295"/>
      <c r="GNW54" s="153"/>
      <c r="GNX54" s="153"/>
      <c r="GNY54" s="151"/>
      <c r="GNZ54" s="153"/>
      <c r="GOB54" s="267"/>
      <c r="GOC54" s="267"/>
      <c r="GOD54" s="260"/>
      <c r="GOE54" s="297"/>
      <c r="GOF54" s="297"/>
      <c r="GOG54" s="297"/>
      <c r="GOH54" s="261"/>
      <c r="GOI54" s="261"/>
      <c r="GOJ54" s="261"/>
      <c r="GOK54" s="262"/>
      <c r="GOL54" s="262"/>
      <c r="GOM54" s="261"/>
      <c r="GON54" s="263"/>
      <c r="GOO54" s="264"/>
      <c r="GOP54" s="295"/>
      <c r="GOQ54" s="295"/>
      <c r="GOR54" s="295"/>
      <c r="GOS54" s="295"/>
      <c r="GOT54" s="295"/>
      <c r="GOU54" s="295"/>
      <c r="GOV54" s="153"/>
      <c r="GOW54" s="153"/>
      <c r="GOX54" s="151"/>
      <c r="GOY54" s="153"/>
      <c r="GPA54" s="267"/>
      <c r="GPB54" s="267"/>
      <c r="GPC54" s="260"/>
      <c r="GPD54" s="297"/>
      <c r="GPE54" s="297"/>
      <c r="GPF54" s="297"/>
      <c r="GPG54" s="261"/>
      <c r="GPH54" s="261"/>
      <c r="GPI54" s="261"/>
      <c r="GPJ54" s="262"/>
      <c r="GPK54" s="262"/>
      <c r="GPL54" s="261"/>
      <c r="GPM54" s="263"/>
      <c r="GPN54" s="264"/>
      <c r="GPO54" s="295"/>
      <c r="GPP54" s="295"/>
      <c r="GPQ54" s="295"/>
      <c r="GPR54" s="295"/>
      <c r="GPS54" s="295"/>
      <c r="GPT54" s="295"/>
      <c r="GPU54" s="153"/>
      <c r="GPV54" s="153"/>
      <c r="GPW54" s="151"/>
      <c r="GPX54" s="153"/>
      <c r="GPZ54" s="267"/>
      <c r="GQA54" s="267"/>
      <c r="GQB54" s="260"/>
      <c r="GQC54" s="297"/>
      <c r="GQD54" s="297"/>
      <c r="GQE54" s="297"/>
      <c r="GQF54" s="261"/>
      <c r="GQG54" s="261"/>
      <c r="GQH54" s="261"/>
      <c r="GQI54" s="262"/>
      <c r="GQJ54" s="262"/>
      <c r="GQK54" s="261"/>
      <c r="GQL54" s="263"/>
      <c r="GQM54" s="264"/>
      <c r="GQN54" s="295"/>
      <c r="GQO54" s="295"/>
      <c r="GQP54" s="295"/>
      <c r="GQQ54" s="295"/>
      <c r="GQR54" s="295"/>
      <c r="GQS54" s="295"/>
      <c r="GQT54" s="153"/>
      <c r="GQU54" s="153"/>
      <c r="GQV54" s="151"/>
      <c r="GQW54" s="153"/>
      <c r="GQY54" s="267"/>
      <c r="GQZ54" s="267"/>
      <c r="GRA54" s="260"/>
      <c r="GRB54" s="297"/>
      <c r="GRC54" s="297"/>
      <c r="GRD54" s="297"/>
      <c r="GRE54" s="261"/>
      <c r="GRF54" s="261"/>
      <c r="GRG54" s="261"/>
      <c r="GRH54" s="262"/>
      <c r="GRI54" s="262"/>
      <c r="GRJ54" s="261"/>
      <c r="GRK54" s="263"/>
      <c r="GRL54" s="264"/>
      <c r="GRM54" s="295"/>
      <c r="GRN54" s="295"/>
      <c r="GRO54" s="295"/>
      <c r="GRP54" s="295"/>
      <c r="GRQ54" s="295"/>
      <c r="GRR54" s="295"/>
      <c r="GRS54" s="153"/>
      <c r="GRT54" s="153"/>
      <c r="GRU54" s="151"/>
      <c r="GRV54" s="153"/>
      <c r="GRX54" s="267"/>
      <c r="GRY54" s="267"/>
      <c r="GRZ54" s="260"/>
      <c r="GSA54" s="297"/>
      <c r="GSB54" s="297"/>
      <c r="GSC54" s="297"/>
      <c r="GSD54" s="261"/>
      <c r="GSE54" s="261"/>
      <c r="GSF54" s="261"/>
      <c r="GSG54" s="262"/>
      <c r="GSH54" s="262"/>
      <c r="GSI54" s="261"/>
      <c r="GSJ54" s="263"/>
      <c r="GSK54" s="264"/>
      <c r="GSL54" s="295"/>
      <c r="GSM54" s="295"/>
      <c r="GSN54" s="295"/>
      <c r="GSO54" s="295"/>
      <c r="GSP54" s="295"/>
      <c r="GSQ54" s="295"/>
      <c r="GSR54" s="153"/>
      <c r="GSS54" s="153"/>
      <c r="GST54" s="151"/>
      <c r="GSU54" s="153"/>
      <c r="GSW54" s="267"/>
      <c r="GSX54" s="267"/>
      <c r="GSY54" s="260"/>
      <c r="GSZ54" s="297"/>
      <c r="GTA54" s="297"/>
      <c r="GTB54" s="297"/>
      <c r="GTC54" s="261"/>
      <c r="GTD54" s="261"/>
      <c r="GTE54" s="261"/>
      <c r="GTF54" s="262"/>
      <c r="GTG54" s="262"/>
      <c r="GTH54" s="261"/>
      <c r="GTI54" s="263"/>
      <c r="GTJ54" s="264"/>
      <c r="GTK54" s="295"/>
      <c r="GTL54" s="295"/>
      <c r="GTM54" s="295"/>
      <c r="GTN54" s="295"/>
      <c r="GTO54" s="295"/>
      <c r="GTP54" s="295"/>
      <c r="GTQ54" s="153"/>
      <c r="GTR54" s="153"/>
      <c r="GTS54" s="151"/>
      <c r="GTT54" s="153"/>
      <c r="GTV54" s="267"/>
      <c r="GTW54" s="267"/>
      <c r="GTX54" s="260"/>
      <c r="GTY54" s="297"/>
      <c r="GTZ54" s="297"/>
      <c r="GUA54" s="297"/>
      <c r="GUB54" s="261"/>
      <c r="GUC54" s="261"/>
      <c r="GUD54" s="261"/>
      <c r="GUE54" s="262"/>
      <c r="GUF54" s="262"/>
      <c r="GUG54" s="261"/>
      <c r="GUH54" s="263"/>
      <c r="GUI54" s="264"/>
      <c r="GUJ54" s="295"/>
      <c r="GUK54" s="295"/>
      <c r="GUL54" s="295"/>
      <c r="GUM54" s="295"/>
      <c r="GUN54" s="295"/>
      <c r="GUO54" s="295"/>
      <c r="GUP54" s="153"/>
      <c r="GUQ54" s="153"/>
      <c r="GUR54" s="151"/>
      <c r="GUS54" s="153"/>
      <c r="GUU54" s="267"/>
      <c r="GUV54" s="267"/>
      <c r="GUW54" s="260"/>
      <c r="GUX54" s="297"/>
      <c r="GUY54" s="297"/>
      <c r="GUZ54" s="297"/>
      <c r="GVA54" s="261"/>
      <c r="GVB54" s="261"/>
      <c r="GVC54" s="261"/>
      <c r="GVD54" s="262"/>
      <c r="GVE54" s="262"/>
      <c r="GVF54" s="261"/>
      <c r="GVG54" s="263"/>
      <c r="GVH54" s="264"/>
      <c r="GVI54" s="295"/>
      <c r="GVJ54" s="295"/>
      <c r="GVK54" s="295"/>
      <c r="GVL54" s="295"/>
      <c r="GVM54" s="295"/>
      <c r="GVN54" s="295"/>
      <c r="GVO54" s="153"/>
      <c r="GVP54" s="153"/>
      <c r="GVQ54" s="151"/>
      <c r="GVR54" s="153"/>
      <c r="GVT54" s="267"/>
      <c r="GVU54" s="267"/>
      <c r="GVV54" s="260"/>
      <c r="GVW54" s="297"/>
      <c r="GVX54" s="297"/>
      <c r="GVY54" s="297"/>
      <c r="GVZ54" s="261"/>
      <c r="GWA54" s="261"/>
      <c r="GWB54" s="261"/>
      <c r="GWC54" s="262"/>
      <c r="GWD54" s="262"/>
      <c r="GWE54" s="261"/>
      <c r="GWF54" s="263"/>
      <c r="GWG54" s="264"/>
      <c r="GWH54" s="295"/>
      <c r="GWI54" s="295"/>
      <c r="GWJ54" s="295"/>
      <c r="GWK54" s="295"/>
      <c r="GWL54" s="295"/>
      <c r="GWM54" s="295"/>
      <c r="GWN54" s="153"/>
      <c r="GWO54" s="153"/>
      <c r="GWP54" s="151"/>
      <c r="GWQ54" s="153"/>
      <c r="GWS54" s="267"/>
      <c r="GWT54" s="267"/>
      <c r="GWU54" s="260"/>
      <c r="GWV54" s="297"/>
      <c r="GWW54" s="297"/>
      <c r="GWX54" s="297"/>
      <c r="GWY54" s="261"/>
      <c r="GWZ54" s="261"/>
      <c r="GXA54" s="261"/>
      <c r="GXB54" s="262"/>
      <c r="GXC54" s="262"/>
      <c r="GXD54" s="261"/>
      <c r="GXE54" s="263"/>
      <c r="GXF54" s="264"/>
      <c r="GXG54" s="295"/>
      <c r="GXH54" s="295"/>
      <c r="GXI54" s="295"/>
      <c r="GXJ54" s="295"/>
      <c r="GXK54" s="295"/>
      <c r="GXL54" s="295"/>
      <c r="GXM54" s="153"/>
      <c r="GXN54" s="153"/>
      <c r="GXO54" s="151"/>
      <c r="GXP54" s="153"/>
      <c r="GXR54" s="267"/>
      <c r="GXS54" s="267"/>
      <c r="GXT54" s="260"/>
      <c r="GXU54" s="297"/>
      <c r="GXV54" s="297"/>
      <c r="GXW54" s="297"/>
      <c r="GXX54" s="261"/>
      <c r="GXY54" s="261"/>
      <c r="GXZ54" s="261"/>
      <c r="GYA54" s="262"/>
      <c r="GYB54" s="262"/>
      <c r="GYC54" s="261"/>
      <c r="GYD54" s="263"/>
      <c r="GYE54" s="264"/>
      <c r="GYF54" s="295"/>
      <c r="GYG54" s="295"/>
      <c r="GYH54" s="295"/>
      <c r="GYI54" s="295"/>
      <c r="GYJ54" s="295"/>
      <c r="GYK54" s="295"/>
      <c r="GYL54" s="153"/>
      <c r="GYM54" s="153"/>
      <c r="GYN54" s="151"/>
      <c r="GYO54" s="153"/>
      <c r="GYQ54" s="267"/>
      <c r="GYR54" s="267"/>
      <c r="GYS54" s="260"/>
      <c r="GYT54" s="297"/>
      <c r="GYU54" s="297"/>
      <c r="GYV54" s="297"/>
      <c r="GYW54" s="261"/>
      <c r="GYX54" s="261"/>
      <c r="GYY54" s="261"/>
      <c r="GYZ54" s="262"/>
      <c r="GZA54" s="262"/>
      <c r="GZB54" s="261"/>
      <c r="GZC54" s="263"/>
      <c r="GZD54" s="264"/>
      <c r="GZE54" s="295"/>
      <c r="GZF54" s="295"/>
      <c r="GZG54" s="295"/>
      <c r="GZH54" s="295"/>
      <c r="GZI54" s="295"/>
      <c r="GZJ54" s="295"/>
      <c r="GZK54" s="153"/>
      <c r="GZL54" s="153"/>
      <c r="GZM54" s="151"/>
      <c r="GZN54" s="153"/>
      <c r="GZP54" s="267"/>
      <c r="GZQ54" s="267"/>
      <c r="GZR54" s="260"/>
      <c r="GZS54" s="297"/>
      <c r="GZT54" s="297"/>
      <c r="GZU54" s="297"/>
      <c r="GZV54" s="261"/>
      <c r="GZW54" s="261"/>
      <c r="GZX54" s="261"/>
      <c r="GZY54" s="262"/>
      <c r="GZZ54" s="262"/>
      <c r="HAA54" s="261"/>
      <c r="HAB54" s="263"/>
      <c r="HAC54" s="264"/>
      <c r="HAD54" s="295"/>
      <c r="HAE54" s="295"/>
      <c r="HAF54" s="295"/>
      <c r="HAG54" s="295"/>
      <c r="HAH54" s="295"/>
      <c r="HAI54" s="295"/>
      <c r="HAJ54" s="153"/>
      <c r="HAK54" s="153"/>
      <c r="HAL54" s="151"/>
      <c r="HAM54" s="153"/>
      <c r="HAO54" s="267"/>
      <c r="HAP54" s="267"/>
      <c r="HAQ54" s="260"/>
      <c r="HAR54" s="297"/>
      <c r="HAS54" s="297"/>
      <c r="HAT54" s="297"/>
      <c r="HAU54" s="261"/>
      <c r="HAV54" s="261"/>
      <c r="HAW54" s="261"/>
      <c r="HAX54" s="262"/>
      <c r="HAY54" s="262"/>
      <c r="HAZ54" s="261"/>
      <c r="HBA54" s="263"/>
      <c r="HBB54" s="264"/>
      <c r="HBC54" s="295"/>
      <c r="HBD54" s="295"/>
      <c r="HBE54" s="295"/>
      <c r="HBF54" s="295"/>
      <c r="HBG54" s="295"/>
      <c r="HBH54" s="295"/>
      <c r="HBI54" s="153"/>
      <c r="HBJ54" s="153"/>
      <c r="HBK54" s="151"/>
      <c r="HBL54" s="153"/>
      <c r="HBN54" s="267"/>
      <c r="HBO54" s="267"/>
      <c r="HBP54" s="260"/>
      <c r="HBQ54" s="297"/>
      <c r="HBR54" s="297"/>
      <c r="HBS54" s="297"/>
      <c r="HBT54" s="261"/>
      <c r="HBU54" s="261"/>
      <c r="HBV54" s="261"/>
      <c r="HBW54" s="262"/>
      <c r="HBX54" s="262"/>
      <c r="HBY54" s="261"/>
      <c r="HBZ54" s="263"/>
      <c r="HCA54" s="264"/>
      <c r="HCB54" s="295"/>
      <c r="HCC54" s="295"/>
      <c r="HCD54" s="295"/>
      <c r="HCE54" s="295"/>
      <c r="HCF54" s="295"/>
      <c r="HCG54" s="295"/>
      <c r="HCH54" s="153"/>
      <c r="HCI54" s="153"/>
      <c r="HCJ54" s="151"/>
      <c r="HCK54" s="153"/>
      <c r="HCM54" s="267"/>
      <c r="HCN54" s="267"/>
      <c r="HCO54" s="260"/>
      <c r="HCP54" s="297"/>
      <c r="HCQ54" s="297"/>
      <c r="HCR54" s="297"/>
      <c r="HCS54" s="261"/>
      <c r="HCT54" s="261"/>
      <c r="HCU54" s="261"/>
      <c r="HCV54" s="262"/>
      <c r="HCW54" s="262"/>
      <c r="HCX54" s="261"/>
      <c r="HCY54" s="263"/>
      <c r="HCZ54" s="264"/>
      <c r="HDA54" s="295"/>
      <c r="HDB54" s="295"/>
      <c r="HDC54" s="295"/>
      <c r="HDD54" s="295"/>
      <c r="HDE54" s="295"/>
      <c r="HDF54" s="295"/>
      <c r="HDG54" s="153"/>
      <c r="HDH54" s="153"/>
      <c r="HDI54" s="151"/>
      <c r="HDJ54" s="153"/>
      <c r="HDL54" s="267"/>
      <c r="HDM54" s="267"/>
      <c r="HDN54" s="260"/>
      <c r="HDO54" s="297"/>
      <c r="HDP54" s="297"/>
      <c r="HDQ54" s="297"/>
      <c r="HDR54" s="261"/>
      <c r="HDS54" s="261"/>
      <c r="HDT54" s="261"/>
      <c r="HDU54" s="262"/>
      <c r="HDV54" s="262"/>
      <c r="HDW54" s="261"/>
      <c r="HDX54" s="263"/>
      <c r="HDY54" s="264"/>
      <c r="HDZ54" s="295"/>
      <c r="HEA54" s="295"/>
      <c r="HEB54" s="295"/>
      <c r="HEC54" s="295"/>
      <c r="HED54" s="295"/>
      <c r="HEE54" s="295"/>
      <c r="HEF54" s="153"/>
      <c r="HEG54" s="153"/>
      <c r="HEH54" s="151"/>
      <c r="HEI54" s="153"/>
      <c r="HEK54" s="267"/>
      <c r="HEL54" s="267"/>
      <c r="HEM54" s="260"/>
      <c r="HEN54" s="297"/>
      <c r="HEO54" s="297"/>
      <c r="HEP54" s="297"/>
      <c r="HEQ54" s="261"/>
      <c r="HER54" s="261"/>
      <c r="HES54" s="261"/>
      <c r="HET54" s="262"/>
      <c r="HEU54" s="262"/>
      <c r="HEV54" s="261"/>
      <c r="HEW54" s="263"/>
      <c r="HEX54" s="264"/>
      <c r="HEY54" s="295"/>
      <c r="HEZ54" s="295"/>
      <c r="HFA54" s="295"/>
      <c r="HFB54" s="295"/>
      <c r="HFC54" s="295"/>
      <c r="HFD54" s="295"/>
      <c r="HFE54" s="153"/>
      <c r="HFF54" s="153"/>
      <c r="HFG54" s="151"/>
      <c r="HFH54" s="153"/>
      <c r="HFJ54" s="267"/>
      <c r="HFK54" s="267"/>
      <c r="HFL54" s="260"/>
      <c r="HFM54" s="297"/>
      <c r="HFN54" s="297"/>
      <c r="HFO54" s="297"/>
      <c r="HFP54" s="261"/>
      <c r="HFQ54" s="261"/>
      <c r="HFR54" s="261"/>
      <c r="HFS54" s="262"/>
      <c r="HFT54" s="262"/>
      <c r="HFU54" s="261"/>
      <c r="HFV54" s="263"/>
      <c r="HFW54" s="264"/>
      <c r="HFX54" s="295"/>
      <c r="HFY54" s="295"/>
      <c r="HFZ54" s="295"/>
      <c r="HGA54" s="295"/>
      <c r="HGB54" s="295"/>
      <c r="HGC54" s="295"/>
      <c r="HGD54" s="153"/>
      <c r="HGE54" s="153"/>
      <c r="HGF54" s="151"/>
      <c r="HGG54" s="153"/>
      <c r="HGI54" s="267"/>
      <c r="HGJ54" s="267"/>
      <c r="HGK54" s="260"/>
      <c r="HGL54" s="297"/>
      <c r="HGM54" s="297"/>
      <c r="HGN54" s="297"/>
      <c r="HGO54" s="261"/>
      <c r="HGP54" s="261"/>
      <c r="HGQ54" s="261"/>
      <c r="HGR54" s="262"/>
      <c r="HGS54" s="262"/>
      <c r="HGT54" s="261"/>
      <c r="HGU54" s="263"/>
      <c r="HGV54" s="264"/>
      <c r="HGW54" s="295"/>
      <c r="HGX54" s="295"/>
      <c r="HGY54" s="295"/>
      <c r="HGZ54" s="295"/>
      <c r="HHA54" s="295"/>
      <c r="HHB54" s="295"/>
      <c r="HHC54" s="153"/>
      <c r="HHD54" s="153"/>
      <c r="HHE54" s="151"/>
      <c r="HHF54" s="153"/>
      <c r="HHH54" s="267"/>
      <c r="HHI54" s="267"/>
      <c r="HHJ54" s="260"/>
      <c r="HHK54" s="297"/>
      <c r="HHL54" s="297"/>
      <c r="HHM54" s="297"/>
      <c r="HHN54" s="261"/>
      <c r="HHO54" s="261"/>
      <c r="HHP54" s="261"/>
      <c r="HHQ54" s="262"/>
      <c r="HHR54" s="262"/>
      <c r="HHS54" s="261"/>
      <c r="HHT54" s="263"/>
      <c r="HHU54" s="264"/>
      <c r="HHV54" s="295"/>
      <c r="HHW54" s="295"/>
      <c r="HHX54" s="295"/>
      <c r="HHY54" s="295"/>
      <c r="HHZ54" s="295"/>
      <c r="HIA54" s="295"/>
      <c r="HIB54" s="153"/>
      <c r="HIC54" s="153"/>
      <c r="HID54" s="151"/>
      <c r="HIE54" s="153"/>
      <c r="HIG54" s="267"/>
      <c r="HIH54" s="267"/>
      <c r="HII54" s="260"/>
      <c r="HIJ54" s="297"/>
      <c r="HIK54" s="297"/>
      <c r="HIL54" s="297"/>
      <c r="HIM54" s="261"/>
      <c r="HIN54" s="261"/>
      <c r="HIO54" s="261"/>
      <c r="HIP54" s="262"/>
      <c r="HIQ54" s="262"/>
      <c r="HIR54" s="261"/>
      <c r="HIS54" s="263"/>
      <c r="HIT54" s="264"/>
      <c r="HIU54" s="295"/>
      <c r="HIV54" s="295"/>
      <c r="HIW54" s="295"/>
      <c r="HIX54" s="295"/>
      <c r="HIY54" s="295"/>
      <c r="HIZ54" s="295"/>
      <c r="HJA54" s="153"/>
      <c r="HJB54" s="153"/>
      <c r="HJC54" s="151"/>
      <c r="HJD54" s="153"/>
      <c r="HJF54" s="267"/>
      <c r="HJG54" s="267"/>
      <c r="HJH54" s="260"/>
      <c r="HJI54" s="297"/>
      <c r="HJJ54" s="297"/>
      <c r="HJK54" s="297"/>
      <c r="HJL54" s="261"/>
      <c r="HJM54" s="261"/>
      <c r="HJN54" s="261"/>
      <c r="HJO54" s="262"/>
      <c r="HJP54" s="262"/>
      <c r="HJQ54" s="261"/>
      <c r="HJR54" s="263"/>
      <c r="HJS54" s="264"/>
      <c r="HJT54" s="295"/>
      <c r="HJU54" s="295"/>
      <c r="HJV54" s="295"/>
      <c r="HJW54" s="295"/>
      <c r="HJX54" s="295"/>
      <c r="HJY54" s="295"/>
      <c r="HJZ54" s="153"/>
      <c r="HKA54" s="153"/>
      <c r="HKB54" s="151"/>
      <c r="HKC54" s="153"/>
      <c r="HKE54" s="267"/>
      <c r="HKF54" s="267"/>
      <c r="HKG54" s="260"/>
      <c r="HKH54" s="297"/>
      <c r="HKI54" s="297"/>
      <c r="HKJ54" s="297"/>
      <c r="HKK54" s="261"/>
      <c r="HKL54" s="261"/>
      <c r="HKM54" s="261"/>
      <c r="HKN54" s="262"/>
      <c r="HKO54" s="262"/>
      <c r="HKP54" s="261"/>
      <c r="HKQ54" s="263"/>
      <c r="HKR54" s="264"/>
      <c r="HKS54" s="295"/>
      <c r="HKT54" s="295"/>
      <c r="HKU54" s="295"/>
      <c r="HKV54" s="295"/>
      <c r="HKW54" s="295"/>
      <c r="HKX54" s="295"/>
      <c r="HKY54" s="153"/>
      <c r="HKZ54" s="153"/>
      <c r="HLA54" s="151"/>
      <c r="HLB54" s="153"/>
      <c r="HLD54" s="267"/>
      <c r="HLE54" s="267"/>
      <c r="HLF54" s="260"/>
      <c r="HLG54" s="297"/>
      <c r="HLH54" s="297"/>
      <c r="HLI54" s="297"/>
      <c r="HLJ54" s="261"/>
      <c r="HLK54" s="261"/>
      <c r="HLL54" s="261"/>
      <c r="HLM54" s="262"/>
      <c r="HLN54" s="262"/>
      <c r="HLO54" s="261"/>
      <c r="HLP54" s="263"/>
      <c r="HLQ54" s="264"/>
      <c r="HLR54" s="295"/>
      <c r="HLS54" s="295"/>
      <c r="HLT54" s="295"/>
      <c r="HLU54" s="295"/>
      <c r="HLV54" s="295"/>
      <c r="HLW54" s="295"/>
      <c r="HLX54" s="153"/>
      <c r="HLY54" s="153"/>
      <c r="HLZ54" s="151"/>
      <c r="HMA54" s="153"/>
      <c r="HMC54" s="267"/>
      <c r="HMD54" s="267"/>
      <c r="HME54" s="260"/>
      <c r="HMF54" s="297"/>
      <c r="HMG54" s="297"/>
      <c r="HMH54" s="297"/>
      <c r="HMI54" s="261"/>
      <c r="HMJ54" s="261"/>
      <c r="HMK54" s="261"/>
      <c r="HML54" s="262"/>
      <c r="HMM54" s="262"/>
      <c r="HMN54" s="261"/>
      <c r="HMO54" s="263"/>
      <c r="HMP54" s="264"/>
      <c r="HMQ54" s="295"/>
      <c r="HMR54" s="295"/>
      <c r="HMS54" s="295"/>
      <c r="HMT54" s="295"/>
      <c r="HMU54" s="295"/>
      <c r="HMV54" s="295"/>
      <c r="HMW54" s="153"/>
      <c r="HMX54" s="153"/>
      <c r="HMY54" s="151"/>
      <c r="HMZ54" s="153"/>
      <c r="HNB54" s="267"/>
      <c r="HNC54" s="267"/>
      <c r="HND54" s="260"/>
      <c r="HNE54" s="297"/>
      <c r="HNF54" s="297"/>
      <c r="HNG54" s="297"/>
      <c r="HNH54" s="261"/>
      <c r="HNI54" s="261"/>
      <c r="HNJ54" s="261"/>
      <c r="HNK54" s="262"/>
      <c r="HNL54" s="262"/>
      <c r="HNM54" s="261"/>
      <c r="HNN54" s="263"/>
      <c r="HNO54" s="264"/>
      <c r="HNP54" s="295"/>
      <c r="HNQ54" s="295"/>
      <c r="HNR54" s="295"/>
      <c r="HNS54" s="295"/>
      <c r="HNT54" s="295"/>
      <c r="HNU54" s="295"/>
      <c r="HNV54" s="153"/>
      <c r="HNW54" s="153"/>
      <c r="HNX54" s="151"/>
      <c r="HNY54" s="153"/>
      <c r="HOA54" s="267"/>
      <c r="HOB54" s="267"/>
      <c r="HOC54" s="260"/>
      <c r="HOD54" s="297"/>
      <c r="HOE54" s="297"/>
      <c r="HOF54" s="297"/>
      <c r="HOG54" s="261"/>
      <c r="HOH54" s="261"/>
      <c r="HOI54" s="261"/>
      <c r="HOJ54" s="262"/>
      <c r="HOK54" s="262"/>
      <c r="HOL54" s="261"/>
      <c r="HOM54" s="263"/>
      <c r="HON54" s="264"/>
      <c r="HOO54" s="295"/>
      <c r="HOP54" s="295"/>
      <c r="HOQ54" s="295"/>
      <c r="HOR54" s="295"/>
      <c r="HOS54" s="295"/>
      <c r="HOT54" s="295"/>
      <c r="HOU54" s="153"/>
      <c r="HOV54" s="153"/>
      <c r="HOW54" s="151"/>
      <c r="HOX54" s="153"/>
      <c r="HOZ54" s="267"/>
      <c r="HPA54" s="267"/>
      <c r="HPB54" s="260"/>
      <c r="HPC54" s="297"/>
      <c r="HPD54" s="297"/>
      <c r="HPE54" s="297"/>
      <c r="HPF54" s="261"/>
      <c r="HPG54" s="261"/>
      <c r="HPH54" s="261"/>
      <c r="HPI54" s="262"/>
      <c r="HPJ54" s="262"/>
      <c r="HPK54" s="261"/>
      <c r="HPL54" s="263"/>
      <c r="HPM54" s="264"/>
      <c r="HPN54" s="295"/>
      <c r="HPO54" s="295"/>
      <c r="HPP54" s="295"/>
      <c r="HPQ54" s="295"/>
      <c r="HPR54" s="295"/>
      <c r="HPS54" s="295"/>
      <c r="HPT54" s="153"/>
      <c r="HPU54" s="153"/>
      <c r="HPV54" s="151"/>
      <c r="HPW54" s="153"/>
      <c r="HPY54" s="267"/>
      <c r="HPZ54" s="267"/>
      <c r="HQA54" s="260"/>
      <c r="HQB54" s="297"/>
      <c r="HQC54" s="297"/>
      <c r="HQD54" s="297"/>
      <c r="HQE54" s="261"/>
      <c r="HQF54" s="261"/>
      <c r="HQG54" s="261"/>
      <c r="HQH54" s="262"/>
      <c r="HQI54" s="262"/>
      <c r="HQJ54" s="261"/>
      <c r="HQK54" s="263"/>
      <c r="HQL54" s="264"/>
      <c r="HQM54" s="295"/>
      <c r="HQN54" s="295"/>
      <c r="HQO54" s="295"/>
      <c r="HQP54" s="295"/>
      <c r="HQQ54" s="295"/>
      <c r="HQR54" s="295"/>
      <c r="HQS54" s="153"/>
      <c r="HQT54" s="153"/>
      <c r="HQU54" s="151"/>
      <c r="HQV54" s="153"/>
      <c r="HQX54" s="267"/>
      <c r="HQY54" s="267"/>
      <c r="HQZ54" s="260"/>
      <c r="HRA54" s="297"/>
      <c r="HRB54" s="297"/>
      <c r="HRC54" s="297"/>
      <c r="HRD54" s="261"/>
      <c r="HRE54" s="261"/>
      <c r="HRF54" s="261"/>
      <c r="HRG54" s="262"/>
      <c r="HRH54" s="262"/>
      <c r="HRI54" s="261"/>
      <c r="HRJ54" s="263"/>
      <c r="HRK54" s="264"/>
      <c r="HRL54" s="295"/>
      <c r="HRM54" s="295"/>
      <c r="HRN54" s="295"/>
      <c r="HRO54" s="295"/>
      <c r="HRP54" s="295"/>
      <c r="HRQ54" s="295"/>
      <c r="HRR54" s="153"/>
      <c r="HRS54" s="153"/>
      <c r="HRT54" s="151"/>
      <c r="HRU54" s="153"/>
      <c r="HRW54" s="267"/>
      <c r="HRX54" s="267"/>
      <c r="HRY54" s="260"/>
      <c r="HRZ54" s="297"/>
      <c r="HSA54" s="297"/>
      <c r="HSB54" s="297"/>
      <c r="HSC54" s="261"/>
      <c r="HSD54" s="261"/>
      <c r="HSE54" s="261"/>
      <c r="HSF54" s="262"/>
      <c r="HSG54" s="262"/>
      <c r="HSH54" s="261"/>
      <c r="HSI54" s="263"/>
      <c r="HSJ54" s="264"/>
      <c r="HSK54" s="295"/>
      <c r="HSL54" s="295"/>
      <c r="HSM54" s="295"/>
      <c r="HSN54" s="295"/>
      <c r="HSO54" s="295"/>
      <c r="HSP54" s="295"/>
      <c r="HSQ54" s="153"/>
      <c r="HSR54" s="153"/>
      <c r="HSS54" s="151"/>
      <c r="HST54" s="153"/>
      <c r="HSV54" s="267"/>
      <c r="HSW54" s="267"/>
      <c r="HSX54" s="260"/>
      <c r="HSY54" s="297"/>
      <c r="HSZ54" s="297"/>
      <c r="HTA54" s="297"/>
      <c r="HTB54" s="261"/>
      <c r="HTC54" s="261"/>
      <c r="HTD54" s="261"/>
      <c r="HTE54" s="262"/>
      <c r="HTF54" s="262"/>
      <c r="HTG54" s="261"/>
      <c r="HTH54" s="263"/>
      <c r="HTI54" s="264"/>
      <c r="HTJ54" s="295"/>
      <c r="HTK54" s="295"/>
      <c r="HTL54" s="295"/>
      <c r="HTM54" s="295"/>
      <c r="HTN54" s="295"/>
      <c r="HTO54" s="295"/>
      <c r="HTP54" s="153"/>
      <c r="HTQ54" s="153"/>
      <c r="HTR54" s="151"/>
      <c r="HTS54" s="153"/>
      <c r="HTU54" s="267"/>
      <c r="HTV54" s="267"/>
      <c r="HTW54" s="260"/>
      <c r="HTX54" s="297"/>
      <c r="HTY54" s="297"/>
      <c r="HTZ54" s="297"/>
      <c r="HUA54" s="261"/>
      <c r="HUB54" s="261"/>
      <c r="HUC54" s="261"/>
      <c r="HUD54" s="262"/>
      <c r="HUE54" s="262"/>
      <c r="HUF54" s="261"/>
      <c r="HUG54" s="263"/>
      <c r="HUH54" s="264"/>
      <c r="HUI54" s="295"/>
      <c r="HUJ54" s="295"/>
      <c r="HUK54" s="295"/>
      <c r="HUL54" s="295"/>
      <c r="HUM54" s="295"/>
      <c r="HUN54" s="295"/>
      <c r="HUO54" s="153"/>
      <c r="HUP54" s="153"/>
      <c r="HUQ54" s="151"/>
      <c r="HUR54" s="153"/>
      <c r="HUT54" s="267"/>
      <c r="HUU54" s="267"/>
      <c r="HUV54" s="260"/>
      <c r="HUW54" s="297"/>
      <c r="HUX54" s="297"/>
      <c r="HUY54" s="297"/>
      <c r="HUZ54" s="261"/>
      <c r="HVA54" s="261"/>
      <c r="HVB54" s="261"/>
      <c r="HVC54" s="262"/>
      <c r="HVD54" s="262"/>
      <c r="HVE54" s="261"/>
      <c r="HVF54" s="263"/>
      <c r="HVG54" s="264"/>
      <c r="HVH54" s="295"/>
      <c r="HVI54" s="295"/>
      <c r="HVJ54" s="295"/>
      <c r="HVK54" s="295"/>
      <c r="HVL54" s="295"/>
      <c r="HVM54" s="295"/>
      <c r="HVN54" s="153"/>
      <c r="HVO54" s="153"/>
      <c r="HVP54" s="151"/>
      <c r="HVQ54" s="153"/>
      <c r="HVS54" s="267"/>
      <c r="HVT54" s="267"/>
      <c r="HVU54" s="260"/>
      <c r="HVV54" s="297"/>
      <c r="HVW54" s="297"/>
      <c r="HVX54" s="297"/>
      <c r="HVY54" s="261"/>
      <c r="HVZ54" s="261"/>
      <c r="HWA54" s="261"/>
      <c r="HWB54" s="262"/>
      <c r="HWC54" s="262"/>
      <c r="HWD54" s="261"/>
      <c r="HWE54" s="263"/>
      <c r="HWF54" s="264"/>
      <c r="HWG54" s="295"/>
      <c r="HWH54" s="295"/>
      <c r="HWI54" s="295"/>
      <c r="HWJ54" s="295"/>
      <c r="HWK54" s="295"/>
      <c r="HWL54" s="295"/>
      <c r="HWM54" s="153"/>
      <c r="HWN54" s="153"/>
      <c r="HWO54" s="151"/>
      <c r="HWP54" s="153"/>
      <c r="HWR54" s="267"/>
      <c r="HWS54" s="267"/>
      <c r="HWT54" s="260"/>
      <c r="HWU54" s="297"/>
      <c r="HWV54" s="297"/>
      <c r="HWW54" s="297"/>
      <c r="HWX54" s="261"/>
      <c r="HWY54" s="261"/>
      <c r="HWZ54" s="261"/>
      <c r="HXA54" s="262"/>
      <c r="HXB54" s="262"/>
      <c r="HXC54" s="261"/>
      <c r="HXD54" s="263"/>
      <c r="HXE54" s="264"/>
      <c r="HXF54" s="295"/>
      <c r="HXG54" s="295"/>
      <c r="HXH54" s="295"/>
      <c r="HXI54" s="295"/>
      <c r="HXJ54" s="295"/>
      <c r="HXK54" s="295"/>
      <c r="HXL54" s="153"/>
      <c r="HXM54" s="153"/>
      <c r="HXN54" s="151"/>
      <c r="HXO54" s="153"/>
      <c r="HXQ54" s="267"/>
      <c r="HXR54" s="267"/>
      <c r="HXS54" s="260"/>
      <c r="HXT54" s="297"/>
      <c r="HXU54" s="297"/>
      <c r="HXV54" s="297"/>
      <c r="HXW54" s="261"/>
      <c r="HXX54" s="261"/>
      <c r="HXY54" s="261"/>
      <c r="HXZ54" s="262"/>
      <c r="HYA54" s="262"/>
      <c r="HYB54" s="261"/>
      <c r="HYC54" s="263"/>
      <c r="HYD54" s="264"/>
      <c r="HYE54" s="295"/>
      <c r="HYF54" s="295"/>
      <c r="HYG54" s="295"/>
      <c r="HYH54" s="295"/>
      <c r="HYI54" s="295"/>
      <c r="HYJ54" s="295"/>
      <c r="HYK54" s="153"/>
      <c r="HYL54" s="153"/>
      <c r="HYM54" s="151"/>
      <c r="HYN54" s="153"/>
      <c r="HYP54" s="267"/>
      <c r="HYQ54" s="267"/>
      <c r="HYR54" s="260"/>
      <c r="HYS54" s="297"/>
      <c r="HYT54" s="297"/>
      <c r="HYU54" s="297"/>
      <c r="HYV54" s="261"/>
      <c r="HYW54" s="261"/>
      <c r="HYX54" s="261"/>
      <c r="HYY54" s="262"/>
      <c r="HYZ54" s="262"/>
      <c r="HZA54" s="261"/>
      <c r="HZB54" s="263"/>
      <c r="HZC54" s="264"/>
      <c r="HZD54" s="295"/>
      <c r="HZE54" s="295"/>
      <c r="HZF54" s="295"/>
      <c r="HZG54" s="295"/>
      <c r="HZH54" s="295"/>
      <c r="HZI54" s="295"/>
      <c r="HZJ54" s="153"/>
      <c r="HZK54" s="153"/>
      <c r="HZL54" s="151"/>
      <c r="HZM54" s="153"/>
      <c r="HZO54" s="267"/>
      <c r="HZP54" s="267"/>
      <c r="HZQ54" s="260"/>
      <c r="HZR54" s="297"/>
      <c r="HZS54" s="297"/>
      <c r="HZT54" s="297"/>
      <c r="HZU54" s="261"/>
      <c r="HZV54" s="261"/>
      <c r="HZW54" s="261"/>
      <c r="HZX54" s="262"/>
      <c r="HZY54" s="262"/>
      <c r="HZZ54" s="261"/>
      <c r="IAA54" s="263"/>
      <c r="IAB54" s="264"/>
      <c r="IAC54" s="295"/>
      <c r="IAD54" s="295"/>
      <c r="IAE54" s="295"/>
      <c r="IAF54" s="295"/>
      <c r="IAG54" s="295"/>
      <c r="IAH54" s="295"/>
      <c r="IAI54" s="153"/>
      <c r="IAJ54" s="153"/>
      <c r="IAK54" s="151"/>
      <c r="IAL54" s="153"/>
      <c r="IAN54" s="267"/>
      <c r="IAO54" s="267"/>
      <c r="IAP54" s="260"/>
      <c r="IAQ54" s="297"/>
      <c r="IAR54" s="297"/>
      <c r="IAS54" s="297"/>
      <c r="IAT54" s="261"/>
      <c r="IAU54" s="261"/>
      <c r="IAV54" s="261"/>
      <c r="IAW54" s="262"/>
      <c r="IAX54" s="262"/>
      <c r="IAY54" s="261"/>
      <c r="IAZ54" s="263"/>
      <c r="IBA54" s="264"/>
      <c r="IBB54" s="295"/>
      <c r="IBC54" s="295"/>
      <c r="IBD54" s="295"/>
      <c r="IBE54" s="295"/>
      <c r="IBF54" s="295"/>
      <c r="IBG54" s="295"/>
      <c r="IBH54" s="153"/>
      <c r="IBI54" s="153"/>
      <c r="IBJ54" s="151"/>
      <c r="IBK54" s="153"/>
      <c r="IBM54" s="267"/>
      <c r="IBN54" s="267"/>
      <c r="IBO54" s="260"/>
      <c r="IBP54" s="297"/>
      <c r="IBQ54" s="297"/>
      <c r="IBR54" s="297"/>
      <c r="IBS54" s="261"/>
      <c r="IBT54" s="261"/>
      <c r="IBU54" s="261"/>
      <c r="IBV54" s="262"/>
      <c r="IBW54" s="262"/>
      <c r="IBX54" s="261"/>
      <c r="IBY54" s="263"/>
      <c r="IBZ54" s="264"/>
      <c r="ICA54" s="295"/>
      <c r="ICB54" s="295"/>
      <c r="ICC54" s="295"/>
      <c r="ICD54" s="295"/>
      <c r="ICE54" s="295"/>
      <c r="ICF54" s="295"/>
      <c r="ICG54" s="153"/>
      <c r="ICH54" s="153"/>
      <c r="ICI54" s="151"/>
      <c r="ICJ54" s="153"/>
      <c r="ICL54" s="267"/>
      <c r="ICM54" s="267"/>
      <c r="ICN54" s="260"/>
      <c r="ICO54" s="297"/>
      <c r="ICP54" s="297"/>
      <c r="ICQ54" s="297"/>
      <c r="ICR54" s="261"/>
      <c r="ICS54" s="261"/>
      <c r="ICT54" s="261"/>
      <c r="ICU54" s="262"/>
      <c r="ICV54" s="262"/>
      <c r="ICW54" s="261"/>
      <c r="ICX54" s="263"/>
      <c r="ICY54" s="264"/>
      <c r="ICZ54" s="295"/>
      <c r="IDA54" s="295"/>
      <c r="IDB54" s="295"/>
      <c r="IDC54" s="295"/>
      <c r="IDD54" s="295"/>
      <c r="IDE54" s="295"/>
      <c r="IDF54" s="153"/>
      <c r="IDG54" s="153"/>
      <c r="IDH54" s="151"/>
      <c r="IDI54" s="153"/>
      <c r="IDK54" s="267"/>
      <c r="IDL54" s="267"/>
      <c r="IDM54" s="260"/>
      <c r="IDN54" s="297"/>
      <c r="IDO54" s="297"/>
      <c r="IDP54" s="297"/>
      <c r="IDQ54" s="261"/>
      <c r="IDR54" s="261"/>
      <c r="IDS54" s="261"/>
      <c r="IDT54" s="262"/>
      <c r="IDU54" s="262"/>
      <c r="IDV54" s="261"/>
      <c r="IDW54" s="263"/>
      <c r="IDX54" s="264"/>
      <c r="IDY54" s="295"/>
      <c r="IDZ54" s="295"/>
      <c r="IEA54" s="295"/>
      <c r="IEB54" s="295"/>
      <c r="IEC54" s="295"/>
      <c r="IED54" s="295"/>
      <c r="IEE54" s="153"/>
      <c r="IEF54" s="153"/>
      <c r="IEG54" s="151"/>
      <c r="IEH54" s="153"/>
      <c r="IEJ54" s="267"/>
      <c r="IEK54" s="267"/>
      <c r="IEL54" s="260"/>
      <c r="IEM54" s="297"/>
      <c r="IEN54" s="297"/>
      <c r="IEO54" s="297"/>
      <c r="IEP54" s="261"/>
      <c r="IEQ54" s="261"/>
      <c r="IER54" s="261"/>
      <c r="IES54" s="262"/>
      <c r="IET54" s="262"/>
      <c r="IEU54" s="261"/>
      <c r="IEV54" s="263"/>
      <c r="IEW54" s="264"/>
      <c r="IEX54" s="295"/>
      <c r="IEY54" s="295"/>
      <c r="IEZ54" s="295"/>
      <c r="IFA54" s="295"/>
      <c r="IFB54" s="295"/>
      <c r="IFC54" s="295"/>
      <c r="IFD54" s="153"/>
      <c r="IFE54" s="153"/>
      <c r="IFF54" s="151"/>
      <c r="IFG54" s="153"/>
      <c r="IFI54" s="267"/>
      <c r="IFJ54" s="267"/>
      <c r="IFK54" s="260"/>
      <c r="IFL54" s="297"/>
      <c r="IFM54" s="297"/>
      <c r="IFN54" s="297"/>
      <c r="IFO54" s="261"/>
      <c r="IFP54" s="261"/>
      <c r="IFQ54" s="261"/>
      <c r="IFR54" s="262"/>
      <c r="IFS54" s="262"/>
      <c r="IFT54" s="261"/>
      <c r="IFU54" s="263"/>
      <c r="IFV54" s="264"/>
      <c r="IFW54" s="295"/>
      <c r="IFX54" s="295"/>
      <c r="IFY54" s="295"/>
      <c r="IFZ54" s="295"/>
      <c r="IGA54" s="295"/>
      <c r="IGB54" s="295"/>
      <c r="IGC54" s="153"/>
      <c r="IGD54" s="153"/>
      <c r="IGE54" s="151"/>
      <c r="IGF54" s="153"/>
      <c r="IGH54" s="267"/>
      <c r="IGI54" s="267"/>
      <c r="IGJ54" s="260"/>
      <c r="IGK54" s="297"/>
      <c r="IGL54" s="297"/>
      <c r="IGM54" s="297"/>
      <c r="IGN54" s="261"/>
      <c r="IGO54" s="261"/>
      <c r="IGP54" s="261"/>
      <c r="IGQ54" s="262"/>
      <c r="IGR54" s="262"/>
      <c r="IGS54" s="261"/>
      <c r="IGT54" s="263"/>
      <c r="IGU54" s="264"/>
      <c r="IGV54" s="295"/>
      <c r="IGW54" s="295"/>
      <c r="IGX54" s="295"/>
      <c r="IGY54" s="295"/>
      <c r="IGZ54" s="295"/>
      <c r="IHA54" s="295"/>
      <c r="IHB54" s="153"/>
      <c r="IHC54" s="153"/>
      <c r="IHD54" s="151"/>
      <c r="IHE54" s="153"/>
      <c r="IHG54" s="267"/>
      <c r="IHH54" s="267"/>
      <c r="IHI54" s="260"/>
      <c r="IHJ54" s="297"/>
      <c r="IHK54" s="297"/>
      <c r="IHL54" s="297"/>
      <c r="IHM54" s="261"/>
      <c r="IHN54" s="261"/>
      <c r="IHO54" s="261"/>
      <c r="IHP54" s="262"/>
      <c r="IHQ54" s="262"/>
      <c r="IHR54" s="261"/>
      <c r="IHS54" s="263"/>
      <c r="IHT54" s="264"/>
      <c r="IHU54" s="295"/>
      <c r="IHV54" s="295"/>
      <c r="IHW54" s="295"/>
      <c r="IHX54" s="295"/>
      <c r="IHY54" s="295"/>
      <c r="IHZ54" s="295"/>
      <c r="IIA54" s="153"/>
      <c r="IIB54" s="153"/>
      <c r="IIC54" s="151"/>
      <c r="IID54" s="153"/>
      <c r="IIF54" s="267"/>
      <c r="IIG54" s="267"/>
      <c r="IIH54" s="260"/>
      <c r="III54" s="297"/>
      <c r="IIJ54" s="297"/>
      <c r="IIK54" s="297"/>
      <c r="IIL54" s="261"/>
      <c r="IIM54" s="261"/>
      <c r="IIN54" s="261"/>
      <c r="IIO54" s="262"/>
      <c r="IIP54" s="262"/>
      <c r="IIQ54" s="261"/>
      <c r="IIR54" s="263"/>
      <c r="IIS54" s="264"/>
      <c r="IIT54" s="295"/>
      <c r="IIU54" s="295"/>
      <c r="IIV54" s="295"/>
      <c r="IIW54" s="295"/>
      <c r="IIX54" s="295"/>
      <c r="IIY54" s="295"/>
      <c r="IIZ54" s="153"/>
      <c r="IJA54" s="153"/>
      <c r="IJB54" s="151"/>
      <c r="IJC54" s="153"/>
      <c r="IJE54" s="267"/>
      <c r="IJF54" s="267"/>
      <c r="IJG54" s="260"/>
      <c r="IJH54" s="297"/>
      <c r="IJI54" s="297"/>
      <c r="IJJ54" s="297"/>
      <c r="IJK54" s="261"/>
      <c r="IJL54" s="261"/>
      <c r="IJM54" s="261"/>
      <c r="IJN54" s="262"/>
      <c r="IJO54" s="262"/>
      <c r="IJP54" s="261"/>
      <c r="IJQ54" s="263"/>
      <c r="IJR54" s="264"/>
      <c r="IJS54" s="295"/>
      <c r="IJT54" s="295"/>
      <c r="IJU54" s="295"/>
      <c r="IJV54" s="295"/>
      <c r="IJW54" s="295"/>
      <c r="IJX54" s="295"/>
      <c r="IJY54" s="153"/>
      <c r="IJZ54" s="153"/>
      <c r="IKA54" s="151"/>
      <c r="IKB54" s="153"/>
      <c r="IKD54" s="267"/>
      <c r="IKE54" s="267"/>
      <c r="IKF54" s="260"/>
      <c r="IKG54" s="297"/>
      <c r="IKH54" s="297"/>
      <c r="IKI54" s="297"/>
      <c r="IKJ54" s="261"/>
      <c r="IKK54" s="261"/>
      <c r="IKL54" s="261"/>
      <c r="IKM54" s="262"/>
      <c r="IKN54" s="262"/>
      <c r="IKO54" s="261"/>
      <c r="IKP54" s="263"/>
      <c r="IKQ54" s="264"/>
      <c r="IKR54" s="295"/>
      <c r="IKS54" s="295"/>
      <c r="IKT54" s="295"/>
      <c r="IKU54" s="295"/>
      <c r="IKV54" s="295"/>
      <c r="IKW54" s="295"/>
      <c r="IKX54" s="153"/>
      <c r="IKY54" s="153"/>
      <c r="IKZ54" s="151"/>
      <c r="ILA54" s="153"/>
      <c r="ILC54" s="267"/>
      <c r="ILD54" s="267"/>
      <c r="ILE54" s="260"/>
      <c r="ILF54" s="297"/>
      <c r="ILG54" s="297"/>
      <c r="ILH54" s="297"/>
      <c r="ILI54" s="261"/>
      <c r="ILJ54" s="261"/>
      <c r="ILK54" s="261"/>
      <c r="ILL54" s="262"/>
      <c r="ILM54" s="262"/>
      <c r="ILN54" s="261"/>
      <c r="ILO54" s="263"/>
      <c r="ILP54" s="264"/>
      <c r="ILQ54" s="295"/>
      <c r="ILR54" s="295"/>
      <c r="ILS54" s="295"/>
      <c r="ILT54" s="295"/>
      <c r="ILU54" s="295"/>
      <c r="ILV54" s="295"/>
      <c r="ILW54" s="153"/>
      <c r="ILX54" s="153"/>
      <c r="ILY54" s="151"/>
      <c r="ILZ54" s="153"/>
      <c r="IMB54" s="267"/>
      <c r="IMC54" s="267"/>
      <c r="IMD54" s="260"/>
      <c r="IME54" s="297"/>
      <c r="IMF54" s="297"/>
      <c r="IMG54" s="297"/>
      <c r="IMH54" s="261"/>
      <c r="IMI54" s="261"/>
      <c r="IMJ54" s="261"/>
      <c r="IMK54" s="262"/>
      <c r="IML54" s="262"/>
      <c r="IMM54" s="261"/>
      <c r="IMN54" s="263"/>
      <c r="IMO54" s="264"/>
      <c r="IMP54" s="295"/>
      <c r="IMQ54" s="295"/>
      <c r="IMR54" s="295"/>
      <c r="IMS54" s="295"/>
      <c r="IMT54" s="295"/>
      <c r="IMU54" s="295"/>
      <c r="IMV54" s="153"/>
      <c r="IMW54" s="153"/>
      <c r="IMX54" s="151"/>
      <c r="IMY54" s="153"/>
      <c r="INA54" s="267"/>
      <c r="INB54" s="267"/>
      <c r="INC54" s="260"/>
      <c r="IND54" s="297"/>
      <c r="INE54" s="297"/>
      <c r="INF54" s="297"/>
      <c r="ING54" s="261"/>
      <c r="INH54" s="261"/>
      <c r="INI54" s="261"/>
      <c r="INJ54" s="262"/>
      <c r="INK54" s="262"/>
      <c r="INL54" s="261"/>
      <c r="INM54" s="263"/>
      <c r="INN54" s="264"/>
      <c r="INO54" s="295"/>
      <c r="INP54" s="295"/>
      <c r="INQ54" s="295"/>
      <c r="INR54" s="295"/>
      <c r="INS54" s="295"/>
      <c r="INT54" s="295"/>
      <c r="INU54" s="153"/>
      <c r="INV54" s="153"/>
      <c r="INW54" s="151"/>
      <c r="INX54" s="153"/>
      <c r="INZ54" s="267"/>
      <c r="IOA54" s="267"/>
      <c r="IOB54" s="260"/>
      <c r="IOC54" s="297"/>
      <c r="IOD54" s="297"/>
      <c r="IOE54" s="297"/>
      <c r="IOF54" s="261"/>
      <c r="IOG54" s="261"/>
      <c r="IOH54" s="261"/>
      <c r="IOI54" s="262"/>
      <c r="IOJ54" s="262"/>
      <c r="IOK54" s="261"/>
      <c r="IOL54" s="263"/>
      <c r="IOM54" s="264"/>
      <c r="ION54" s="295"/>
      <c r="IOO54" s="295"/>
      <c r="IOP54" s="295"/>
      <c r="IOQ54" s="295"/>
      <c r="IOR54" s="295"/>
      <c r="IOS54" s="295"/>
      <c r="IOT54" s="153"/>
      <c r="IOU54" s="153"/>
      <c r="IOV54" s="151"/>
      <c r="IOW54" s="153"/>
      <c r="IOY54" s="267"/>
      <c r="IOZ54" s="267"/>
      <c r="IPA54" s="260"/>
      <c r="IPB54" s="297"/>
      <c r="IPC54" s="297"/>
      <c r="IPD54" s="297"/>
      <c r="IPE54" s="261"/>
      <c r="IPF54" s="261"/>
      <c r="IPG54" s="261"/>
      <c r="IPH54" s="262"/>
      <c r="IPI54" s="262"/>
      <c r="IPJ54" s="261"/>
      <c r="IPK54" s="263"/>
      <c r="IPL54" s="264"/>
      <c r="IPM54" s="295"/>
      <c r="IPN54" s="295"/>
      <c r="IPO54" s="295"/>
      <c r="IPP54" s="295"/>
      <c r="IPQ54" s="295"/>
      <c r="IPR54" s="295"/>
      <c r="IPS54" s="153"/>
      <c r="IPT54" s="153"/>
      <c r="IPU54" s="151"/>
      <c r="IPV54" s="153"/>
      <c r="IPX54" s="267"/>
      <c r="IPY54" s="267"/>
      <c r="IPZ54" s="260"/>
      <c r="IQA54" s="297"/>
      <c r="IQB54" s="297"/>
      <c r="IQC54" s="297"/>
      <c r="IQD54" s="261"/>
      <c r="IQE54" s="261"/>
      <c r="IQF54" s="261"/>
      <c r="IQG54" s="262"/>
      <c r="IQH54" s="262"/>
      <c r="IQI54" s="261"/>
      <c r="IQJ54" s="263"/>
      <c r="IQK54" s="264"/>
      <c r="IQL54" s="295"/>
      <c r="IQM54" s="295"/>
      <c r="IQN54" s="295"/>
      <c r="IQO54" s="295"/>
      <c r="IQP54" s="295"/>
      <c r="IQQ54" s="295"/>
      <c r="IQR54" s="153"/>
      <c r="IQS54" s="153"/>
      <c r="IQT54" s="151"/>
      <c r="IQU54" s="153"/>
      <c r="IQW54" s="267"/>
      <c r="IQX54" s="267"/>
      <c r="IQY54" s="260"/>
      <c r="IQZ54" s="297"/>
      <c r="IRA54" s="297"/>
      <c r="IRB54" s="297"/>
      <c r="IRC54" s="261"/>
      <c r="IRD54" s="261"/>
      <c r="IRE54" s="261"/>
      <c r="IRF54" s="262"/>
      <c r="IRG54" s="262"/>
      <c r="IRH54" s="261"/>
      <c r="IRI54" s="263"/>
      <c r="IRJ54" s="264"/>
      <c r="IRK54" s="295"/>
      <c r="IRL54" s="295"/>
      <c r="IRM54" s="295"/>
      <c r="IRN54" s="295"/>
      <c r="IRO54" s="295"/>
      <c r="IRP54" s="295"/>
      <c r="IRQ54" s="153"/>
      <c r="IRR54" s="153"/>
      <c r="IRS54" s="151"/>
      <c r="IRT54" s="153"/>
      <c r="IRV54" s="267"/>
      <c r="IRW54" s="267"/>
      <c r="IRX54" s="260"/>
      <c r="IRY54" s="297"/>
      <c r="IRZ54" s="297"/>
      <c r="ISA54" s="297"/>
      <c r="ISB54" s="261"/>
      <c r="ISC54" s="261"/>
      <c r="ISD54" s="261"/>
      <c r="ISE54" s="262"/>
      <c r="ISF54" s="262"/>
      <c r="ISG54" s="261"/>
      <c r="ISH54" s="263"/>
      <c r="ISI54" s="264"/>
      <c r="ISJ54" s="295"/>
      <c r="ISK54" s="295"/>
      <c r="ISL54" s="295"/>
      <c r="ISM54" s="295"/>
      <c r="ISN54" s="295"/>
      <c r="ISO54" s="295"/>
      <c r="ISP54" s="153"/>
      <c r="ISQ54" s="153"/>
      <c r="ISR54" s="151"/>
      <c r="ISS54" s="153"/>
      <c r="ISU54" s="267"/>
      <c r="ISV54" s="267"/>
      <c r="ISW54" s="260"/>
      <c r="ISX54" s="297"/>
      <c r="ISY54" s="297"/>
      <c r="ISZ54" s="297"/>
      <c r="ITA54" s="261"/>
      <c r="ITB54" s="261"/>
      <c r="ITC54" s="261"/>
      <c r="ITD54" s="262"/>
      <c r="ITE54" s="262"/>
      <c r="ITF54" s="261"/>
      <c r="ITG54" s="263"/>
      <c r="ITH54" s="264"/>
      <c r="ITI54" s="295"/>
      <c r="ITJ54" s="295"/>
      <c r="ITK54" s="295"/>
      <c r="ITL54" s="295"/>
      <c r="ITM54" s="295"/>
      <c r="ITN54" s="295"/>
      <c r="ITO54" s="153"/>
      <c r="ITP54" s="153"/>
      <c r="ITQ54" s="151"/>
      <c r="ITR54" s="153"/>
      <c r="ITT54" s="267"/>
      <c r="ITU54" s="267"/>
      <c r="ITV54" s="260"/>
      <c r="ITW54" s="297"/>
      <c r="ITX54" s="297"/>
      <c r="ITY54" s="297"/>
      <c r="ITZ54" s="261"/>
      <c r="IUA54" s="261"/>
      <c r="IUB54" s="261"/>
      <c r="IUC54" s="262"/>
      <c r="IUD54" s="262"/>
      <c r="IUE54" s="261"/>
      <c r="IUF54" s="263"/>
      <c r="IUG54" s="264"/>
      <c r="IUH54" s="295"/>
      <c r="IUI54" s="295"/>
      <c r="IUJ54" s="295"/>
      <c r="IUK54" s="295"/>
      <c r="IUL54" s="295"/>
      <c r="IUM54" s="295"/>
      <c r="IUN54" s="153"/>
      <c r="IUO54" s="153"/>
      <c r="IUP54" s="151"/>
      <c r="IUQ54" s="153"/>
      <c r="IUS54" s="267"/>
      <c r="IUT54" s="267"/>
      <c r="IUU54" s="260"/>
      <c r="IUV54" s="297"/>
      <c r="IUW54" s="297"/>
      <c r="IUX54" s="297"/>
      <c r="IUY54" s="261"/>
      <c r="IUZ54" s="261"/>
      <c r="IVA54" s="261"/>
      <c r="IVB54" s="262"/>
      <c r="IVC54" s="262"/>
      <c r="IVD54" s="261"/>
      <c r="IVE54" s="263"/>
      <c r="IVF54" s="264"/>
      <c r="IVG54" s="295"/>
      <c r="IVH54" s="295"/>
      <c r="IVI54" s="295"/>
      <c r="IVJ54" s="295"/>
      <c r="IVK54" s="295"/>
      <c r="IVL54" s="295"/>
      <c r="IVM54" s="153"/>
      <c r="IVN54" s="153"/>
      <c r="IVO54" s="151"/>
      <c r="IVP54" s="153"/>
      <c r="IVR54" s="267"/>
      <c r="IVS54" s="267"/>
      <c r="IVT54" s="260"/>
      <c r="IVU54" s="297"/>
      <c r="IVV54" s="297"/>
      <c r="IVW54" s="297"/>
      <c r="IVX54" s="261"/>
      <c r="IVY54" s="261"/>
      <c r="IVZ54" s="261"/>
      <c r="IWA54" s="262"/>
      <c r="IWB54" s="262"/>
      <c r="IWC54" s="261"/>
      <c r="IWD54" s="263"/>
      <c r="IWE54" s="264"/>
      <c r="IWF54" s="295"/>
      <c r="IWG54" s="295"/>
      <c r="IWH54" s="295"/>
      <c r="IWI54" s="295"/>
      <c r="IWJ54" s="295"/>
      <c r="IWK54" s="295"/>
      <c r="IWL54" s="153"/>
      <c r="IWM54" s="153"/>
      <c r="IWN54" s="151"/>
      <c r="IWO54" s="153"/>
      <c r="IWQ54" s="267"/>
      <c r="IWR54" s="267"/>
      <c r="IWS54" s="260"/>
      <c r="IWT54" s="297"/>
      <c r="IWU54" s="297"/>
      <c r="IWV54" s="297"/>
      <c r="IWW54" s="261"/>
      <c r="IWX54" s="261"/>
      <c r="IWY54" s="261"/>
      <c r="IWZ54" s="262"/>
      <c r="IXA54" s="262"/>
      <c r="IXB54" s="261"/>
      <c r="IXC54" s="263"/>
      <c r="IXD54" s="264"/>
      <c r="IXE54" s="295"/>
      <c r="IXF54" s="295"/>
      <c r="IXG54" s="295"/>
      <c r="IXH54" s="295"/>
      <c r="IXI54" s="295"/>
      <c r="IXJ54" s="295"/>
      <c r="IXK54" s="153"/>
      <c r="IXL54" s="153"/>
      <c r="IXM54" s="151"/>
      <c r="IXN54" s="153"/>
      <c r="IXP54" s="267"/>
      <c r="IXQ54" s="267"/>
      <c r="IXR54" s="260"/>
      <c r="IXS54" s="297"/>
      <c r="IXT54" s="297"/>
      <c r="IXU54" s="297"/>
      <c r="IXV54" s="261"/>
      <c r="IXW54" s="261"/>
      <c r="IXX54" s="261"/>
      <c r="IXY54" s="262"/>
      <c r="IXZ54" s="262"/>
      <c r="IYA54" s="261"/>
      <c r="IYB54" s="263"/>
      <c r="IYC54" s="264"/>
      <c r="IYD54" s="295"/>
      <c r="IYE54" s="295"/>
      <c r="IYF54" s="295"/>
      <c r="IYG54" s="295"/>
      <c r="IYH54" s="295"/>
      <c r="IYI54" s="295"/>
      <c r="IYJ54" s="153"/>
      <c r="IYK54" s="153"/>
      <c r="IYL54" s="151"/>
      <c r="IYM54" s="153"/>
      <c r="IYO54" s="267"/>
      <c r="IYP54" s="267"/>
      <c r="IYQ54" s="260"/>
      <c r="IYR54" s="297"/>
      <c r="IYS54" s="297"/>
      <c r="IYT54" s="297"/>
      <c r="IYU54" s="261"/>
      <c r="IYV54" s="261"/>
      <c r="IYW54" s="261"/>
      <c r="IYX54" s="262"/>
      <c r="IYY54" s="262"/>
      <c r="IYZ54" s="261"/>
      <c r="IZA54" s="263"/>
      <c r="IZB54" s="264"/>
      <c r="IZC54" s="295"/>
      <c r="IZD54" s="295"/>
      <c r="IZE54" s="295"/>
      <c r="IZF54" s="295"/>
      <c r="IZG54" s="295"/>
      <c r="IZH54" s="295"/>
      <c r="IZI54" s="153"/>
      <c r="IZJ54" s="153"/>
      <c r="IZK54" s="151"/>
      <c r="IZL54" s="153"/>
      <c r="IZN54" s="267"/>
      <c r="IZO54" s="267"/>
      <c r="IZP54" s="260"/>
      <c r="IZQ54" s="297"/>
      <c r="IZR54" s="297"/>
      <c r="IZS54" s="297"/>
      <c r="IZT54" s="261"/>
      <c r="IZU54" s="261"/>
      <c r="IZV54" s="261"/>
      <c r="IZW54" s="262"/>
      <c r="IZX54" s="262"/>
      <c r="IZY54" s="261"/>
      <c r="IZZ54" s="263"/>
      <c r="JAA54" s="264"/>
      <c r="JAB54" s="295"/>
      <c r="JAC54" s="295"/>
      <c r="JAD54" s="295"/>
      <c r="JAE54" s="295"/>
      <c r="JAF54" s="295"/>
      <c r="JAG54" s="295"/>
      <c r="JAH54" s="153"/>
      <c r="JAI54" s="153"/>
      <c r="JAJ54" s="151"/>
      <c r="JAK54" s="153"/>
      <c r="JAM54" s="267"/>
      <c r="JAN54" s="267"/>
      <c r="JAO54" s="260"/>
      <c r="JAP54" s="297"/>
      <c r="JAQ54" s="297"/>
      <c r="JAR54" s="297"/>
      <c r="JAS54" s="261"/>
      <c r="JAT54" s="261"/>
      <c r="JAU54" s="261"/>
      <c r="JAV54" s="262"/>
      <c r="JAW54" s="262"/>
      <c r="JAX54" s="261"/>
      <c r="JAY54" s="263"/>
      <c r="JAZ54" s="264"/>
      <c r="JBA54" s="295"/>
      <c r="JBB54" s="295"/>
      <c r="JBC54" s="295"/>
      <c r="JBD54" s="295"/>
      <c r="JBE54" s="295"/>
      <c r="JBF54" s="295"/>
      <c r="JBG54" s="153"/>
      <c r="JBH54" s="153"/>
      <c r="JBI54" s="151"/>
      <c r="JBJ54" s="153"/>
      <c r="JBL54" s="267"/>
      <c r="JBM54" s="267"/>
      <c r="JBN54" s="260"/>
      <c r="JBO54" s="297"/>
      <c r="JBP54" s="297"/>
      <c r="JBQ54" s="297"/>
      <c r="JBR54" s="261"/>
      <c r="JBS54" s="261"/>
      <c r="JBT54" s="261"/>
      <c r="JBU54" s="262"/>
      <c r="JBV54" s="262"/>
      <c r="JBW54" s="261"/>
      <c r="JBX54" s="263"/>
      <c r="JBY54" s="264"/>
      <c r="JBZ54" s="295"/>
      <c r="JCA54" s="295"/>
      <c r="JCB54" s="295"/>
      <c r="JCC54" s="295"/>
      <c r="JCD54" s="295"/>
      <c r="JCE54" s="295"/>
      <c r="JCF54" s="153"/>
      <c r="JCG54" s="153"/>
      <c r="JCH54" s="151"/>
      <c r="JCI54" s="153"/>
      <c r="JCK54" s="267"/>
      <c r="JCL54" s="267"/>
      <c r="JCM54" s="260"/>
      <c r="JCN54" s="297"/>
      <c r="JCO54" s="297"/>
      <c r="JCP54" s="297"/>
      <c r="JCQ54" s="261"/>
      <c r="JCR54" s="261"/>
      <c r="JCS54" s="261"/>
      <c r="JCT54" s="262"/>
      <c r="JCU54" s="262"/>
      <c r="JCV54" s="261"/>
      <c r="JCW54" s="263"/>
      <c r="JCX54" s="264"/>
      <c r="JCY54" s="295"/>
      <c r="JCZ54" s="295"/>
      <c r="JDA54" s="295"/>
      <c r="JDB54" s="295"/>
      <c r="JDC54" s="295"/>
      <c r="JDD54" s="295"/>
      <c r="JDE54" s="153"/>
      <c r="JDF54" s="153"/>
      <c r="JDG54" s="151"/>
      <c r="JDH54" s="153"/>
      <c r="JDJ54" s="267"/>
      <c r="JDK54" s="267"/>
      <c r="JDL54" s="260"/>
      <c r="JDM54" s="297"/>
      <c r="JDN54" s="297"/>
      <c r="JDO54" s="297"/>
      <c r="JDP54" s="261"/>
      <c r="JDQ54" s="261"/>
      <c r="JDR54" s="261"/>
      <c r="JDS54" s="262"/>
      <c r="JDT54" s="262"/>
      <c r="JDU54" s="261"/>
      <c r="JDV54" s="263"/>
      <c r="JDW54" s="264"/>
      <c r="JDX54" s="295"/>
      <c r="JDY54" s="295"/>
      <c r="JDZ54" s="295"/>
      <c r="JEA54" s="295"/>
      <c r="JEB54" s="295"/>
      <c r="JEC54" s="295"/>
      <c r="JED54" s="153"/>
      <c r="JEE54" s="153"/>
      <c r="JEF54" s="151"/>
      <c r="JEG54" s="153"/>
      <c r="JEI54" s="267"/>
      <c r="JEJ54" s="267"/>
      <c r="JEK54" s="260"/>
      <c r="JEL54" s="297"/>
      <c r="JEM54" s="297"/>
      <c r="JEN54" s="297"/>
      <c r="JEO54" s="261"/>
      <c r="JEP54" s="261"/>
      <c r="JEQ54" s="261"/>
      <c r="JER54" s="262"/>
      <c r="JES54" s="262"/>
      <c r="JET54" s="261"/>
      <c r="JEU54" s="263"/>
      <c r="JEV54" s="264"/>
      <c r="JEW54" s="295"/>
      <c r="JEX54" s="295"/>
      <c r="JEY54" s="295"/>
      <c r="JEZ54" s="295"/>
      <c r="JFA54" s="295"/>
      <c r="JFB54" s="295"/>
      <c r="JFC54" s="153"/>
      <c r="JFD54" s="153"/>
      <c r="JFE54" s="151"/>
      <c r="JFF54" s="153"/>
      <c r="JFH54" s="267"/>
      <c r="JFI54" s="267"/>
      <c r="JFJ54" s="260"/>
      <c r="JFK54" s="297"/>
      <c r="JFL54" s="297"/>
      <c r="JFM54" s="297"/>
      <c r="JFN54" s="261"/>
      <c r="JFO54" s="261"/>
      <c r="JFP54" s="261"/>
      <c r="JFQ54" s="262"/>
      <c r="JFR54" s="262"/>
      <c r="JFS54" s="261"/>
      <c r="JFT54" s="263"/>
      <c r="JFU54" s="264"/>
      <c r="JFV54" s="295"/>
      <c r="JFW54" s="295"/>
      <c r="JFX54" s="295"/>
      <c r="JFY54" s="295"/>
      <c r="JFZ54" s="295"/>
      <c r="JGA54" s="295"/>
      <c r="JGB54" s="153"/>
      <c r="JGC54" s="153"/>
      <c r="JGD54" s="151"/>
      <c r="JGE54" s="153"/>
      <c r="JGG54" s="267"/>
      <c r="JGH54" s="267"/>
      <c r="JGI54" s="260"/>
      <c r="JGJ54" s="297"/>
      <c r="JGK54" s="297"/>
      <c r="JGL54" s="297"/>
      <c r="JGM54" s="261"/>
      <c r="JGN54" s="261"/>
      <c r="JGO54" s="261"/>
      <c r="JGP54" s="262"/>
      <c r="JGQ54" s="262"/>
      <c r="JGR54" s="261"/>
      <c r="JGS54" s="263"/>
      <c r="JGT54" s="264"/>
      <c r="JGU54" s="295"/>
      <c r="JGV54" s="295"/>
      <c r="JGW54" s="295"/>
      <c r="JGX54" s="295"/>
      <c r="JGY54" s="295"/>
      <c r="JGZ54" s="295"/>
      <c r="JHA54" s="153"/>
      <c r="JHB54" s="153"/>
      <c r="JHC54" s="151"/>
      <c r="JHD54" s="153"/>
      <c r="JHF54" s="267"/>
      <c r="JHG54" s="267"/>
      <c r="JHH54" s="260"/>
      <c r="JHI54" s="297"/>
      <c r="JHJ54" s="297"/>
      <c r="JHK54" s="297"/>
      <c r="JHL54" s="261"/>
      <c r="JHM54" s="261"/>
      <c r="JHN54" s="261"/>
      <c r="JHO54" s="262"/>
      <c r="JHP54" s="262"/>
      <c r="JHQ54" s="261"/>
      <c r="JHR54" s="263"/>
      <c r="JHS54" s="264"/>
      <c r="JHT54" s="295"/>
      <c r="JHU54" s="295"/>
      <c r="JHV54" s="295"/>
      <c r="JHW54" s="295"/>
      <c r="JHX54" s="295"/>
      <c r="JHY54" s="295"/>
      <c r="JHZ54" s="153"/>
      <c r="JIA54" s="153"/>
      <c r="JIB54" s="151"/>
      <c r="JIC54" s="153"/>
      <c r="JIE54" s="267"/>
      <c r="JIF54" s="267"/>
      <c r="JIG54" s="260"/>
      <c r="JIH54" s="297"/>
      <c r="JII54" s="297"/>
      <c r="JIJ54" s="297"/>
      <c r="JIK54" s="261"/>
      <c r="JIL54" s="261"/>
      <c r="JIM54" s="261"/>
      <c r="JIN54" s="262"/>
      <c r="JIO54" s="262"/>
      <c r="JIP54" s="261"/>
      <c r="JIQ54" s="263"/>
      <c r="JIR54" s="264"/>
      <c r="JIS54" s="295"/>
      <c r="JIT54" s="295"/>
      <c r="JIU54" s="295"/>
      <c r="JIV54" s="295"/>
      <c r="JIW54" s="295"/>
      <c r="JIX54" s="295"/>
      <c r="JIY54" s="153"/>
      <c r="JIZ54" s="153"/>
      <c r="JJA54" s="151"/>
      <c r="JJB54" s="153"/>
      <c r="JJD54" s="267"/>
      <c r="JJE54" s="267"/>
      <c r="JJF54" s="260"/>
      <c r="JJG54" s="297"/>
      <c r="JJH54" s="297"/>
      <c r="JJI54" s="297"/>
      <c r="JJJ54" s="261"/>
      <c r="JJK54" s="261"/>
      <c r="JJL54" s="261"/>
      <c r="JJM54" s="262"/>
      <c r="JJN54" s="262"/>
      <c r="JJO54" s="261"/>
      <c r="JJP54" s="263"/>
      <c r="JJQ54" s="264"/>
      <c r="JJR54" s="295"/>
      <c r="JJS54" s="295"/>
      <c r="JJT54" s="295"/>
      <c r="JJU54" s="295"/>
      <c r="JJV54" s="295"/>
      <c r="JJW54" s="295"/>
      <c r="JJX54" s="153"/>
      <c r="JJY54" s="153"/>
      <c r="JJZ54" s="151"/>
      <c r="JKA54" s="153"/>
      <c r="JKC54" s="267"/>
      <c r="JKD54" s="267"/>
      <c r="JKE54" s="260"/>
      <c r="JKF54" s="297"/>
      <c r="JKG54" s="297"/>
      <c r="JKH54" s="297"/>
      <c r="JKI54" s="261"/>
      <c r="JKJ54" s="261"/>
      <c r="JKK54" s="261"/>
      <c r="JKL54" s="262"/>
      <c r="JKM54" s="262"/>
      <c r="JKN54" s="261"/>
      <c r="JKO54" s="263"/>
      <c r="JKP54" s="264"/>
      <c r="JKQ54" s="295"/>
      <c r="JKR54" s="295"/>
      <c r="JKS54" s="295"/>
      <c r="JKT54" s="295"/>
      <c r="JKU54" s="295"/>
      <c r="JKV54" s="295"/>
      <c r="JKW54" s="153"/>
      <c r="JKX54" s="153"/>
      <c r="JKY54" s="151"/>
      <c r="JKZ54" s="153"/>
      <c r="JLB54" s="267"/>
      <c r="JLC54" s="267"/>
      <c r="JLD54" s="260"/>
      <c r="JLE54" s="297"/>
      <c r="JLF54" s="297"/>
      <c r="JLG54" s="297"/>
      <c r="JLH54" s="261"/>
      <c r="JLI54" s="261"/>
      <c r="JLJ54" s="261"/>
      <c r="JLK54" s="262"/>
      <c r="JLL54" s="262"/>
      <c r="JLM54" s="261"/>
      <c r="JLN54" s="263"/>
      <c r="JLO54" s="264"/>
      <c r="JLP54" s="295"/>
      <c r="JLQ54" s="295"/>
      <c r="JLR54" s="295"/>
      <c r="JLS54" s="295"/>
      <c r="JLT54" s="295"/>
      <c r="JLU54" s="295"/>
      <c r="JLV54" s="153"/>
      <c r="JLW54" s="153"/>
      <c r="JLX54" s="151"/>
      <c r="JLY54" s="153"/>
      <c r="JMA54" s="267"/>
      <c r="JMB54" s="267"/>
      <c r="JMC54" s="260"/>
      <c r="JMD54" s="297"/>
      <c r="JME54" s="297"/>
      <c r="JMF54" s="297"/>
      <c r="JMG54" s="261"/>
      <c r="JMH54" s="261"/>
      <c r="JMI54" s="261"/>
      <c r="JMJ54" s="262"/>
      <c r="JMK54" s="262"/>
      <c r="JML54" s="261"/>
      <c r="JMM54" s="263"/>
      <c r="JMN54" s="264"/>
      <c r="JMO54" s="295"/>
      <c r="JMP54" s="295"/>
      <c r="JMQ54" s="295"/>
      <c r="JMR54" s="295"/>
      <c r="JMS54" s="295"/>
      <c r="JMT54" s="295"/>
      <c r="JMU54" s="153"/>
      <c r="JMV54" s="153"/>
      <c r="JMW54" s="151"/>
      <c r="JMX54" s="153"/>
      <c r="JMZ54" s="267"/>
      <c r="JNA54" s="267"/>
      <c r="JNB54" s="260"/>
      <c r="JNC54" s="297"/>
      <c r="JND54" s="297"/>
      <c r="JNE54" s="297"/>
      <c r="JNF54" s="261"/>
      <c r="JNG54" s="261"/>
      <c r="JNH54" s="261"/>
      <c r="JNI54" s="262"/>
      <c r="JNJ54" s="262"/>
      <c r="JNK54" s="261"/>
      <c r="JNL54" s="263"/>
      <c r="JNM54" s="264"/>
      <c r="JNN54" s="295"/>
      <c r="JNO54" s="295"/>
      <c r="JNP54" s="295"/>
      <c r="JNQ54" s="295"/>
      <c r="JNR54" s="295"/>
      <c r="JNS54" s="295"/>
      <c r="JNT54" s="153"/>
      <c r="JNU54" s="153"/>
      <c r="JNV54" s="151"/>
      <c r="JNW54" s="153"/>
      <c r="JNY54" s="267"/>
      <c r="JNZ54" s="267"/>
      <c r="JOA54" s="260"/>
      <c r="JOB54" s="297"/>
      <c r="JOC54" s="297"/>
      <c r="JOD54" s="297"/>
      <c r="JOE54" s="261"/>
      <c r="JOF54" s="261"/>
      <c r="JOG54" s="261"/>
      <c r="JOH54" s="262"/>
      <c r="JOI54" s="262"/>
      <c r="JOJ54" s="261"/>
      <c r="JOK54" s="263"/>
      <c r="JOL54" s="264"/>
      <c r="JOM54" s="295"/>
      <c r="JON54" s="295"/>
      <c r="JOO54" s="295"/>
      <c r="JOP54" s="295"/>
      <c r="JOQ54" s="295"/>
      <c r="JOR54" s="295"/>
      <c r="JOS54" s="153"/>
      <c r="JOT54" s="153"/>
      <c r="JOU54" s="151"/>
      <c r="JOV54" s="153"/>
      <c r="JOX54" s="267"/>
      <c r="JOY54" s="267"/>
      <c r="JOZ54" s="260"/>
      <c r="JPA54" s="297"/>
      <c r="JPB54" s="297"/>
      <c r="JPC54" s="297"/>
      <c r="JPD54" s="261"/>
      <c r="JPE54" s="261"/>
      <c r="JPF54" s="261"/>
      <c r="JPG54" s="262"/>
      <c r="JPH54" s="262"/>
      <c r="JPI54" s="261"/>
      <c r="JPJ54" s="263"/>
      <c r="JPK54" s="264"/>
      <c r="JPL54" s="295"/>
      <c r="JPM54" s="295"/>
      <c r="JPN54" s="295"/>
      <c r="JPO54" s="295"/>
      <c r="JPP54" s="295"/>
      <c r="JPQ54" s="295"/>
      <c r="JPR54" s="153"/>
      <c r="JPS54" s="153"/>
      <c r="JPT54" s="151"/>
      <c r="JPU54" s="153"/>
      <c r="JPW54" s="267"/>
      <c r="JPX54" s="267"/>
      <c r="JPY54" s="260"/>
      <c r="JPZ54" s="297"/>
      <c r="JQA54" s="297"/>
      <c r="JQB54" s="297"/>
      <c r="JQC54" s="261"/>
      <c r="JQD54" s="261"/>
      <c r="JQE54" s="261"/>
      <c r="JQF54" s="262"/>
      <c r="JQG54" s="262"/>
      <c r="JQH54" s="261"/>
      <c r="JQI54" s="263"/>
      <c r="JQJ54" s="264"/>
      <c r="JQK54" s="295"/>
      <c r="JQL54" s="295"/>
      <c r="JQM54" s="295"/>
      <c r="JQN54" s="295"/>
      <c r="JQO54" s="295"/>
      <c r="JQP54" s="295"/>
      <c r="JQQ54" s="153"/>
      <c r="JQR54" s="153"/>
      <c r="JQS54" s="151"/>
      <c r="JQT54" s="153"/>
      <c r="JQV54" s="267"/>
      <c r="JQW54" s="267"/>
      <c r="JQX54" s="260"/>
      <c r="JQY54" s="297"/>
      <c r="JQZ54" s="297"/>
      <c r="JRA54" s="297"/>
      <c r="JRB54" s="261"/>
      <c r="JRC54" s="261"/>
      <c r="JRD54" s="261"/>
      <c r="JRE54" s="262"/>
      <c r="JRF54" s="262"/>
      <c r="JRG54" s="261"/>
      <c r="JRH54" s="263"/>
      <c r="JRI54" s="264"/>
      <c r="JRJ54" s="295"/>
      <c r="JRK54" s="295"/>
      <c r="JRL54" s="295"/>
      <c r="JRM54" s="295"/>
      <c r="JRN54" s="295"/>
      <c r="JRO54" s="295"/>
      <c r="JRP54" s="153"/>
      <c r="JRQ54" s="153"/>
      <c r="JRR54" s="151"/>
      <c r="JRS54" s="153"/>
      <c r="JRU54" s="267"/>
      <c r="JRV54" s="267"/>
      <c r="JRW54" s="260"/>
      <c r="JRX54" s="297"/>
      <c r="JRY54" s="297"/>
      <c r="JRZ54" s="297"/>
      <c r="JSA54" s="261"/>
      <c r="JSB54" s="261"/>
      <c r="JSC54" s="261"/>
      <c r="JSD54" s="262"/>
      <c r="JSE54" s="262"/>
      <c r="JSF54" s="261"/>
      <c r="JSG54" s="263"/>
      <c r="JSH54" s="264"/>
      <c r="JSI54" s="295"/>
      <c r="JSJ54" s="295"/>
      <c r="JSK54" s="295"/>
      <c r="JSL54" s="295"/>
      <c r="JSM54" s="295"/>
      <c r="JSN54" s="295"/>
      <c r="JSO54" s="153"/>
      <c r="JSP54" s="153"/>
      <c r="JSQ54" s="151"/>
      <c r="JSR54" s="153"/>
      <c r="JST54" s="267"/>
      <c r="JSU54" s="267"/>
      <c r="JSV54" s="260"/>
      <c r="JSW54" s="297"/>
      <c r="JSX54" s="297"/>
      <c r="JSY54" s="297"/>
      <c r="JSZ54" s="261"/>
      <c r="JTA54" s="261"/>
      <c r="JTB54" s="261"/>
      <c r="JTC54" s="262"/>
      <c r="JTD54" s="262"/>
      <c r="JTE54" s="261"/>
      <c r="JTF54" s="263"/>
      <c r="JTG54" s="264"/>
      <c r="JTH54" s="295"/>
      <c r="JTI54" s="295"/>
      <c r="JTJ54" s="295"/>
      <c r="JTK54" s="295"/>
      <c r="JTL54" s="295"/>
      <c r="JTM54" s="295"/>
      <c r="JTN54" s="153"/>
      <c r="JTO54" s="153"/>
      <c r="JTP54" s="151"/>
      <c r="JTQ54" s="153"/>
      <c r="JTS54" s="267"/>
      <c r="JTT54" s="267"/>
      <c r="JTU54" s="260"/>
      <c r="JTV54" s="297"/>
      <c r="JTW54" s="297"/>
      <c r="JTX54" s="297"/>
      <c r="JTY54" s="261"/>
      <c r="JTZ54" s="261"/>
      <c r="JUA54" s="261"/>
      <c r="JUB54" s="262"/>
      <c r="JUC54" s="262"/>
      <c r="JUD54" s="261"/>
      <c r="JUE54" s="263"/>
      <c r="JUF54" s="264"/>
      <c r="JUG54" s="295"/>
      <c r="JUH54" s="295"/>
      <c r="JUI54" s="295"/>
      <c r="JUJ54" s="295"/>
      <c r="JUK54" s="295"/>
      <c r="JUL54" s="295"/>
      <c r="JUM54" s="153"/>
      <c r="JUN54" s="153"/>
      <c r="JUO54" s="151"/>
      <c r="JUP54" s="153"/>
      <c r="JUR54" s="267"/>
      <c r="JUS54" s="267"/>
      <c r="JUT54" s="260"/>
      <c r="JUU54" s="297"/>
      <c r="JUV54" s="297"/>
      <c r="JUW54" s="297"/>
      <c r="JUX54" s="261"/>
      <c r="JUY54" s="261"/>
      <c r="JUZ54" s="261"/>
      <c r="JVA54" s="262"/>
      <c r="JVB54" s="262"/>
      <c r="JVC54" s="261"/>
      <c r="JVD54" s="263"/>
      <c r="JVE54" s="264"/>
      <c r="JVF54" s="295"/>
      <c r="JVG54" s="295"/>
      <c r="JVH54" s="295"/>
      <c r="JVI54" s="295"/>
      <c r="JVJ54" s="295"/>
      <c r="JVK54" s="295"/>
      <c r="JVL54" s="153"/>
      <c r="JVM54" s="153"/>
      <c r="JVN54" s="151"/>
      <c r="JVO54" s="153"/>
      <c r="JVQ54" s="267"/>
      <c r="JVR54" s="267"/>
      <c r="JVS54" s="260"/>
      <c r="JVT54" s="297"/>
      <c r="JVU54" s="297"/>
      <c r="JVV54" s="297"/>
      <c r="JVW54" s="261"/>
      <c r="JVX54" s="261"/>
      <c r="JVY54" s="261"/>
      <c r="JVZ54" s="262"/>
      <c r="JWA54" s="262"/>
      <c r="JWB54" s="261"/>
      <c r="JWC54" s="263"/>
      <c r="JWD54" s="264"/>
      <c r="JWE54" s="295"/>
      <c r="JWF54" s="295"/>
      <c r="JWG54" s="295"/>
      <c r="JWH54" s="295"/>
      <c r="JWI54" s="295"/>
      <c r="JWJ54" s="295"/>
      <c r="JWK54" s="153"/>
      <c r="JWL54" s="153"/>
      <c r="JWM54" s="151"/>
      <c r="JWN54" s="153"/>
      <c r="JWP54" s="267"/>
      <c r="JWQ54" s="267"/>
      <c r="JWR54" s="260"/>
      <c r="JWS54" s="297"/>
      <c r="JWT54" s="297"/>
      <c r="JWU54" s="297"/>
      <c r="JWV54" s="261"/>
      <c r="JWW54" s="261"/>
      <c r="JWX54" s="261"/>
      <c r="JWY54" s="262"/>
      <c r="JWZ54" s="262"/>
      <c r="JXA54" s="261"/>
      <c r="JXB54" s="263"/>
      <c r="JXC54" s="264"/>
      <c r="JXD54" s="295"/>
      <c r="JXE54" s="295"/>
      <c r="JXF54" s="295"/>
      <c r="JXG54" s="295"/>
      <c r="JXH54" s="295"/>
      <c r="JXI54" s="295"/>
      <c r="JXJ54" s="153"/>
      <c r="JXK54" s="153"/>
      <c r="JXL54" s="151"/>
      <c r="JXM54" s="153"/>
      <c r="JXO54" s="267"/>
      <c r="JXP54" s="267"/>
      <c r="JXQ54" s="260"/>
      <c r="JXR54" s="297"/>
      <c r="JXS54" s="297"/>
      <c r="JXT54" s="297"/>
      <c r="JXU54" s="261"/>
      <c r="JXV54" s="261"/>
      <c r="JXW54" s="261"/>
      <c r="JXX54" s="262"/>
      <c r="JXY54" s="262"/>
      <c r="JXZ54" s="261"/>
      <c r="JYA54" s="263"/>
      <c r="JYB54" s="264"/>
      <c r="JYC54" s="295"/>
      <c r="JYD54" s="295"/>
      <c r="JYE54" s="295"/>
      <c r="JYF54" s="295"/>
      <c r="JYG54" s="295"/>
      <c r="JYH54" s="295"/>
      <c r="JYI54" s="153"/>
      <c r="JYJ54" s="153"/>
      <c r="JYK54" s="151"/>
      <c r="JYL54" s="153"/>
      <c r="JYN54" s="267"/>
      <c r="JYO54" s="267"/>
      <c r="JYP54" s="260"/>
      <c r="JYQ54" s="297"/>
      <c r="JYR54" s="297"/>
      <c r="JYS54" s="297"/>
      <c r="JYT54" s="261"/>
      <c r="JYU54" s="261"/>
      <c r="JYV54" s="261"/>
      <c r="JYW54" s="262"/>
      <c r="JYX54" s="262"/>
      <c r="JYY54" s="261"/>
      <c r="JYZ54" s="263"/>
      <c r="JZA54" s="264"/>
      <c r="JZB54" s="295"/>
      <c r="JZC54" s="295"/>
      <c r="JZD54" s="295"/>
      <c r="JZE54" s="295"/>
      <c r="JZF54" s="295"/>
      <c r="JZG54" s="295"/>
      <c r="JZH54" s="153"/>
      <c r="JZI54" s="153"/>
      <c r="JZJ54" s="151"/>
      <c r="JZK54" s="153"/>
      <c r="JZM54" s="267"/>
      <c r="JZN54" s="267"/>
      <c r="JZO54" s="260"/>
      <c r="JZP54" s="297"/>
      <c r="JZQ54" s="297"/>
      <c r="JZR54" s="297"/>
      <c r="JZS54" s="261"/>
      <c r="JZT54" s="261"/>
      <c r="JZU54" s="261"/>
      <c r="JZV54" s="262"/>
      <c r="JZW54" s="262"/>
      <c r="JZX54" s="261"/>
      <c r="JZY54" s="263"/>
      <c r="JZZ54" s="264"/>
      <c r="KAA54" s="295"/>
      <c r="KAB54" s="295"/>
      <c r="KAC54" s="295"/>
      <c r="KAD54" s="295"/>
      <c r="KAE54" s="295"/>
      <c r="KAF54" s="295"/>
      <c r="KAG54" s="153"/>
      <c r="KAH54" s="153"/>
      <c r="KAI54" s="151"/>
      <c r="KAJ54" s="153"/>
      <c r="KAL54" s="267"/>
      <c r="KAM54" s="267"/>
      <c r="KAN54" s="260"/>
      <c r="KAO54" s="297"/>
      <c r="KAP54" s="297"/>
      <c r="KAQ54" s="297"/>
      <c r="KAR54" s="261"/>
      <c r="KAS54" s="261"/>
      <c r="KAT54" s="261"/>
      <c r="KAU54" s="262"/>
      <c r="KAV54" s="262"/>
      <c r="KAW54" s="261"/>
      <c r="KAX54" s="263"/>
      <c r="KAY54" s="264"/>
      <c r="KAZ54" s="295"/>
      <c r="KBA54" s="295"/>
      <c r="KBB54" s="295"/>
      <c r="KBC54" s="295"/>
      <c r="KBD54" s="295"/>
      <c r="KBE54" s="295"/>
      <c r="KBF54" s="153"/>
      <c r="KBG54" s="153"/>
      <c r="KBH54" s="151"/>
      <c r="KBI54" s="153"/>
      <c r="KBK54" s="267"/>
      <c r="KBL54" s="267"/>
      <c r="KBM54" s="260"/>
      <c r="KBN54" s="297"/>
      <c r="KBO54" s="297"/>
      <c r="KBP54" s="297"/>
      <c r="KBQ54" s="261"/>
      <c r="KBR54" s="261"/>
      <c r="KBS54" s="261"/>
      <c r="KBT54" s="262"/>
      <c r="KBU54" s="262"/>
      <c r="KBV54" s="261"/>
      <c r="KBW54" s="263"/>
      <c r="KBX54" s="264"/>
      <c r="KBY54" s="295"/>
      <c r="KBZ54" s="295"/>
      <c r="KCA54" s="295"/>
      <c r="KCB54" s="295"/>
      <c r="KCC54" s="295"/>
      <c r="KCD54" s="295"/>
      <c r="KCE54" s="153"/>
      <c r="KCF54" s="153"/>
      <c r="KCG54" s="151"/>
      <c r="KCH54" s="153"/>
      <c r="KCJ54" s="267"/>
      <c r="KCK54" s="267"/>
      <c r="KCL54" s="260"/>
      <c r="KCM54" s="297"/>
      <c r="KCN54" s="297"/>
      <c r="KCO54" s="297"/>
      <c r="KCP54" s="261"/>
      <c r="KCQ54" s="261"/>
      <c r="KCR54" s="261"/>
      <c r="KCS54" s="262"/>
      <c r="KCT54" s="262"/>
      <c r="KCU54" s="261"/>
      <c r="KCV54" s="263"/>
      <c r="KCW54" s="264"/>
      <c r="KCX54" s="295"/>
      <c r="KCY54" s="295"/>
      <c r="KCZ54" s="295"/>
      <c r="KDA54" s="295"/>
      <c r="KDB54" s="295"/>
      <c r="KDC54" s="295"/>
      <c r="KDD54" s="153"/>
      <c r="KDE54" s="153"/>
      <c r="KDF54" s="151"/>
      <c r="KDG54" s="153"/>
      <c r="KDI54" s="267"/>
      <c r="KDJ54" s="267"/>
      <c r="KDK54" s="260"/>
      <c r="KDL54" s="297"/>
      <c r="KDM54" s="297"/>
      <c r="KDN54" s="297"/>
      <c r="KDO54" s="261"/>
      <c r="KDP54" s="261"/>
      <c r="KDQ54" s="261"/>
      <c r="KDR54" s="262"/>
      <c r="KDS54" s="262"/>
      <c r="KDT54" s="261"/>
      <c r="KDU54" s="263"/>
      <c r="KDV54" s="264"/>
      <c r="KDW54" s="295"/>
      <c r="KDX54" s="295"/>
      <c r="KDY54" s="295"/>
      <c r="KDZ54" s="295"/>
      <c r="KEA54" s="295"/>
      <c r="KEB54" s="295"/>
      <c r="KEC54" s="153"/>
      <c r="KED54" s="153"/>
      <c r="KEE54" s="151"/>
      <c r="KEF54" s="153"/>
      <c r="KEH54" s="267"/>
      <c r="KEI54" s="267"/>
      <c r="KEJ54" s="260"/>
      <c r="KEK54" s="297"/>
      <c r="KEL54" s="297"/>
      <c r="KEM54" s="297"/>
      <c r="KEN54" s="261"/>
      <c r="KEO54" s="261"/>
      <c r="KEP54" s="261"/>
      <c r="KEQ54" s="262"/>
      <c r="KER54" s="262"/>
      <c r="KES54" s="261"/>
      <c r="KET54" s="263"/>
      <c r="KEU54" s="264"/>
      <c r="KEV54" s="295"/>
      <c r="KEW54" s="295"/>
      <c r="KEX54" s="295"/>
      <c r="KEY54" s="295"/>
      <c r="KEZ54" s="295"/>
      <c r="KFA54" s="295"/>
      <c r="KFB54" s="153"/>
      <c r="KFC54" s="153"/>
      <c r="KFD54" s="151"/>
      <c r="KFE54" s="153"/>
      <c r="KFG54" s="267"/>
      <c r="KFH54" s="267"/>
      <c r="KFI54" s="260"/>
      <c r="KFJ54" s="297"/>
      <c r="KFK54" s="297"/>
      <c r="KFL54" s="297"/>
      <c r="KFM54" s="261"/>
      <c r="KFN54" s="261"/>
      <c r="KFO54" s="261"/>
      <c r="KFP54" s="262"/>
      <c r="KFQ54" s="262"/>
      <c r="KFR54" s="261"/>
      <c r="KFS54" s="263"/>
      <c r="KFT54" s="264"/>
      <c r="KFU54" s="295"/>
      <c r="KFV54" s="295"/>
      <c r="KFW54" s="295"/>
      <c r="KFX54" s="295"/>
      <c r="KFY54" s="295"/>
      <c r="KFZ54" s="295"/>
      <c r="KGA54" s="153"/>
      <c r="KGB54" s="153"/>
      <c r="KGC54" s="151"/>
      <c r="KGD54" s="153"/>
      <c r="KGF54" s="267"/>
      <c r="KGG54" s="267"/>
      <c r="KGH54" s="260"/>
      <c r="KGI54" s="297"/>
      <c r="KGJ54" s="297"/>
      <c r="KGK54" s="297"/>
      <c r="KGL54" s="261"/>
      <c r="KGM54" s="261"/>
      <c r="KGN54" s="261"/>
      <c r="KGO54" s="262"/>
      <c r="KGP54" s="262"/>
      <c r="KGQ54" s="261"/>
      <c r="KGR54" s="263"/>
      <c r="KGS54" s="264"/>
      <c r="KGT54" s="295"/>
      <c r="KGU54" s="295"/>
      <c r="KGV54" s="295"/>
      <c r="KGW54" s="295"/>
      <c r="KGX54" s="295"/>
      <c r="KGY54" s="295"/>
      <c r="KGZ54" s="153"/>
      <c r="KHA54" s="153"/>
      <c r="KHB54" s="151"/>
      <c r="KHC54" s="153"/>
      <c r="KHE54" s="267"/>
      <c r="KHF54" s="267"/>
      <c r="KHG54" s="260"/>
      <c r="KHH54" s="297"/>
      <c r="KHI54" s="297"/>
      <c r="KHJ54" s="297"/>
      <c r="KHK54" s="261"/>
      <c r="KHL54" s="261"/>
      <c r="KHM54" s="261"/>
      <c r="KHN54" s="262"/>
      <c r="KHO54" s="262"/>
      <c r="KHP54" s="261"/>
      <c r="KHQ54" s="263"/>
      <c r="KHR54" s="264"/>
      <c r="KHS54" s="295"/>
      <c r="KHT54" s="295"/>
      <c r="KHU54" s="295"/>
      <c r="KHV54" s="295"/>
      <c r="KHW54" s="295"/>
      <c r="KHX54" s="295"/>
      <c r="KHY54" s="153"/>
      <c r="KHZ54" s="153"/>
      <c r="KIA54" s="151"/>
      <c r="KIB54" s="153"/>
      <c r="KID54" s="267"/>
      <c r="KIE54" s="267"/>
      <c r="KIF54" s="260"/>
      <c r="KIG54" s="297"/>
      <c r="KIH54" s="297"/>
      <c r="KII54" s="297"/>
      <c r="KIJ54" s="261"/>
      <c r="KIK54" s="261"/>
      <c r="KIL54" s="261"/>
      <c r="KIM54" s="262"/>
      <c r="KIN54" s="262"/>
      <c r="KIO54" s="261"/>
      <c r="KIP54" s="263"/>
      <c r="KIQ54" s="264"/>
      <c r="KIR54" s="295"/>
      <c r="KIS54" s="295"/>
      <c r="KIT54" s="295"/>
      <c r="KIU54" s="295"/>
      <c r="KIV54" s="295"/>
      <c r="KIW54" s="295"/>
      <c r="KIX54" s="153"/>
      <c r="KIY54" s="153"/>
      <c r="KIZ54" s="151"/>
      <c r="KJA54" s="153"/>
      <c r="KJC54" s="267"/>
      <c r="KJD54" s="267"/>
      <c r="KJE54" s="260"/>
      <c r="KJF54" s="297"/>
      <c r="KJG54" s="297"/>
      <c r="KJH54" s="297"/>
      <c r="KJI54" s="261"/>
      <c r="KJJ54" s="261"/>
      <c r="KJK54" s="261"/>
      <c r="KJL54" s="262"/>
      <c r="KJM54" s="262"/>
      <c r="KJN54" s="261"/>
      <c r="KJO54" s="263"/>
      <c r="KJP54" s="264"/>
      <c r="KJQ54" s="295"/>
      <c r="KJR54" s="295"/>
      <c r="KJS54" s="295"/>
      <c r="KJT54" s="295"/>
      <c r="KJU54" s="295"/>
      <c r="KJV54" s="295"/>
      <c r="KJW54" s="153"/>
      <c r="KJX54" s="153"/>
      <c r="KJY54" s="151"/>
      <c r="KJZ54" s="153"/>
      <c r="KKB54" s="267"/>
      <c r="KKC54" s="267"/>
      <c r="KKD54" s="260"/>
      <c r="KKE54" s="297"/>
      <c r="KKF54" s="297"/>
      <c r="KKG54" s="297"/>
      <c r="KKH54" s="261"/>
      <c r="KKI54" s="261"/>
      <c r="KKJ54" s="261"/>
      <c r="KKK54" s="262"/>
      <c r="KKL54" s="262"/>
      <c r="KKM54" s="261"/>
      <c r="KKN54" s="263"/>
      <c r="KKO54" s="264"/>
      <c r="KKP54" s="295"/>
      <c r="KKQ54" s="295"/>
      <c r="KKR54" s="295"/>
      <c r="KKS54" s="295"/>
      <c r="KKT54" s="295"/>
      <c r="KKU54" s="295"/>
      <c r="KKV54" s="153"/>
      <c r="KKW54" s="153"/>
      <c r="KKX54" s="151"/>
      <c r="KKY54" s="153"/>
      <c r="KLA54" s="267"/>
      <c r="KLB54" s="267"/>
      <c r="KLC54" s="260"/>
      <c r="KLD54" s="297"/>
      <c r="KLE54" s="297"/>
      <c r="KLF54" s="297"/>
      <c r="KLG54" s="261"/>
      <c r="KLH54" s="261"/>
      <c r="KLI54" s="261"/>
      <c r="KLJ54" s="262"/>
      <c r="KLK54" s="262"/>
      <c r="KLL54" s="261"/>
      <c r="KLM54" s="263"/>
      <c r="KLN54" s="264"/>
      <c r="KLO54" s="295"/>
      <c r="KLP54" s="295"/>
      <c r="KLQ54" s="295"/>
      <c r="KLR54" s="295"/>
      <c r="KLS54" s="295"/>
      <c r="KLT54" s="295"/>
      <c r="KLU54" s="153"/>
      <c r="KLV54" s="153"/>
      <c r="KLW54" s="151"/>
      <c r="KLX54" s="153"/>
      <c r="KLZ54" s="267"/>
      <c r="KMA54" s="267"/>
      <c r="KMB54" s="260"/>
      <c r="KMC54" s="297"/>
      <c r="KMD54" s="297"/>
      <c r="KME54" s="297"/>
      <c r="KMF54" s="261"/>
      <c r="KMG54" s="261"/>
      <c r="KMH54" s="261"/>
      <c r="KMI54" s="262"/>
      <c r="KMJ54" s="262"/>
      <c r="KMK54" s="261"/>
      <c r="KML54" s="263"/>
      <c r="KMM54" s="264"/>
      <c r="KMN54" s="295"/>
      <c r="KMO54" s="295"/>
      <c r="KMP54" s="295"/>
      <c r="KMQ54" s="295"/>
      <c r="KMR54" s="295"/>
      <c r="KMS54" s="295"/>
      <c r="KMT54" s="153"/>
      <c r="KMU54" s="153"/>
      <c r="KMV54" s="151"/>
      <c r="KMW54" s="153"/>
      <c r="KMY54" s="267"/>
      <c r="KMZ54" s="267"/>
      <c r="KNA54" s="260"/>
      <c r="KNB54" s="297"/>
      <c r="KNC54" s="297"/>
      <c r="KND54" s="297"/>
      <c r="KNE54" s="261"/>
      <c r="KNF54" s="261"/>
      <c r="KNG54" s="261"/>
      <c r="KNH54" s="262"/>
      <c r="KNI54" s="262"/>
      <c r="KNJ54" s="261"/>
      <c r="KNK54" s="263"/>
      <c r="KNL54" s="264"/>
      <c r="KNM54" s="295"/>
      <c r="KNN54" s="295"/>
      <c r="KNO54" s="295"/>
      <c r="KNP54" s="295"/>
      <c r="KNQ54" s="295"/>
      <c r="KNR54" s="295"/>
      <c r="KNS54" s="153"/>
      <c r="KNT54" s="153"/>
      <c r="KNU54" s="151"/>
      <c r="KNV54" s="153"/>
      <c r="KNX54" s="267"/>
      <c r="KNY54" s="267"/>
      <c r="KNZ54" s="260"/>
      <c r="KOA54" s="297"/>
      <c r="KOB54" s="297"/>
      <c r="KOC54" s="297"/>
      <c r="KOD54" s="261"/>
      <c r="KOE54" s="261"/>
      <c r="KOF54" s="261"/>
      <c r="KOG54" s="262"/>
      <c r="KOH54" s="262"/>
      <c r="KOI54" s="261"/>
      <c r="KOJ54" s="263"/>
      <c r="KOK54" s="264"/>
      <c r="KOL54" s="295"/>
      <c r="KOM54" s="295"/>
      <c r="KON54" s="295"/>
      <c r="KOO54" s="295"/>
      <c r="KOP54" s="295"/>
      <c r="KOQ54" s="295"/>
      <c r="KOR54" s="153"/>
      <c r="KOS54" s="153"/>
      <c r="KOT54" s="151"/>
      <c r="KOU54" s="153"/>
      <c r="KOW54" s="267"/>
      <c r="KOX54" s="267"/>
      <c r="KOY54" s="260"/>
      <c r="KOZ54" s="297"/>
      <c r="KPA54" s="297"/>
      <c r="KPB54" s="297"/>
      <c r="KPC54" s="261"/>
      <c r="KPD54" s="261"/>
      <c r="KPE54" s="261"/>
      <c r="KPF54" s="262"/>
      <c r="KPG54" s="262"/>
      <c r="KPH54" s="261"/>
      <c r="KPI54" s="263"/>
      <c r="KPJ54" s="264"/>
      <c r="KPK54" s="295"/>
      <c r="KPL54" s="295"/>
      <c r="KPM54" s="295"/>
      <c r="KPN54" s="295"/>
      <c r="KPO54" s="295"/>
      <c r="KPP54" s="295"/>
      <c r="KPQ54" s="153"/>
      <c r="KPR54" s="153"/>
      <c r="KPS54" s="151"/>
      <c r="KPT54" s="153"/>
      <c r="KPV54" s="267"/>
      <c r="KPW54" s="267"/>
      <c r="KPX54" s="260"/>
      <c r="KPY54" s="297"/>
      <c r="KPZ54" s="297"/>
      <c r="KQA54" s="297"/>
      <c r="KQB54" s="261"/>
      <c r="KQC54" s="261"/>
      <c r="KQD54" s="261"/>
      <c r="KQE54" s="262"/>
      <c r="KQF54" s="262"/>
      <c r="KQG54" s="261"/>
      <c r="KQH54" s="263"/>
      <c r="KQI54" s="264"/>
      <c r="KQJ54" s="295"/>
      <c r="KQK54" s="295"/>
      <c r="KQL54" s="295"/>
      <c r="KQM54" s="295"/>
      <c r="KQN54" s="295"/>
      <c r="KQO54" s="295"/>
      <c r="KQP54" s="153"/>
      <c r="KQQ54" s="153"/>
      <c r="KQR54" s="151"/>
      <c r="KQS54" s="153"/>
      <c r="KQU54" s="267"/>
      <c r="KQV54" s="267"/>
      <c r="KQW54" s="260"/>
      <c r="KQX54" s="297"/>
      <c r="KQY54" s="297"/>
      <c r="KQZ54" s="297"/>
      <c r="KRA54" s="261"/>
      <c r="KRB54" s="261"/>
      <c r="KRC54" s="261"/>
      <c r="KRD54" s="262"/>
      <c r="KRE54" s="262"/>
      <c r="KRF54" s="261"/>
      <c r="KRG54" s="263"/>
      <c r="KRH54" s="264"/>
      <c r="KRI54" s="295"/>
      <c r="KRJ54" s="295"/>
      <c r="KRK54" s="295"/>
      <c r="KRL54" s="295"/>
      <c r="KRM54" s="295"/>
      <c r="KRN54" s="295"/>
      <c r="KRO54" s="153"/>
      <c r="KRP54" s="153"/>
      <c r="KRQ54" s="151"/>
      <c r="KRR54" s="153"/>
      <c r="KRT54" s="267"/>
      <c r="KRU54" s="267"/>
      <c r="KRV54" s="260"/>
      <c r="KRW54" s="297"/>
      <c r="KRX54" s="297"/>
      <c r="KRY54" s="297"/>
      <c r="KRZ54" s="261"/>
      <c r="KSA54" s="261"/>
      <c r="KSB54" s="261"/>
      <c r="KSC54" s="262"/>
      <c r="KSD54" s="262"/>
      <c r="KSE54" s="261"/>
      <c r="KSF54" s="263"/>
      <c r="KSG54" s="264"/>
      <c r="KSH54" s="295"/>
      <c r="KSI54" s="295"/>
      <c r="KSJ54" s="295"/>
      <c r="KSK54" s="295"/>
      <c r="KSL54" s="295"/>
      <c r="KSM54" s="295"/>
      <c r="KSN54" s="153"/>
      <c r="KSO54" s="153"/>
      <c r="KSP54" s="151"/>
      <c r="KSQ54" s="153"/>
      <c r="KSS54" s="267"/>
      <c r="KST54" s="267"/>
      <c r="KSU54" s="260"/>
      <c r="KSV54" s="297"/>
      <c r="KSW54" s="297"/>
      <c r="KSX54" s="297"/>
      <c r="KSY54" s="261"/>
      <c r="KSZ54" s="261"/>
      <c r="KTA54" s="261"/>
      <c r="KTB54" s="262"/>
      <c r="KTC54" s="262"/>
      <c r="KTD54" s="261"/>
      <c r="KTE54" s="263"/>
      <c r="KTF54" s="264"/>
      <c r="KTG54" s="295"/>
      <c r="KTH54" s="295"/>
      <c r="KTI54" s="295"/>
      <c r="KTJ54" s="295"/>
      <c r="KTK54" s="295"/>
      <c r="KTL54" s="295"/>
      <c r="KTM54" s="153"/>
      <c r="KTN54" s="153"/>
      <c r="KTO54" s="151"/>
      <c r="KTP54" s="153"/>
      <c r="KTR54" s="267"/>
      <c r="KTS54" s="267"/>
      <c r="KTT54" s="260"/>
      <c r="KTU54" s="297"/>
      <c r="KTV54" s="297"/>
      <c r="KTW54" s="297"/>
      <c r="KTX54" s="261"/>
      <c r="KTY54" s="261"/>
      <c r="KTZ54" s="261"/>
      <c r="KUA54" s="262"/>
      <c r="KUB54" s="262"/>
      <c r="KUC54" s="261"/>
      <c r="KUD54" s="263"/>
      <c r="KUE54" s="264"/>
      <c r="KUF54" s="295"/>
      <c r="KUG54" s="295"/>
      <c r="KUH54" s="295"/>
      <c r="KUI54" s="295"/>
      <c r="KUJ54" s="295"/>
      <c r="KUK54" s="295"/>
      <c r="KUL54" s="153"/>
      <c r="KUM54" s="153"/>
      <c r="KUN54" s="151"/>
      <c r="KUO54" s="153"/>
      <c r="KUQ54" s="267"/>
      <c r="KUR54" s="267"/>
      <c r="KUS54" s="260"/>
      <c r="KUT54" s="297"/>
      <c r="KUU54" s="297"/>
      <c r="KUV54" s="297"/>
      <c r="KUW54" s="261"/>
      <c r="KUX54" s="261"/>
      <c r="KUY54" s="261"/>
      <c r="KUZ54" s="262"/>
      <c r="KVA54" s="262"/>
      <c r="KVB54" s="261"/>
      <c r="KVC54" s="263"/>
      <c r="KVD54" s="264"/>
      <c r="KVE54" s="295"/>
      <c r="KVF54" s="295"/>
      <c r="KVG54" s="295"/>
      <c r="KVH54" s="295"/>
      <c r="KVI54" s="295"/>
      <c r="KVJ54" s="295"/>
      <c r="KVK54" s="153"/>
      <c r="KVL54" s="153"/>
      <c r="KVM54" s="151"/>
      <c r="KVN54" s="153"/>
      <c r="KVP54" s="267"/>
      <c r="KVQ54" s="267"/>
      <c r="KVR54" s="260"/>
      <c r="KVS54" s="297"/>
      <c r="KVT54" s="297"/>
      <c r="KVU54" s="297"/>
      <c r="KVV54" s="261"/>
      <c r="KVW54" s="261"/>
      <c r="KVX54" s="261"/>
      <c r="KVY54" s="262"/>
      <c r="KVZ54" s="262"/>
      <c r="KWA54" s="261"/>
      <c r="KWB54" s="263"/>
      <c r="KWC54" s="264"/>
      <c r="KWD54" s="295"/>
      <c r="KWE54" s="295"/>
      <c r="KWF54" s="295"/>
      <c r="KWG54" s="295"/>
      <c r="KWH54" s="295"/>
      <c r="KWI54" s="295"/>
      <c r="KWJ54" s="153"/>
      <c r="KWK54" s="153"/>
      <c r="KWL54" s="151"/>
      <c r="KWM54" s="153"/>
      <c r="KWO54" s="267"/>
      <c r="KWP54" s="267"/>
      <c r="KWQ54" s="260"/>
      <c r="KWR54" s="297"/>
      <c r="KWS54" s="297"/>
      <c r="KWT54" s="297"/>
      <c r="KWU54" s="261"/>
      <c r="KWV54" s="261"/>
      <c r="KWW54" s="261"/>
      <c r="KWX54" s="262"/>
      <c r="KWY54" s="262"/>
      <c r="KWZ54" s="261"/>
      <c r="KXA54" s="263"/>
      <c r="KXB54" s="264"/>
      <c r="KXC54" s="295"/>
      <c r="KXD54" s="295"/>
      <c r="KXE54" s="295"/>
      <c r="KXF54" s="295"/>
      <c r="KXG54" s="295"/>
      <c r="KXH54" s="295"/>
      <c r="KXI54" s="153"/>
      <c r="KXJ54" s="153"/>
      <c r="KXK54" s="151"/>
      <c r="KXL54" s="153"/>
      <c r="KXN54" s="267"/>
      <c r="KXO54" s="267"/>
      <c r="KXP54" s="260"/>
      <c r="KXQ54" s="297"/>
      <c r="KXR54" s="297"/>
      <c r="KXS54" s="297"/>
      <c r="KXT54" s="261"/>
      <c r="KXU54" s="261"/>
      <c r="KXV54" s="261"/>
      <c r="KXW54" s="262"/>
      <c r="KXX54" s="262"/>
      <c r="KXY54" s="261"/>
      <c r="KXZ54" s="263"/>
      <c r="KYA54" s="264"/>
      <c r="KYB54" s="295"/>
      <c r="KYC54" s="295"/>
      <c r="KYD54" s="295"/>
      <c r="KYE54" s="295"/>
      <c r="KYF54" s="295"/>
      <c r="KYG54" s="295"/>
      <c r="KYH54" s="153"/>
      <c r="KYI54" s="153"/>
      <c r="KYJ54" s="151"/>
      <c r="KYK54" s="153"/>
      <c r="KYM54" s="267"/>
      <c r="KYN54" s="267"/>
      <c r="KYO54" s="260"/>
      <c r="KYP54" s="297"/>
      <c r="KYQ54" s="297"/>
      <c r="KYR54" s="297"/>
      <c r="KYS54" s="261"/>
      <c r="KYT54" s="261"/>
      <c r="KYU54" s="261"/>
      <c r="KYV54" s="262"/>
      <c r="KYW54" s="262"/>
      <c r="KYX54" s="261"/>
      <c r="KYY54" s="263"/>
      <c r="KYZ54" s="264"/>
      <c r="KZA54" s="295"/>
      <c r="KZB54" s="295"/>
      <c r="KZC54" s="295"/>
      <c r="KZD54" s="295"/>
      <c r="KZE54" s="295"/>
      <c r="KZF54" s="295"/>
      <c r="KZG54" s="153"/>
      <c r="KZH54" s="153"/>
      <c r="KZI54" s="151"/>
      <c r="KZJ54" s="153"/>
      <c r="KZL54" s="267"/>
      <c r="KZM54" s="267"/>
      <c r="KZN54" s="260"/>
      <c r="KZO54" s="297"/>
      <c r="KZP54" s="297"/>
      <c r="KZQ54" s="297"/>
      <c r="KZR54" s="261"/>
      <c r="KZS54" s="261"/>
      <c r="KZT54" s="261"/>
      <c r="KZU54" s="262"/>
      <c r="KZV54" s="262"/>
      <c r="KZW54" s="261"/>
      <c r="KZX54" s="263"/>
      <c r="KZY54" s="264"/>
      <c r="KZZ54" s="295"/>
      <c r="LAA54" s="295"/>
      <c r="LAB54" s="295"/>
      <c r="LAC54" s="295"/>
      <c r="LAD54" s="295"/>
      <c r="LAE54" s="295"/>
      <c r="LAF54" s="153"/>
      <c r="LAG54" s="153"/>
      <c r="LAH54" s="151"/>
      <c r="LAI54" s="153"/>
      <c r="LAK54" s="267"/>
      <c r="LAL54" s="267"/>
      <c r="LAM54" s="260"/>
      <c r="LAN54" s="297"/>
      <c r="LAO54" s="297"/>
      <c r="LAP54" s="297"/>
      <c r="LAQ54" s="261"/>
      <c r="LAR54" s="261"/>
      <c r="LAS54" s="261"/>
      <c r="LAT54" s="262"/>
      <c r="LAU54" s="262"/>
      <c r="LAV54" s="261"/>
      <c r="LAW54" s="263"/>
      <c r="LAX54" s="264"/>
      <c r="LAY54" s="295"/>
      <c r="LAZ54" s="295"/>
      <c r="LBA54" s="295"/>
      <c r="LBB54" s="295"/>
      <c r="LBC54" s="295"/>
      <c r="LBD54" s="295"/>
      <c r="LBE54" s="153"/>
      <c r="LBF54" s="153"/>
      <c r="LBG54" s="151"/>
      <c r="LBH54" s="153"/>
      <c r="LBJ54" s="267"/>
      <c r="LBK54" s="267"/>
      <c r="LBL54" s="260"/>
      <c r="LBM54" s="297"/>
      <c r="LBN54" s="297"/>
      <c r="LBO54" s="297"/>
      <c r="LBP54" s="261"/>
      <c r="LBQ54" s="261"/>
      <c r="LBR54" s="261"/>
      <c r="LBS54" s="262"/>
      <c r="LBT54" s="262"/>
      <c r="LBU54" s="261"/>
      <c r="LBV54" s="263"/>
      <c r="LBW54" s="264"/>
      <c r="LBX54" s="295"/>
      <c r="LBY54" s="295"/>
      <c r="LBZ54" s="295"/>
      <c r="LCA54" s="295"/>
      <c r="LCB54" s="295"/>
      <c r="LCC54" s="295"/>
      <c r="LCD54" s="153"/>
      <c r="LCE54" s="153"/>
      <c r="LCF54" s="151"/>
      <c r="LCG54" s="153"/>
      <c r="LCI54" s="267"/>
      <c r="LCJ54" s="267"/>
      <c r="LCK54" s="260"/>
      <c r="LCL54" s="297"/>
      <c r="LCM54" s="297"/>
      <c r="LCN54" s="297"/>
      <c r="LCO54" s="261"/>
      <c r="LCP54" s="261"/>
      <c r="LCQ54" s="261"/>
      <c r="LCR54" s="262"/>
      <c r="LCS54" s="262"/>
      <c r="LCT54" s="261"/>
      <c r="LCU54" s="263"/>
      <c r="LCV54" s="264"/>
      <c r="LCW54" s="295"/>
      <c r="LCX54" s="295"/>
      <c r="LCY54" s="295"/>
      <c r="LCZ54" s="295"/>
      <c r="LDA54" s="295"/>
      <c r="LDB54" s="295"/>
      <c r="LDC54" s="153"/>
      <c r="LDD54" s="153"/>
      <c r="LDE54" s="151"/>
      <c r="LDF54" s="153"/>
      <c r="LDH54" s="267"/>
      <c r="LDI54" s="267"/>
      <c r="LDJ54" s="260"/>
      <c r="LDK54" s="297"/>
      <c r="LDL54" s="297"/>
      <c r="LDM54" s="297"/>
      <c r="LDN54" s="261"/>
      <c r="LDO54" s="261"/>
      <c r="LDP54" s="261"/>
      <c r="LDQ54" s="262"/>
      <c r="LDR54" s="262"/>
      <c r="LDS54" s="261"/>
      <c r="LDT54" s="263"/>
      <c r="LDU54" s="264"/>
      <c r="LDV54" s="295"/>
      <c r="LDW54" s="295"/>
      <c r="LDX54" s="295"/>
      <c r="LDY54" s="295"/>
      <c r="LDZ54" s="295"/>
      <c r="LEA54" s="295"/>
      <c r="LEB54" s="153"/>
      <c r="LEC54" s="153"/>
      <c r="LED54" s="151"/>
      <c r="LEE54" s="153"/>
      <c r="LEG54" s="267"/>
      <c r="LEH54" s="267"/>
      <c r="LEI54" s="260"/>
      <c r="LEJ54" s="297"/>
      <c r="LEK54" s="297"/>
      <c r="LEL54" s="297"/>
      <c r="LEM54" s="261"/>
      <c r="LEN54" s="261"/>
      <c r="LEO54" s="261"/>
      <c r="LEP54" s="262"/>
      <c r="LEQ54" s="262"/>
      <c r="LER54" s="261"/>
      <c r="LES54" s="263"/>
      <c r="LET54" s="264"/>
      <c r="LEU54" s="295"/>
      <c r="LEV54" s="295"/>
      <c r="LEW54" s="295"/>
      <c r="LEX54" s="295"/>
      <c r="LEY54" s="295"/>
      <c r="LEZ54" s="295"/>
      <c r="LFA54" s="153"/>
      <c r="LFB54" s="153"/>
      <c r="LFC54" s="151"/>
      <c r="LFD54" s="153"/>
      <c r="LFF54" s="267"/>
      <c r="LFG54" s="267"/>
      <c r="LFH54" s="260"/>
      <c r="LFI54" s="297"/>
      <c r="LFJ54" s="297"/>
      <c r="LFK54" s="297"/>
      <c r="LFL54" s="261"/>
      <c r="LFM54" s="261"/>
      <c r="LFN54" s="261"/>
      <c r="LFO54" s="262"/>
      <c r="LFP54" s="262"/>
      <c r="LFQ54" s="261"/>
      <c r="LFR54" s="263"/>
      <c r="LFS54" s="264"/>
      <c r="LFT54" s="295"/>
      <c r="LFU54" s="295"/>
      <c r="LFV54" s="295"/>
      <c r="LFW54" s="295"/>
      <c r="LFX54" s="295"/>
      <c r="LFY54" s="295"/>
      <c r="LFZ54" s="153"/>
      <c r="LGA54" s="153"/>
      <c r="LGB54" s="151"/>
      <c r="LGC54" s="153"/>
      <c r="LGE54" s="267"/>
      <c r="LGF54" s="267"/>
      <c r="LGG54" s="260"/>
      <c r="LGH54" s="297"/>
      <c r="LGI54" s="297"/>
      <c r="LGJ54" s="297"/>
      <c r="LGK54" s="261"/>
      <c r="LGL54" s="261"/>
      <c r="LGM54" s="261"/>
      <c r="LGN54" s="262"/>
      <c r="LGO54" s="262"/>
      <c r="LGP54" s="261"/>
      <c r="LGQ54" s="263"/>
      <c r="LGR54" s="264"/>
      <c r="LGS54" s="295"/>
      <c r="LGT54" s="295"/>
      <c r="LGU54" s="295"/>
      <c r="LGV54" s="295"/>
      <c r="LGW54" s="295"/>
      <c r="LGX54" s="295"/>
      <c r="LGY54" s="153"/>
      <c r="LGZ54" s="153"/>
      <c r="LHA54" s="151"/>
      <c r="LHB54" s="153"/>
      <c r="LHD54" s="267"/>
      <c r="LHE54" s="267"/>
      <c r="LHF54" s="260"/>
      <c r="LHG54" s="297"/>
      <c r="LHH54" s="297"/>
      <c r="LHI54" s="297"/>
      <c r="LHJ54" s="261"/>
      <c r="LHK54" s="261"/>
      <c r="LHL54" s="261"/>
      <c r="LHM54" s="262"/>
      <c r="LHN54" s="262"/>
      <c r="LHO54" s="261"/>
      <c r="LHP54" s="263"/>
      <c r="LHQ54" s="264"/>
      <c r="LHR54" s="295"/>
      <c r="LHS54" s="295"/>
      <c r="LHT54" s="295"/>
      <c r="LHU54" s="295"/>
      <c r="LHV54" s="295"/>
      <c r="LHW54" s="295"/>
      <c r="LHX54" s="153"/>
      <c r="LHY54" s="153"/>
      <c r="LHZ54" s="151"/>
      <c r="LIA54" s="153"/>
      <c r="LIC54" s="267"/>
      <c r="LID54" s="267"/>
      <c r="LIE54" s="260"/>
      <c r="LIF54" s="297"/>
      <c r="LIG54" s="297"/>
      <c r="LIH54" s="297"/>
      <c r="LII54" s="261"/>
      <c r="LIJ54" s="261"/>
      <c r="LIK54" s="261"/>
      <c r="LIL54" s="262"/>
      <c r="LIM54" s="262"/>
      <c r="LIN54" s="261"/>
      <c r="LIO54" s="263"/>
      <c r="LIP54" s="264"/>
      <c r="LIQ54" s="295"/>
      <c r="LIR54" s="295"/>
      <c r="LIS54" s="295"/>
      <c r="LIT54" s="295"/>
      <c r="LIU54" s="295"/>
      <c r="LIV54" s="295"/>
      <c r="LIW54" s="153"/>
      <c r="LIX54" s="153"/>
      <c r="LIY54" s="151"/>
      <c r="LIZ54" s="153"/>
      <c r="LJB54" s="267"/>
      <c r="LJC54" s="267"/>
      <c r="LJD54" s="260"/>
      <c r="LJE54" s="297"/>
      <c r="LJF54" s="297"/>
      <c r="LJG54" s="297"/>
      <c r="LJH54" s="261"/>
      <c r="LJI54" s="261"/>
      <c r="LJJ54" s="261"/>
      <c r="LJK54" s="262"/>
      <c r="LJL54" s="262"/>
      <c r="LJM54" s="261"/>
      <c r="LJN54" s="263"/>
      <c r="LJO54" s="264"/>
      <c r="LJP54" s="295"/>
      <c r="LJQ54" s="295"/>
      <c r="LJR54" s="295"/>
      <c r="LJS54" s="295"/>
      <c r="LJT54" s="295"/>
      <c r="LJU54" s="295"/>
      <c r="LJV54" s="153"/>
      <c r="LJW54" s="153"/>
      <c r="LJX54" s="151"/>
      <c r="LJY54" s="153"/>
      <c r="LKA54" s="267"/>
      <c r="LKB54" s="267"/>
      <c r="LKC54" s="260"/>
      <c r="LKD54" s="297"/>
      <c r="LKE54" s="297"/>
      <c r="LKF54" s="297"/>
      <c r="LKG54" s="261"/>
      <c r="LKH54" s="261"/>
      <c r="LKI54" s="261"/>
      <c r="LKJ54" s="262"/>
      <c r="LKK54" s="262"/>
      <c r="LKL54" s="261"/>
      <c r="LKM54" s="263"/>
      <c r="LKN54" s="264"/>
      <c r="LKO54" s="295"/>
      <c r="LKP54" s="295"/>
      <c r="LKQ54" s="295"/>
      <c r="LKR54" s="295"/>
      <c r="LKS54" s="295"/>
      <c r="LKT54" s="295"/>
      <c r="LKU54" s="153"/>
      <c r="LKV54" s="153"/>
      <c r="LKW54" s="151"/>
      <c r="LKX54" s="153"/>
      <c r="LKZ54" s="267"/>
      <c r="LLA54" s="267"/>
      <c r="LLB54" s="260"/>
      <c r="LLC54" s="297"/>
      <c r="LLD54" s="297"/>
      <c r="LLE54" s="297"/>
      <c r="LLF54" s="261"/>
      <c r="LLG54" s="261"/>
      <c r="LLH54" s="261"/>
      <c r="LLI54" s="262"/>
      <c r="LLJ54" s="262"/>
      <c r="LLK54" s="261"/>
      <c r="LLL54" s="263"/>
      <c r="LLM54" s="264"/>
      <c r="LLN54" s="295"/>
      <c r="LLO54" s="295"/>
      <c r="LLP54" s="295"/>
      <c r="LLQ54" s="295"/>
      <c r="LLR54" s="295"/>
      <c r="LLS54" s="295"/>
      <c r="LLT54" s="153"/>
      <c r="LLU54" s="153"/>
      <c r="LLV54" s="151"/>
      <c r="LLW54" s="153"/>
      <c r="LLY54" s="267"/>
      <c r="LLZ54" s="267"/>
      <c r="LMA54" s="260"/>
      <c r="LMB54" s="297"/>
      <c r="LMC54" s="297"/>
      <c r="LMD54" s="297"/>
      <c r="LME54" s="261"/>
      <c r="LMF54" s="261"/>
      <c r="LMG54" s="261"/>
      <c r="LMH54" s="262"/>
      <c r="LMI54" s="262"/>
      <c r="LMJ54" s="261"/>
      <c r="LMK54" s="263"/>
      <c r="LML54" s="264"/>
      <c r="LMM54" s="295"/>
      <c r="LMN54" s="295"/>
      <c r="LMO54" s="295"/>
      <c r="LMP54" s="295"/>
      <c r="LMQ54" s="295"/>
      <c r="LMR54" s="295"/>
      <c r="LMS54" s="153"/>
      <c r="LMT54" s="153"/>
      <c r="LMU54" s="151"/>
      <c r="LMV54" s="153"/>
      <c r="LMX54" s="267"/>
      <c r="LMY54" s="267"/>
      <c r="LMZ54" s="260"/>
      <c r="LNA54" s="297"/>
      <c r="LNB54" s="297"/>
      <c r="LNC54" s="297"/>
      <c r="LND54" s="261"/>
      <c r="LNE54" s="261"/>
      <c r="LNF54" s="261"/>
      <c r="LNG54" s="262"/>
      <c r="LNH54" s="262"/>
      <c r="LNI54" s="261"/>
      <c r="LNJ54" s="263"/>
      <c r="LNK54" s="264"/>
      <c r="LNL54" s="295"/>
      <c r="LNM54" s="295"/>
      <c r="LNN54" s="295"/>
      <c r="LNO54" s="295"/>
      <c r="LNP54" s="295"/>
      <c r="LNQ54" s="295"/>
      <c r="LNR54" s="153"/>
      <c r="LNS54" s="153"/>
      <c r="LNT54" s="151"/>
      <c r="LNU54" s="153"/>
      <c r="LNW54" s="267"/>
      <c r="LNX54" s="267"/>
      <c r="LNY54" s="260"/>
      <c r="LNZ54" s="297"/>
      <c r="LOA54" s="297"/>
      <c r="LOB54" s="297"/>
      <c r="LOC54" s="261"/>
      <c r="LOD54" s="261"/>
      <c r="LOE54" s="261"/>
      <c r="LOF54" s="262"/>
      <c r="LOG54" s="262"/>
      <c r="LOH54" s="261"/>
      <c r="LOI54" s="263"/>
      <c r="LOJ54" s="264"/>
      <c r="LOK54" s="295"/>
      <c r="LOL54" s="295"/>
      <c r="LOM54" s="295"/>
      <c r="LON54" s="295"/>
      <c r="LOO54" s="295"/>
      <c r="LOP54" s="295"/>
      <c r="LOQ54" s="153"/>
      <c r="LOR54" s="153"/>
      <c r="LOS54" s="151"/>
      <c r="LOT54" s="153"/>
      <c r="LOV54" s="267"/>
      <c r="LOW54" s="267"/>
      <c r="LOX54" s="260"/>
      <c r="LOY54" s="297"/>
      <c r="LOZ54" s="297"/>
      <c r="LPA54" s="297"/>
      <c r="LPB54" s="261"/>
      <c r="LPC54" s="261"/>
      <c r="LPD54" s="261"/>
      <c r="LPE54" s="262"/>
      <c r="LPF54" s="262"/>
      <c r="LPG54" s="261"/>
      <c r="LPH54" s="263"/>
      <c r="LPI54" s="264"/>
      <c r="LPJ54" s="295"/>
      <c r="LPK54" s="295"/>
      <c r="LPL54" s="295"/>
      <c r="LPM54" s="295"/>
      <c r="LPN54" s="295"/>
      <c r="LPO54" s="295"/>
      <c r="LPP54" s="153"/>
      <c r="LPQ54" s="153"/>
      <c r="LPR54" s="151"/>
      <c r="LPS54" s="153"/>
      <c r="LPU54" s="267"/>
      <c r="LPV54" s="267"/>
      <c r="LPW54" s="260"/>
      <c r="LPX54" s="297"/>
      <c r="LPY54" s="297"/>
      <c r="LPZ54" s="297"/>
      <c r="LQA54" s="261"/>
      <c r="LQB54" s="261"/>
      <c r="LQC54" s="261"/>
      <c r="LQD54" s="262"/>
      <c r="LQE54" s="262"/>
      <c r="LQF54" s="261"/>
      <c r="LQG54" s="263"/>
      <c r="LQH54" s="264"/>
      <c r="LQI54" s="295"/>
      <c r="LQJ54" s="295"/>
      <c r="LQK54" s="295"/>
      <c r="LQL54" s="295"/>
      <c r="LQM54" s="295"/>
      <c r="LQN54" s="295"/>
      <c r="LQO54" s="153"/>
      <c r="LQP54" s="153"/>
      <c r="LQQ54" s="151"/>
      <c r="LQR54" s="153"/>
      <c r="LQT54" s="267"/>
      <c r="LQU54" s="267"/>
      <c r="LQV54" s="260"/>
      <c r="LQW54" s="297"/>
      <c r="LQX54" s="297"/>
      <c r="LQY54" s="297"/>
      <c r="LQZ54" s="261"/>
      <c r="LRA54" s="261"/>
      <c r="LRB54" s="261"/>
      <c r="LRC54" s="262"/>
      <c r="LRD54" s="262"/>
      <c r="LRE54" s="261"/>
      <c r="LRF54" s="263"/>
      <c r="LRG54" s="264"/>
      <c r="LRH54" s="295"/>
      <c r="LRI54" s="295"/>
      <c r="LRJ54" s="295"/>
      <c r="LRK54" s="295"/>
      <c r="LRL54" s="295"/>
      <c r="LRM54" s="295"/>
      <c r="LRN54" s="153"/>
      <c r="LRO54" s="153"/>
      <c r="LRP54" s="151"/>
      <c r="LRQ54" s="153"/>
      <c r="LRS54" s="267"/>
      <c r="LRT54" s="267"/>
      <c r="LRU54" s="260"/>
      <c r="LRV54" s="297"/>
      <c r="LRW54" s="297"/>
      <c r="LRX54" s="297"/>
      <c r="LRY54" s="261"/>
      <c r="LRZ54" s="261"/>
      <c r="LSA54" s="261"/>
      <c r="LSB54" s="262"/>
      <c r="LSC54" s="262"/>
      <c r="LSD54" s="261"/>
      <c r="LSE54" s="263"/>
      <c r="LSF54" s="264"/>
      <c r="LSG54" s="295"/>
      <c r="LSH54" s="295"/>
      <c r="LSI54" s="295"/>
      <c r="LSJ54" s="295"/>
      <c r="LSK54" s="295"/>
      <c r="LSL54" s="295"/>
      <c r="LSM54" s="153"/>
      <c r="LSN54" s="153"/>
      <c r="LSO54" s="151"/>
      <c r="LSP54" s="153"/>
      <c r="LSR54" s="267"/>
      <c r="LSS54" s="267"/>
      <c r="LST54" s="260"/>
      <c r="LSU54" s="297"/>
      <c r="LSV54" s="297"/>
      <c r="LSW54" s="297"/>
      <c r="LSX54" s="261"/>
      <c r="LSY54" s="261"/>
      <c r="LSZ54" s="261"/>
      <c r="LTA54" s="262"/>
      <c r="LTB54" s="262"/>
      <c r="LTC54" s="261"/>
      <c r="LTD54" s="263"/>
      <c r="LTE54" s="264"/>
      <c r="LTF54" s="295"/>
      <c r="LTG54" s="295"/>
      <c r="LTH54" s="295"/>
      <c r="LTI54" s="295"/>
      <c r="LTJ54" s="295"/>
      <c r="LTK54" s="295"/>
      <c r="LTL54" s="153"/>
      <c r="LTM54" s="153"/>
      <c r="LTN54" s="151"/>
      <c r="LTO54" s="153"/>
      <c r="LTQ54" s="267"/>
      <c r="LTR54" s="267"/>
      <c r="LTS54" s="260"/>
      <c r="LTT54" s="297"/>
      <c r="LTU54" s="297"/>
      <c r="LTV54" s="297"/>
      <c r="LTW54" s="261"/>
      <c r="LTX54" s="261"/>
      <c r="LTY54" s="261"/>
      <c r="LTZ54" s="262"/>
      <c r="LUA54" s="262"/>
      <c r="LUB54" s="261"/>
      <c r="LUC54" s="263"/>
      <c r="LUD54" s="264"/>
      <c r="LUE54" s="295"/>
      <c r="LUF54" s="295"/>
      <c r="LUG54" s="295"/>
      <c r="LUH54" s="295"/>
      <c r="LUI54" s="295"/>
      <c r="LUJ54" s="295"/>
      <c r="LUK54" s="153"/>
      <c r="LUL54" s="153"/>
      <c r="LUM54" s="151"/>
      <c r="LUN54" s="153"/>
      <c r="LUP54" s="267"/>
      <c r="LUQ54" s="267"/>
      <c r="LUR54" s="260"/>
      <c r="LUS54" s="297"/>
      <c r="LUT54" s="297"/>
      <c r="LUU54" s="297"/>
      <c r="LUV54" s="261"/>
      <c r="LUW54" s="261"/>
      <c r="LUX54" s="261"/>
      <c r="LUY54" s="262"/>
      <c r="LUZ54" s="262"/>
      <c r="LVA54" s="261"/>
      <c r="LVB54" s="263"/>
      <c r="LVC54" s="264"/>
      <c r="LVD54" s="295"/>
      <c r="LVE54" s="295"/>
      <c r="LVF54" s="295"/>
      <c r="LVG54" s="295"/>
      <c r="LVH54" s="295"/>
      <c r="LVI54" s="295"/>
      <c r="LVJ54" s="153"/>
      <c r="LVK54" s="153"/>
      <c r="LVL54" s="151"/>
      <c r="LVM54" s="153"/>
      <c r="LVO54" s="267"/>
      <c r="LVP54" s="267"/>
      <c r="LVQ54" s="260"/>
      <c r="LVR54" s="297"/>
      <c r="LVS54" s="297"/>
      <c r="LVT54" s="297"/>
      <c r="LVU54" s="261"/>
      <c r="LVV54" s="261"/>
      <c r="LVW54" s="261"/>
      <c r="LVX54" s="262"/>
      <c r="LVY54" s="262"/>
      <c r="LVZ54" s="261"/>
      <c r="LWA54" s="263"/>
      <c r="LWB54" s="264"/>
      <c r="LWC54" s="295"/>
      <c r="LWD54" s="295"/>
      <c r="LWE54" s="295"/>
      <c r="LWF54" s="295"/>
      <c r="LWG54" s="295"/>
      <c r="LWH54" s="295"/>
      <c r="LWI54" s="153"/>
      <c r="LWJ54" s="153"/>
      <c r="LWK54" s="151"/>
      <c r="LWL54" s="153"/>
      <c r="LWN54" s="267"/>
      <c r="LWO54" s="267"/>
      <c r="LWP54" s="260"/>
      <c r="LWQ54" s="297"/>
      <c r="LWR54" s="297"/>
      <c r="LWS54" s="297"/>
      <c r="LWT54" s="261"/>
      <c r="LWU54" s="261"/>
      <c r="LWV54" s="261"/>
      <c r="LWW54" s="262"/>
      <c r="LWX54" s="262"/>
      <c r="LWY54" s="261"/>
      <c r="LWZ54" s="263"/>
      <c r="LXA54" s="264"/>
      <c r="LXB54" s="295"/>
      <c r="LXC54" s="295"/>
      <c r="LXD54" s="295"/>
      <c r="LXE54" s="295"/>
      <c r="LXF54" s="295"/>
      <c r="LXG54" s="295"/>
      <c r="LXH54" s="153"/>
      <c r="LXI54" s="153"/>
      <c r="LXJ54" s="151"/>
      <c r="LXK54" s="153"/>
      <c r="LXM54" s="267"/>
      <c r="LXN54" s="267"/>
      <c r="LXO54" s="260"/>
      <c r="LXP54" s="297"/>
      <c r="LXQ54" s="297"/>
      <c r="LXR54" s="297"/>
      <c r="LXS54" s="261"/>
      <c r="LXT54" s="261"/>
      <c r="LXU54" s="261"/>
      <c r="LXV54" s="262"/>
      <c r="LXW54" s="262"/>
      <c r="LXX54" s="261"/>
      <c r="LXY54" s="263"/>
      <c r="LXZ54" s="264"/>
      <c r="LYA54" s="295"/>
      <c r="LYB54" s="295"/>
      <c r="LYC54" s="295"/>
      <c r="LYD54" s="295"/>
      <c r="LYE54" s="295"/>
      <c r="LYF54" s="295"/>
      <c r="LYG54" s="153"/>
      <c r="LYH54" s="153"/>
      <c r="LYI54" s="151"/>
      <c r="LYJ54" s="153"/>
      <c r="LYL54" s="267"/>
      <c r="LYM54" s="267"/>
      <c r="LYN54" s="260"/>
      <c r="LYO54" s="297"/>
      <c r="LYP54" s="297"/>
      <c r="LYQ54" s="297"/>
      <c r="LYR54" s="261"/>
      <c r="LYS54" s="261"/>
      <c r="LYT54" s="261"/>
      <c r="LYU54" s="262"/>
      <c r="LYV54" s="262"/>
      <c r="LYW54" s="261"/>
      <c r="LYX54" s="263"/>
      <c r="LYY54" s="264"/>
      <c r="LYZ54" s="295"/>
      <c r="LZA54" s="295"/>
      <c r="LZB54" s="295"/>
      <c r="LZC54" s="295"/>
      <c r="LZD54" s="295"/>
      <c r="LZE54" s="295"/>
      <c r="LZF54" s="153"/>
      <c r="LZG54" s="153"/>
      <c r="LZH54" s="151"/>
      <c r="LZI54" s="153"/>
      <c r="LZK54" s="267"/>
      <c r="LZL54" s="267"/>
      <c r="LZM54" s="260"/>
      <c r="LZN54" s="297"/>
      <c r="LZO54" s="297"/>
      <c r="LZP54" s="297"/>
      <c r="LZQ54" s="261"/>
      <c r="LZR54" s="261"/>
      <c r="LZS54" s="261"/>
      <c r="LZT54" s="262"/>
      <c r="LZU54" s="262"/>
      <c r="LZV54" s="261"/>
      <c r="LZW54" s="263"/>
      <c r="LZX54" s="264"/>
      <c r="LZY54" s="295"/>
      <c r="LZZ54" s="295"/>
      <c r="MAA54" s="295"/>
      <c r="MAB54" s="295"/>
      <c r="MAC54" s="295"/>
      <c r="MAD54" s="295"/>
      <c r="MAE54" s="153"/>
      <c r="MAF54" s="153"/>
      <c r="MAG54" s="151"/>
      <c r="MAH54" s="153"/>
      <c r="MAJ54" s="267"/>
      <c r="MAK54" s="267"/>
      <c r="MAL54" s="260"/>
      <c r="MAM54" s="297"/>
      <c r="MAN54" s="297"/>
      <c r="MAO54" s="297"/>
      <c r="MAP54" s="261"/>
      <c r="MAQ54" s="261"/>
      <c r="MAR54" s="261"/>
      <c r="MAS54" s="262"/>
      <c r="MAT54" s="262"/>
      <c r="MAU54" s="261"/>
      <c r="MAV54" s="263"/>
      <c r="MAW54" s="264"/>
      <c r="MAX54" s="295"/>
      <c r="MAY54" s="295"/>
      <c r="MAZ54" s="295"/>
      <c r="MBA54" s="295"/>
      <c r="MBB54" s="295"/>
      <c r="MBC54" s="295"/>
      <c r="MBD54" s="153"/>
      <c r="MBE54" s="153"/>
      <c r="MBF54" s="151"/>
      <c r="MBG54" s="153"/>
      <c r="MBI54" s="267"/>
      <c r="MBJ54" s="267"/>
      <c r="MBK54" s="260"/>
      <c r="MBL54" s="297"/>
      <c r="MBM54" s="297"/>
      <c r="MBN54" s="297"/>
      <c r="MBO54" s="261"/>
      <c r="MBP54" s="261"/>
      <c r="MBQ54" s="261"/>
      <c r="MBR54" s="262"/>
      <c r="MBS54" s="262"/>
      <c r="MBT54" s="261"/>
      <c r="MBU54" s="263"/>
      <c r="MBV54" s="264"/>
      <c r="MBW54" s="295"/>
      <c r="MBX54" s="295"/>
      <c r="MBY54" s="295"/>
      <c r="MBZ54" s="295"/>
      <c r="MCA54" s="295"/>
      <c r="MCB54" s="295"/>
      <c r="MCC54" s="153"/>
      <c r="MCD54" s="153"/>
      <c r="MCE54" s="151"/>
      <c r="MCF54" s="153"/>
      <c r="MCH54" s="267"/>
      <c r="MCI54" s="267"/>
      <c r="MCJ54" s="260"/>
      <c r="MCK54" s="297"/>
      <c r="MCL54" s="297"/>
      <c r="MCM54" s="297"/>
      <c r="MCN54" s="261"/>
      <c r="MCO54" s="261"/>
      <c r="MCP54" s="261"/>
      <c r="MCQ54" s="262"/>
      <c r="MCR54" s="262"/>
      <c r="MCS54" s="261"/>
      <c r="MCT54" s="263"/>
      <c r="MCU54" s="264"/>
      <c r="MCV54" s="295"/>
      <c r="MCW54" s="295"/>
      <c r="MCX54" s="295"/>
      <c r="MCY54" s="295"/>
      <c r="MCZ54" s="295"/>
      <c r="MDA54" s="295"/>
      <c r="MDB54" s="153"/>
      <c r="MDC54" s="153"/>
      <c r="MDD54" s="151"/>
      <c r="MDE54" s="153"/>
      <c r="MDG54" s="267"/>
      <c r="MDH54" s="267"/>
      <c r="MDI54" s="260"/>
      <c r="MDJ54" s="297"/>
      <c r="MDK54" s="297"/>
      <c r="MDL54" s="297"/>
      <c r="MDM54" s="261"/>
      <c r="MDN54" s="261"/>
      <c r="MDO54" s="261"/>
      <c r="MDP54" s="262"/>
      <c r="MDQ54" s="262"/>
      <c r="MDR54" s="261"/>
      <c r="MDS54" s="263"/>
      <c r="MDT54" s="264"/>
      <c r="MDU54" s="295"/>
      <c r="MDV54" s="295"/>
      <c r="MDW54" s="295"/>
      <c r="MDX54" s="295"/>
      <c r="MDY54" s="295"/>
      <c r="MDZ54" s="295"/>
      <c r="MEA54" s="153"/>
      <c r="MEB54" s="153"/>
      <c r="MEC54" s="151"/>
      <c r="MED54" s="153"/>
      <c r="MEF54" s="267"/>
      <c r="MEG54" s="267"/>
      <c r="MEH54" s="260"/>
      <c r="MEI54" s="297"/>
      <c r="MEJ54" s="297"/>
      <c r="MEK54" s="297"/>
      <c r="MEL54" s="261"/>
      <c r="MEM54" s="261"/>
      <c r="MEN54" s="261"/>
      <c r="MEO54" s="262"/>
      <c r="MEP54" s="262"/>
      <c r="MEQ54" s="261"/>
      <c r="MER54" s="263"/>
      <c r="MES54" s="264"/>
      <c r="MET54" s="295"/>
      <c r="MEU54" s="295"/>
      <c r="MEV54" s="295"/>
      <c r="MEW54" s="295"/>
      <c r="MEX54" s="295"/>
      <c r="MEY54" s="295"/>
      <c r="MEZ54" s="153"/>
      <c r="MFA54" s="153"/>
      <c r="MFB54" s="151"/>
      <c r="MFC54" s="153"/>
      <c r="MFE54" s="267"/>
      <c r="MFF54" s="267"/>
      <c r="MFG54" s="260"/>
      <c r="MFH54" s="297"/>
      <c r="MFI54" s="297"/>
      <c r="MFJ54" s="297"/>
      <c r="MFK54" s="261"/>
      <c r="MFL54" s="261"/>
      <c r="MFM54" s="261"/>
      <c r="MFN54" s="262"/>
      <c r="MFO54" s="262"/>
      <c r="MFP54" s="261"/>
      <c r="MFQ54" s="263"/>
      <c r="MFR54" s="264"/>
      <c r="MFS54" s="295"/>
      <c r="MFT54" s="295"/>
      <c r="MFU54" s="295"/>
      <c r="MFV54" s="295"/>
      <c r="MFW54" s="295"/>
      <c r="MFX54" s="295"/>
      <c r="MFY54" s="153"/>
      <c r="MFZ54" s="153"/>
      <c r="MGA54" s="151"/>
      <c r="MGB54" s="153"/>
      <c r="MGD54" s="267"/>
      <c r="MGE54" s="267"/>
      <c r="MGF54" s="260"/>
      <c r="MGG54" s="297"/>
      <c r="MGH54" s="297"/>
      <c r="MGI54" s="297"/>
      <c r="MGJ54" s="261"/>
      <c r="MGK54" s="261"/>
      <c r="MGL54" s="261"/>
      <c r="MGM54" s="262"/>
      <c r="MGN54" s="262"/>
      <c r="MGO54" s="261"/>
      <c r="MGP54" s="263"/>
      <c r="MGQ54" s="264"/>
      <c r="MGR54" s="295"/>
      <c r="MGS54" s="295"/>
      <c r="MGT54" s="295"/>
      <c r="MGU54" s="295"/>
      <c r="MGV54" s="295"/>
      <c r="MGW54" s="295"/>
      <c r="MGX54" s="153"/>
      <c r="MGY54" s="153"/>
      <c r="MGZ54" s="151"/>
      <c r="MHA54" s="153"/>
      <c r="MHC54" s="267"/>
      <c r="MHD54" s="267"/>
      <c r="MHE54" s="260"/>
      <c r="MHF54" s="297"/>
      <c r="MHG54" s="297"/>
      <c r="MHH54" s="297"/>
      <c r="MHI54" s="261"/>
      <c r="MHJ54" s="261"/>
      <c r="MHK54" s="261"/>
      <c r="MHL54" s="262"/>
      <c r="MHM54" s="262"/>
      <c r="MHN54" s="261"/>
      <c r="MHO54" s="263"/>
      <c r="MHP54" s="264"/>
      <c r="MHQ54" s="295"/>
      <c r="MHR54" s="295"/>
      <c r="MHS54" s="295"/>
      <c r="MHT54" s="295"/>
      <c r="MHU54" s="295"/>
      <c r="MHV54" s="295"/>
      <c r="MHW54" s="153"/>
      <c r="MHX54" s="153"/>
      <c r="MHY54" s="151"/>
      <c r="MHZ54" s="153"/>
      <c r="MIB54" s="267"/>
      <c r="MIC54" s="267"/>
      <c r="MID54" s="260"/>
      <c r="MIE54" s="297"/>
      <c r="MIF54" s="297"/>
      <c r="MIG54" s="297"/>
      <c r="MIH54" s="261"/>
      <c r="MII54" s="261"/>
      <c r="MIJ54" s="261"/>
      <c r="MIK54" s="262"/>
      <c r="MIL54" s="262"/>
      <c r="MIM54" s="261"/>
      <c r="MIN54" s="263"/>
      <c r="MIO54" s="264"/>
      <c r="MIP54" s="295"/>
      <c r="MIQ54" s="295"/>
      <c r="MIR54" s="295"/>
      <c r="MIS54" s="295"/>
      <c r="MIT54" s="295"/>
      <c r="MIU54" s="295"/>
      <c r="MIV54" s="153"/>
      <c r="MIW54" s="153"/>
      <c r="MIX54" s="151"/>
      <c r="MIY54" s="153"/>
      <c r="MJA54" s="267"/>
      <c r="MJB54" s="267"/>
      <c r="MJC54" s="260"/>
      <c r="MJD54" s="297"/>
      <c r="MJE54" s="297"/>
      <c r="MJF54" s="297"/>
      <c r="MJG54" s="261"/>
      <c r="MJH54" s="261"/>
      <c r="MJI54" s="261"/>
      <c r="MJJ54" s="262"/>
      <c r="MJK54" s="262"/>
      <c r="MJL54" s="261"/>
      <c r="MJM54" s="263"/>
      <c r="MJN54" s="264"/>
      <c r="MJO54" s="295"/>
      <c r="MJP54" s="295"/>
      <c r="MJQ54" s="295"/>
      <c r="MJR54" s="295"/>
      <c r="MJS54" s="295"/>
      <c r="MJT54" s="295"/>
      <c r="MJU54" s="153"/>
      <c r="MJV54" s="153"/>
      <c r="MJW54" s="151"/>
      <c r="MJX54" s="153"/>
      <c r="MJZ54" s="267"/>
      <c r="MKA54" s="267"/>
      <c r="MKB54" s="260"/>
      <c r="MKC54" s="297"/>
      <c r="MKD54" s="297"/>
      <c r="MKE54" s="297"/>
      <c r="MKF54" s="261"/>
      <c r="MKG54" s="261"/>
      <c r="MKH54" s="261"/>
      <c r="MKI54" s="262"/>
      <c r="MKJ54" s="262"/>
      <c r="MKK54" s="261"/>
      <c r="MKL54" s="263"/>
      <c r="MKM54" s="264"/>
      <c r="MKN54" s="295"/>
      <c r="MKO54" s="295"/>
      <c r="MKP54" s="295"/>
      <c r="MKQ54" s="295"/>
      <c r="MKR54" s="295"/>
      <c r="MKS54" s="295"/>
      <c r="MKT54" s="153"/>
      <c r="MKU54" s="153"/>
      <c r="MKV54" s="151"/>
      <c r="MKW54" s="153"/>
      <c r="MKY54" s="267"/>
      <c r="MKZ54" s="267"/>
      <c r="MLA54" s="260"/>
      <c r="MLB54" s="297"/>
      <c r="MLC54" s="297"/>
      <c r="MLD54" s="297"/>
      <c r="MLE54" s="261"/>
      <c r="MLF54" s="261"/>
      <c r="MLG54" s="261"/>
      <c r="MLH54" s="262"/>
      <c r="MLI54" s="262"/>
      <c r="MLJ54" s="261"/>
      <c r="MLK54" s="263"/>
      <c r="MLL54" s="264"/>
      <c r="MLM54" s="295"/>
      <c r="MLN54" s="295"/>
      <c r="MLO54" s="295"/>
      <c r="MLP54" s="295"/>
      <c r="MLQ54" s="295"/>
      <c r="MLR54" s="295"/>
      <c r="MLS54" s="153"/>
      <c r="MLT54" s="153"/>
      <c r="MLU54" s="151"/>
      <c r="MLV54" s="153"/>
      <c r="MLX54" s="267"/>
      <c r="MLY54" s="267"/>
      <c r="MLZ54" s="260"/>
      <c r="MMA54" s="297"/>
      <c r="MMB54" s="297"/>
      <c r="MMC54" s="297"/>
      <c r="MMD54" s="261"/>
      <c r="MME54" s="261"/>
      <c r="MMF54" s="261"/>
      <c r="MMG54" s="262"/>
      <c r="MMH54" s="262"/>
      <c r="MMI54" s="261"/>
      <c r="MMJ54" s="263"/>
      <c r="MMK54" s="264"/>
      <c r="MML54" s="295"/>
      <c r="MMM54" s="295"/>
      <c r="MMN54" s="295"/>
      <c r="MMO54" s="295"/>
      <c r="MMP54" s="295"/>
      <c r="MMQ54" s="295"/>
      <c r="MMR54" s="153"/>
      <c r="MMS54" s="153"/>
      <c r="MMT54" s="151"/>
      <c r="MMU54" s="153"/>
      <c r="MMW54" s="267"/>
      <c r="MMX54" s="267"/>
      <c r="MMY54" s="260"/>
      <c r="MMZ54" s="297"/>
      <c r="MNA54" s="297"/>
      <c r="MNB54" s="297"/>
      <c r="MNC54" s="261"/>
      <c r="MND54" s="261"/>
      <c r="MNE54" s="261"/>
      <c r="MNF54" s="262"/>
      <c r="MNG54" s="262"/>
      <c r="MNH54" s="261"/>
      <c r="MNI54" s="263"/>
      <c r="MNJ54" s="264"/>
      <c r="MNK54" s="295"/>
      <c r="MNL54" s="295"/>
      <c r="MNM54" s="295"/>
      <c r="MNN54" s="295"/>
      <c r="MNO54" s="295"/>
      <c r="MNP54" s="295"/>
      <c r="MNQ54" s="153"/>
      <c r="MNR54" s="153"/>
      <c r="MNS54" s="151"/>
      <c r="MNT54" s="153"/>
      <c r="MNV54" s="267"/>
      <c r="MNW54" s="267"/>
      <c r="MNX54" s="260"/>
      <c r="MNY54" s="297"/>
      <c r="MNZ54" s="297"/>
      <c r="MOA54" s="297"/>
      <c r="MOB54" s="261"/>
      <c r="MOC54" s="261"/>
      <c r="MOD54" s="261"/>
      <c r="MOE54" s="262"/>
      <c r="MOF54" s="262"/>
      <c r="MOG54" s="261"/>
      <c r="MOH54" s="263"/>
      <c r="MOI54" s="264"/>
      <c r="MOJ54" s="295"/>
      <c r="MOK54" s="295"/>
      <c r="MOL54" s="295"/>
      <c r="MOM54" s="295"/>
      <c r="MON54" s="295"/>
      <c r="MOO54" s="295"/>
      <c r="MOP54" s="153"/>
      <c r="MOQ54" s="153"/>
      <c r="MOR54" s="151"/>
      <c r="MOS54" s="153"/>
      <c r="MOU54" s="267"/>
      <c r="MOV54" s="267"/>
      <c r="MOW54" s="260"/>
      <c r="MOX54" s="297"/>
      <c r="MOY54" s="297"/>
      <c r="MOZ54" s="297"/>
      <c r="MPA54" s="261"/>
      <c r="MPB54" s="261"/>
      <c r="MPC54" s="261"/>
      <c r="MPD54" s="262"/>
      <c r="MPE54" s="262"/>
      <c r="MPF54" s="261"/>
      <c r="MPG54" s="263"/>
      <c r="MPH54" s="264"/>
      <c r="MPI54" s="295"/>
      <c r="MPJ54" s="295"/>
      <c r="MPK54" s="295"/>
      <c r="MPL54" s="295"/>
      <c r="MPM54" s="295"/>
      <c r="MPN54" s="295"/>
      <c r="MPO54" s="153"/>
      <c r="MPP54" s="153"/>
      <c r="MPQ54" s="151"/>
      <c r="MPR54" s="153"/>
      <c r="MPT54" s="267"/>
      <c r="MPU54" s="267"/>
      <c r="MPV54" s="260"/>
      <c r="MPW54" s="297"/>
      <c r="MPX54" s="297"/>
      <c r="MPY54" s="297"/>
      <c r="MPZ54" s="261"/>
      <c r="MQA54" s="261"/>
      <c r="MQB54" s="261"/>
      <c r="MQC54" s="262"/>
      <c r="MQD54" s="262"/>
      <c r="MQE54" s="261"/>
      <c r="MQF54" s="263"/>
      <c r="MQG54" s="264"/>
      <c r="MQH54" s="295"/>
      <c r="MQI54" s="295"/>
      <c r="MQJ54" s="295"/>
      <c r="MQK54" s="295"/>
      <c r="MQL54" s="295"/>
      <c r="MQM54" s="295"/>
      <c r="MQN54" s="153"/>
      <c r="MQO54" s="153"/>
      <c r="MQP54" s="151"/>
      <c r="MQQ54" s="153"/>
      <c r="MQS54" s="267"/>
      <c r="MQT54" s="267"/>
      <c r="MQU54" s="260"/>
      <c r="MQV54" s="297"/>
      <c r="MQW54" s="297"/>
      <c r="MQX54" s="297"/>
      <c r="MQY54" s="261"/>
      <c r="MQZ54" s="261"/>
      <c r="MRA54" s="261"/>
      <c r="MRB54" s="262"/>
      <c r="MRC54" s="262"/>
      <c r="MRD54" s="261"/>
      <c r="MRE54" s="263"/>
      <c r="MRF54" s="264"/>
      <c r="MRG54" s="295"/>
      <c r="MRH54" s="295"/>
      <c r="MRI54" s="295"/>
      <c r="MRJ54" s="295"/>
      <c r="MRK54" s="295"/>
      <c r="MRL54" s="295"/>
      <c r="MRM54" s="153"/>
      <c r="MRN54" s="153"/>
      <c r="MRO54" s="151"/>
      <c r="MRP54" s="153"/>
      <c r="MRR54" s="267"/>
      <c r="MRS54" s="267"/>
      <c r="MRT54" s="260"/>
      <c r="MRU54" s="297"/>
      <c r="MRV54" s="297"/>
      <c r="MRW54" s="297"/>
      <c r="MRX54" s="261"/>
      <c r="MRY54" s="261"/>
      <c r="MRZ54" s="261"/>
      <c r="MSA54" s="262"/>
      <c r="MSB54" s="262"/>
      <c r="MSC54" s="261"/>
      <c r="MSD54" s="263"/>
      <c r="MSE54" s="264"/>
      <c r="MSF54" s="295"/>
      <c r="MSG54" s="295"/>
      <c r="MSH54" s="295"/>
      <c r="MSI54" s="295"/>
      <c r="MSJ54" s="295"/>
      <c r="MSK54" s="295"/>
      <c r="MSL54" s="153"/>
      <c r="MSM54" s="153"/>
      <c r="MSN54" s="151"/>
      <c r="MSO54" s="153"/>
      <c r="MSQ54" s="267"/>
      <c r="MSR54" s="267"/>
      <c r="MSS54" s="260"/>
      <c r="MST54" s="297"/>
      <c r="MSU54" s="297"/>
      <c r="MSV54" s="297"/>
      <c r="MSW54" s="261"/>
      <c r="MSX54" s="261"/>
      <c r="MSY54" s="261"/>
      <c r="MSZ54" s="262"/>
      <c r="MTA54" s="262"/>
      <c r="MTB54" s="261"/>
      <c r="MTC54" s="263"/>
      <c r="MTD54" s="264"/>
      <c r="MTE54" s="295"/>
      <c r="MTF54" s="295"/>
      <c r="MTG54" s="295"/>
      <c r="MTH54" s="295"/>
      <c r="MTI54" s="295"/>
      <c r="MTJ54" s="295"/>
      <c r="MTK54" s="153"/>
      <c r="MTL54" s="153"/>
      <c r="MTM54" s="151"/>
      <c r="MTN54" s="153"/>
      <c r="MTP54" s="267"/>
      <c r="MTQ54" s="267"/>
      <c r="MTR54" s="260"/>
      <c r="MTS54" s="297"/>
      <c r="MTT54" s="297"/>
      <c r="MTU54" s="297"/>
      <c r="MTV54" s="261"/>
      <c r="MTW54" s="261"/>
      <c r="MTX54" s="261"/>
      <c r="MTY54" s="262"/>
      <c r="MTZ54" s="262"/>
      <c r="MUA54" s="261"/>
      <c r="MUB54" s="263"/>
      <c r="MUC54" s="264"/>
      <c r="MUD54" s="295"/>
      <c r="MUE54" s="295"/>
      <c r="MUF54" s="295"/>
      <c r="MUG54" s="295"/>
      <c r="MUH54" s="295"/>
      <c r="MUI54" s="295"/>
      <c r="MUJ54" s="153"/>
      <c r="MUK54" s="153"/>
      <c r="MUL54" s="151"/>
      <c r="MUM54" s="153"/>
      <c r="MUO54" s="267"/>
      <c r="MUP54" s="267"/>
      <c r="MUQ54" s="260"/>
      <c r="MUR54" s="297"/>
      <c r="MUS54" s="297"/>
      <c r="MUT54" s="297"/>
      <c r="MUU54" s="261"/>
      <c r="MUV54" s="261"/>
      <c r="MUW54" s="261"/>
      <c r="MUX54" s="262"/>
      <c r="MUY54" s="262"/>
      <c r="MUZ54" s="261"/>
      <c r="MVA54" s="263"/>
      <c r="MVB54" s="264"/>
      <c r="MVC54" s="295"/>
      <c r="MVD54" s="295"/>
      <c r="MVE54" s="295"/>
      <c r="MVF54" s="295"/>
      <c r="MVG54" s="295"/>
      <c r="MVH54" s="295"/>
      <c r="MVI54" s="153"/>
      <c r="MVJ54" s="153"/>
      <c r="MVK54" s="151"/>
      <c r="MVL54" s="153"/>
      <c r="MVN54" s="267"/>
      <c r="MVO54" s="267"/>
      <c r="MVP54" s="260"/>
      <c r="MVQ54" s="297"/>
      <c r="MVR54" s="297"/>
      <c r="MVS54" s="297"/>
      <c r="MVT54" s="261"/>
      <c r="MVU54" s="261"/>
      <c r="MVV54" s="261"/>
      <c r="MVW54" s="262"/>
      <c r="MVX54" s="262"/>
      <c r="MVY54" s="261"/>
      <c r="MVZ54" s="263"/>
      <c r="MWA54" s="264"/>
      <c r="MWB54" s="295"/>
      <c r="MWC54" s="295"/>
      <c r="MWD54" s="295"/>
      <c r="MWE54" s="295"/>
      <c r="MWF54" s="295"/>
      <c r="MWG54" s="295"/>
      <c r="MWH54" s="153"/>
      <c r="MWI54" s="153"/>
      <c r="MWJ54" s="151"/>
      <c r="MWK54" s="153"/>
      <c r="MWM54" s="267"/>
      <c r="MWN54" s="267"/>
      <c r="MWO54" s="260"/>
      <c r="MWP54" s="297"/>
      <c r="MWQ54" s="297"/>
      <c r="MWR54" s="297"/>
      <c r="MWS54" s="261"/>
      <c r="MWT54" s="261"/>
      <c r="MWU54" s="261"/>
      <c r="MWV54" s="262"/>
      <c r="MWW54" s="262"/>
      <c r="MWX54" s="261"/>
      <c r="MWY54" s="263"/>
      <c r="MWZ54" s="264"/>
      <c r="MXA54" s="295"/>
      <c r="MXB54" s="295"/>
      <c r="MXC54" s="295"/>
      <c r="MXD54" s="295"/>
      <c r="MXE54" s="295"/>
      <c r="MXF54" s="295"/>
      <c r="MXG54" s="153"/>
      <c r="MXH54" s="153"/>
      <c r="MXI54" s="151"/>
      <c r="MXJ54" s="153"/>
      <c r="MXL54" s="267"/>
      <c r="MXM54" s="267"/>
      <c r="MXN54" s="260"/>
      <c r="MXO54" s="297"/>
      <c r="MXP54" s="297"/>
      <c r="MXQ54" s="297"/>
      <c r="MXR54" s="261"/>
      <c r="MXS54" s="261"/>
      <c r="MXT54" s="261"/>
      <c r="MXU54" s="262"/>
      <c r="MXV54" s="262"/>
      <c r="MXW54" s="261"/>
      <c r="MXX54" s="263"/>
      <c r="MXY54" s="264"/>
      <c r="MXZ54" s="295"/>
      <c r="MYA54" s="295"/>
      <c r="MYB54" s="295"/>
      <c r="MYC54" s="295"/>
      <c r="MYD54" s="295"/>
      <c r="MYE54" s="295"/>
      <c r="MYF54" s="153"/>
      <c r="MYG54" s="153"/>
      <c r="MYH54" s="151"/>
      <c r="MYI54" s="153"/>
      <c r="MYK54" s="267"/>
      <c r="MYL54" s="267"/>
      <c r="MYM54" s="260"/>
      <c r="MYN54" s="297"/>
      <c r="MYO54" s="297"/>
      <c r="MYP54" s="297"/>
      <c r="MYQ54" s="261"/>
      <c r="MYR54" s="261"/>
      <c r="MYS54" s="261"/>
      <c r="MYT54" s="262"/>
      <c r="MYU54" s="262"/>
      <c r="MYV54" s="261"/>
      <c r="MYW54" s="263"/>
      <c r="MYX54" s="264"/>
      <c r="MYY54" s="295"/>
      <c r="MYZ54" s="295"/>
      <c r="MZA54" s="295"/>
      <c r="MZB54" s="295"/>
      <c r="MZC54" s="295"/>
      <c r="MZD54" s="295"/>
      <c r="MZE54" s="153"/>
      <c r="MZF54" s="153"/>
      <c r="MZG54" s="151"/>
      <c r="MZH54" s="153"/>
      <c r="MZJ54" s="267"/>
      <c r="MZK54" s="267"/>
      <c r="MZL54" s="260"/>
      <c r="MZM54" s="297"/>
      <c r="MZN54" s="297"/>
      <c r="MZO54" s="297"/>
      <c r="MZP54" s="261"/>
      <c r="MZQ54" s="261"/>
      <c r="MZR54" s="261"/>
      <c r="MZS54" s="262"/>
      <c r="MZT54" s="262"/>
      <c r="MZU54" s="261"/>
      <c r="MZV54" s="263"/>
      <c r="MZW54" s="264"/>
      <c r="MZX54" s="295"/>
      <c r="MZY54" s="295"/>
      <c r="MZZ54" s="295"/>
      <c r="NAA54" s="295"/>
      <c r="NAB54" s="295"/>
      <c r="NAC54" s="295"/>
      <c r="NAD54" s="153"/>
      <c r="NAE54" s="153"/>
      <c r="NAF54" s="151"/>
      <c r="NAG54" s="153"/>
      <c r="NAI54" s="267"/>
      <c r="NAJ54" s="267"/>
      <c r="NAK54" s="260"/>
      <c r="NAL54" s="297"/>
      <c r="NAM54" s="297"/>
      <c r="NAN54" s="297"/>
      <c r="NAO54" s="261"/>
      <c r="NAP54" s="261"/>
      <c r="NAQ54" s="261"/>
      <c r="NAR54" s="262"/>
      <c r="NAS54" s="262"/>
      <c r="NAT54" s="261"/>
      <c r="NAU54" s="263"/>
      <c r="NAV54" s="264"/>
      <c r="NAW54" s="295"/>
      <c r="NAX54" s="295"/>
      <c r="NAY54" s="295"/>
      <c r="NAZ54" s="295"/>
      <c r="NBA54" s="295"/>
      <c r="NBB54" s="295"/>
      <c r="NBC54" s="153"/>
      <c r="NBD54" s="153"/>
      <c r="NBE54" s="151"/>
      <c r="NBF54" s="153"/>
      <c r="NBH54" s="267"/>
      <c r="NBI54" s="267"/>
      <c r="NBJ54" s="260"/>
      <c r="NBK54" s="297"/>
      <c r="NBL54" s="297"/>
      <c r="NBM54" s="297"/>
      <c r="NBN54" s="261"/>
      <c r="NBO54" s="261"/>
      <c r="NBP54" s="261"/>
      <c r="NBQ54" s="262"/>
      <c r="NBR54" s="262"/>
      <c r="NBS54" s="261"/>
      <c r="NBT54" s="263"/>
      <c r="NBU54" s="264"/>
      <c r="NBV54" s="295"/>
      <c r="NBW54" s="295"/>
      <c r="NBX54" s="295"/>
      <c r="NBY54" s="295"/>
      <c r="NBZ54" s="295"/>
      <c r="NCA54" s="295"/>
      <c r="NCB54" s="153"/>
      <c r="NCC54" s="153"/>
      <c r="NCD54" s="151"/>
      <c r="NCE54" s="153"/>
      <c r="NCG54" s="267"/>
      <c r="NCH54" s="267"/>
      <c r="NCI54" s="260"/>
      <c r="NCJ54" s="297"/>
      <c r="NCK54" s="297"/>
      <c r="NCL54" s="297"/>
      <c r="NCM54" s="261"/>
      <c r="NCN54" s="261"/>
      <c r="NCO54" s="261"/>
      <c r="NCP54" s="262"/>
      <c r="NCQ54" s="262"/>
      <c r="NCR54" s="261"/>
      <c r="NCS54" s="263"/>
      <c r="NCT54" s="264"/>
      <c r="NCU54" s="295"/>
      <c r="NCV54" s="295"/>
      <c r="NCW54" s="295"/>
      <c r="NCX54" s="295"/>
      <c r="NCY54" s="295"/>
      <c r="NCZ54" s="295"/>
      <c r="NDA54" s="153"/>
      <c r="NDB54" s="153"/>
      <c r="NDC54" s="151"/>
      <c r="NDD54" s="153"/>
      <c r="NDF54" s="267"/>
      <c r="NDG54" s="267"/>
      <c r="NDH54" s="260"/>
      <c r="NDI54" s="297"/>
      <c r="NDJ54" s="297"/>
      <c r="NDK54" s="297"/>
      <c r="NDL54" s="261"/>
      <c r="NDM54" s="261"/>
      <c r="NDN54" s="261"/>
      <c r="NDO54" s="262"/>
      <c r="NDP54" s="262"/>
      <c r="NDQ54" s="261"/>
      <c r="NDR54" s="263"/>
      <c r="NDS54" s="264"/>
      <c r="NDT54" s="295"/>
      <c r="NDU54" s="295"/>
      <c r="NDV54" s="295"/>
      <c r="NDW54" s="295"/>
      <c r="NDX54" s="295"/>
      <c r="NDY54" s="295"/>
      <c r="NDZ54" s="153"/>
      <c r="NEA54" s="153"/>
      <c r="NEB54" s="151"/>
      <c r="NEC54" s="153"/>
      <c r="NEE54" s="267"/>
      <c r="NEF54" s="267"/>
      <c r="NEG54" s="260"/>
      <c r="NEH54" s="297"/>
      <c r="NEI54" s="297"/>
      <c r="NEJ54" s="297"/>
      <c r="NEK54" s="261"/>
      <c r="NEL54" s="261"/>
      <c r="NEM54" s="261"/>
      <c r="NEN54" s="262"/>
      <c r="NEO54" s="262"/>
      <c r="NEP54" s="261"/>
      <c r="NEQ54" s="263"/>
      <c r="NER54" s="264"/>
      <c r="NES54" s="295"/>
      <c r="NET54" s="295"/>
      <c r="NEU54" s="295"/>
      <c r="NEV54" s="295"/>
      <c r="NEW54" s="295"/>
      <c r="NEX54" s="295"/>
      <c r="NEY54" s="153"/>
      <c r="NEZ54" s="153"/>
      <c r="NFA54" s="151"/>
      <c r="NFB54" s="153"/>
      <c r="NFD54" s="267"/>
      <c r="NFE54" s="267"/>
      <c r="NFF54" s="260"/>
      <c r="NFG54" s="297"/>
      <c r="NFH54" s="297"/>
      <c r="NFI54" s="297"/>
      <c r="NFJ54" s="261"/>
      <c r="NFK54" s="261"/>
      <c r="NFL54" s="261"/>
      <c r="NFM54" s="262"/>
      <c r="NFN54" s="262"/>
      <c r="NFO54" s="261"/>
      <c r="NFP54" s="263"/>
      <c r="NFQ54" s="264"/>
      <c r="NFR54" s="295"/>
      <c r="NFS54" s="295"/>
      <c r="NFT54" s="295"/>
      <c r="NFU54" s="295"/>
      <c r="NFV54" s="295"/>
      <c r="NFW54" s="295"/>
      <c r="NFX54" s="153"/>
      <c r="NFY54" s="153"/>
      <c r="NFZ54" s="151"/>
      <c r="NGA54" s="153"/>
      <c r="NGC54" s="267"/>
      <c r="NGD54" s="267"/>
      <c r="NGE54" s="260"/>
      <c r="NGF54" s="297"/>
      <c r="NGG54" s="297"/>
      <c r="NGH54" s="297"/>
      <c r="NGI54" s="261"/>
      <c r="NGJ54" s="261"/>
      <c r="NGK54" s="261"/>
      <c r="NGL54" s="262"/>
      <c r="NGM54" s="262"/>
      <c r="NGN54" s="261"/>
      <c r="NGO54" s="263"/>
      <c r="NGP54" s="264"/>
      <c r="NGQ54" s="295"/>
      <c r="NGR54" s="295"/>
      <c r="NGS54" s="295"/>
      <c r="NGT54" s="295"/>
      <c r="NGU54" s="295"/>
      <c r="NGV54" s="295"/>
      <c r="NGW54" s="153"/>
      <c r="NGX54" s="153"/>
      <c r="NGY54" s="151"/>
      <c r="NGZ54" s="153"/>
      <c r="NHB54" s="267"/>
      <c r="NHC54" s="267"/>
      <c r="NHD54" s="260"/>
      <c r="NHE54" s="297"/>
      <c r="NHF54" s="297"/>
      <c r="NHG54" s="297"/>
      <c r="NHH54" s="261"/>
      <c r="NHI54" s="261"/>
      <c r="NHJ54" s="261"/>
      <c r="NHK54" s="262"/>
      <c r="NHL54" s="262"/>
      <c r="NHM54" s="261"/>
      <c r="NHN54" s="263"/>
      <c r="NHO54" s="264"/>
      <c r="NHP54" s="295"/>
      <c r="NHQ54" s="295"/>
      <c r="NHR54" s="295"/>
      <c r="NHS54" s="295"/>
      <c r="NHT54" s="295"/>
      <c r="NHU54" s="295"/>
      <c r="NHV54" s="153"/>
      <c r="NHW54" s="153"/>
      <c r="NHX54" s="151"/>
      <c r="NHY54" s="153"/>
      <c r="NIA54" s="267"/>
      <c r="NIB54" s="267"/>
      <c r="NIC54" s="260"/>
      <c r="NID54" s="297"/>
      <c r="NIE54" s="297"/>
      <c r="NIF54" s="297"/>
      <c r="NIG54" s="261"/>
      <c r="NIH54" s="261"/>
      <c r="NII54" s="261"/>
      <c r="NIJ54" s="262"/>
      <c r="NIK54" s="262"/>
      <c r="NIL54" s="261"/>
      <c r="NIM54" s="263"/>
      <c r="NIN54" s="264"/>
      <c r="NIO54" s="295"/>
      <c r="NIP54" s="295"/>
      <c r="NIQ54" s="295"/>
      <c r="NIR54" s="295"/>
      <c r="NIS54" s="295"/>
      <c r="NIT54" s="295"/>
      <c r="NIU54" s="153"/>
      <c r="NIV54" s="153"/>
      <c r="NIW54" s="151"/>
      <c r="NIX54" s="153"/>
      <c r="NIZ54" s="267"/>
      <c r="NJA54" s="267"/>
      <c r="NJB54" s="260"/>
      <c r="NJC54" s="297"/>
      <c r="NJD54" s="297"/>
      <c r="NJE54" s="297"/>
      <c r="NJF54" s="261"/>
      <c r="NJG54" s="261"/>
      <c r="NJH54" s="261"/>
      <c r="NJI54" s="262"/>
      <c r="NJJ54" s="262"/>
      <c r="NJK54" s="261"/>
      <c r="NJL54" s="263"/>
      <c r="NJM54" s="264"/>
      <c r="NJN54" s="295"/>
      <c r="NJO54" s="295"/>
      <c r="NJP54" s="295"/>
      <c r="NJQ54" s="295"/>
      <c r="NJR54" s="295"/>
      <c r="NJS54" s="295"/>
      <c r="NJT54" s="153"/>
      <c r="NJU54" s="153"/>
      <c r="NJV54" s="151"/>
      <c r="NJW54" s="153"/>
      <c r="NJY54" s="267"/>
      <c r="NJZ54" s="267"/>
      <c r="NKA54" s="260"/>
      <c r="NKB54" s="297"/>
      <c r="NKC54" s="297"/>
      <c r="NKD54" s="297"/>
      <c r="NKE54" s="261"/>
      <c r="NKF54" s="261"/>
      <c r="NKG54" s="261"/>
      <c r="NKH54" s="262"/>
      <c r="NKI54" s="262"/>
      <c r="NKJ54" s="261"/>
      <c r="NKK54" s="263"/>
      <c r="NKL54" s="264"/>
      <c r="NKM54" s="295"/>
      <c r="NKN54" s="295"/>
      <c r="NKO54" s="295"/>
      <c r="NKP54" s="295"/>
      <c r="NKQ54" s="295"/>
      <c r="NKR54" s="295"/>
      <c r="NKS54" s="153"/>
      <c r="NKT54" s="153"/>
      <c r="NKU54" s="151"/>
      <c r="NKV54" s="153"/>
      <c r="NKX54" s="267"/>
      <c r="NKY54" s="267"/>
      <c r="NKZ54" s="260"/>
      <c r="NLA54" s="297"/>
      <c r="NLB54" s="297"/>
      <c r="NLC54" s="297"/>
      <c r="NLD54" s="261"/>
      <c r="NLE54" s="261"/>
      <c r="NLF54" s="261"/>
      <c r="NLG54" s="262"/>
      <c r="NLH54" s="262"/>
      <c r="NLI54" s="261"/>
      <c r="NLJ54" s="263"/>
      <c r="NLK54" s="264"/>
      <c r="NLL54" s="295"/>
      <c r="NLM54" s="295"/>
      <c r="NLN54" s="295"/>
      <c r="NLO54" s="295"/>
      <c r="NLP54" s="295"/>
      <c r="NLQ54" s="295"/>
      <c r="NLR54" s="153"/>
      <c r="NLS54" s="153"/>
      <c r="NLT54" s="151"/>
      <c r="NLU54" s="153"/>
      <c r="NLW54" s="267"/>
      <c r="NLX54" s="267"/>
      <c r="NLY54" s="260"/>
      <c r="NLZ54" s="297"/>
      <c r="NMA54" s="297"/>
      <c r="NMB54" s="297"/>
      <c r="NMC54" s="261"/>
      <c r="NMD54" s="261"/>
      <c r="NME54" s="261"/>
      <c r="NMF54" s="262"/>
      <c r="NMG54" s="262"/>
      <c r="NMH54" s="261"/>
      <c r="NMI54" s="263"/>
      <c r="NMJ54" s="264"/>
      <c r="NMK54" s="295"/>
      <c r="NML54" s="295"/>
      <c r="NMM54" s="295"/>
      <c r="NMN54" s="295"/>
      <c r="NMO54" s="295"/>
      <c r="NMP54" s="295"/>
      <c r="NMQ54" s="153"/>
      <c r="NMR54" s="153"/>
      <c r="NMS54" s="151"/>
      <c r="NMT54" s="153"/>
      <c r="NMV54" s="267"/>
      <c r="NMW54" s="267"/>
      <c r="NMX54" s="260"/>
      <c r="NMY54" s="297"/>
      <c r="NMZ54" s="297"/>
      <c r="NNA54" s="297"/>
      <c r="NNB54" s="261"/>
      <c r="NNC54" s="261"/>
      <c r="NND54" s="261"/>
      <c r="NNE54" s="262"/>
      <c r="NNF54" s="262"/>
      <c r="NNG54" s="261"/>
      <c r="NNH54" s="263"/>
      <c r="NNI54" s="264"/>
      <c r="NNJ54" s="295"/>
      <c r="NNK54" s="295"/>
      <c r="NNL54" s="295"/>
      <c r="NNM54" s="295"/>
      <c r="NNN54" s="295"/>
      <c r="NNO54" s="295"/>
      <c r="NNP54" s="153"/>
      <c r="NNQ54" s="153"/>
      <c r="NNR54" s="151"/>
      <c r="NNS54" s="153"/>
      <c r="NNU54" s="267"/>
      <c r="NNV54" s="267"/>
      <c r="NNW54" s="260"/>
      <c r="NNX54" s="297"/>
      <c r="NNY54" s="297"/>
      <c r="NNZ54" s="297"/>
      <c r="NOA54" s="261"/>
      <c r="NOB54" s="261"/>
      <c r="NOC54" s="261"/>
      <c r="NOD54" s="262"/>
      <c r="NOE54" s="262"/>
      <c r="NOF54" s="261"/>
      <c r="NOG54" s="263"/>
      <c r="NOH54" s="264"/>
      <c r="NOI54" s="295"/>
      <c r="NOJ54" s="295"/>
      <c r="NOK54" s="295"/>
      <c r="NOL54" s="295"/>
      <c r="NOM54" s="295"/>
      <c r="NON54" s="295"/>
      <c r="NOO54" s="153"/>
      <c r="NOP54" s="153"/>
      <c r="NOQ54" s="151"/>
      <c r="NOR54" s="153"/>
      <c r="NOT54" s="267"/>
      <c r="NOU54" s="267"/>
      <c r="NOV54" s="260"/>
      <c r="NOW54" s="297"/>
      <c r="NOX54" s="297"/>
      <c r="NOY54" s="297"/>
      <c r="NOZ54" s="261"/>
      <c r="NPA54" s="261"/>
      <c r="NPB54" s="261"/>
      <c r="NPC54" s="262"/>
      <c r="NPD54" s="262"/>
      <c r="NPE54" s="261"/>
      <c r="NPF54" s="263"/>
      <c r="NPG54" s="264"/>
      <c r="NPH54" s="295"/>
      <c r="NPI54" s="295"/>
      <c r="NPJ54" s="295"/>
      <c r="NPK54" s="295"/>
      <c r="NPL54" s="295"/>
      <c r="NPM54" s="295"/>
      <c r="NPN54" s="153"/>
      <c r="NPO54" s="153"/>
      <c r="NPP54" s="151"/>
      <c r="NPQ54" s="153"/>
      <c r="NPS54" s="267"/>
      <c r="NPT54" s="267"/>
      <c r="NPU54" s="260"/>
      <c r="NPV54" s="297"/>
      <c r="NPW54" s="297"/>
      <c r="NPX54" s="297"/>
      <c r="NPY54" s="261"/>
      <c r="NPZ54" s="261"/>
      <c r="NQA54" s="261"/>
      <c r="NQB54" s="262"/>
      <c r="NQC54" s="262"/>
      <c r="NQD54" s="261"/>
      <c r="NQE54" s="263"/>
      <c r="NQF54" s="264"/>
      <c r="NQG54" s="295"/>
      <c r="NQH54" s="295"/>
      <c r="NQI54" s="295"/>
      <c r="NQJ54" s="295"/>
      <c r="NQK54" s="295"/>
      <c r="NQL54" s="295"/>
      <c r="NQM54" s="153"/>
      <c r="NQN54" s="153"/>
      <c r="NQO54" s="151"/>
      <c r="NQP54" s="153"/>
      <c r="NQR54" s="267"/>
      <c r="NQS54" s="267"/>
      <c r="NQT54" s="260"/>
      <c r="NQU54" s="297"/>
      <c r="NQV54" s="297"/>
      <c r="NQW54" s="297"/>
      <c r="NQX54" s="261"/>
      <c r="NQY54" s="261"/>
      <c r="NQZ54" s="261"/>
      <c r="NRA54" s="262"/>
      <c r="NRB54" s="262"/>
      <c r="NRC54" s="261"/>
      <c r="NRD54" s="263"/>
      <c r="NRE54" s="264"/>
      <c r="NRF54" s="295"/>
      <c r="NRG54" s="295"/>
      <c r="NRH54" s="295"/>
      <c r="NRI54" s="295"/>
      <c r="NRJ54" s="295"/>
      <c r="NRK54" s="295"/>
      <c r="NRL54" s="153"/>
      <c r="NRM54" s="153"/>
      <c r="NRN54" s="151"/>
      <c r="NRO54" s="153"/>
      <c r="NRQ54" s="267"/>
      <c r="NRR54" s="267"/>
      <c r="NRS54" s="260"/>
      <c r="NRT54" s="297"/>
      <c r="NRU54" s="297"/>
      <c r="NRV54" s="297"/>
      <c r="NRW54" s="261"/>
      <c r="NRX54" s="261"/>
      <c r="NRY54" s="261"/>
      <c r="NRZ54" s="262"/>
      <c r="NSA54" s="262"/>
      <c r="NSB54" s="261"/>
      <c r="NSC54" s="263"/>
      <c r="NSD54" s="264"/>
      <c r="NSE54" s="295"/>
      <c r="NSF54" s="295"/>
      <c r="NSG54" s="295"/>
      <c r="NSH54" s="295"/>
      <c r="NSI54" s="295"/>
      <c r="NSJ54" s="295"/>
      <c r="NSK54" s="153"/>
      <c r="NSL54" s="153"/>
      <c r="NSM54" s="151"/>
      <c r="NSN54" s="153"/>
      <c r="NSP54" s="267"/>
      <c r="NSQ54" s="267"/>
      <c r="NSR54" s="260"/>
      <c r="NSS54" s="297"/>
      <c r="NST54" s="297"/>
      <c r="NSU54" s="297"/>
      <c r="NSV54" s="261"/>
      <c r="NSW54" s="261"/>
      <c r="NSX54" s="261"/>
      <c r="NSY54" s="262"/>
      <c r="NSZ54" s="262"/>
      <c r="NTA54" s="261"/>
      <c r="NTB54" s="263"/>
      <c r="NTC54" s="264"/>
      <c r="NTD54" s="295"/>
      <c r="NTE54" s="295"/>
      <c r="NTF54" s="295"/>
      <c r="NTG54" s="295"/>
      <c r="NTH54" s="295"/>
      <c r="NTI54" s="295"/>
      <c r="NTJ54" s="153"/>
      <c r="NTK54" s="153"/>
      <c r="NTL54" s="151"/>
      <c r="NTM54" s="153"/>
      <c r="NTO54" s="267"/>
      <c r="NTP54" s="267"/>
      <c r="NTQ54" s="260"/>
      <c r="NTR54" s="297"/>
      <c r="NTS54" s="297"/>
      <c r="NTT54" s="297"/>
      <c r="NTU54" s="261"/>
      <c r="NTV54" s="261"/>
      <c r="NTW54" s="261"/>
      <c r="NTX54" s="262"/>
      <c r="NTY54" s="262"/>
      <c r="NTZ54" s="261"/>
      <c r="NUA54" s="263"/>
      <c r="NUB54" s="264"/>
      <c r="NUC54" s="295"/>
      <c r="NUD54" s="295"/>
      <c r="NUE54" s="295"/>
      <c r="NUF54" s="295"/>
      <c r="NUG54" s="295"/>
      <c r="NUH54" s="295"/>
      <c r="NUI54" s="153"/>
      <c r="NUJ54" s="153"/>
      <c r="NUK54" s="151"/>
      <c r="NUL54" s="153"/>
      <c r="NUN54" s="267"/>
      <c r="NUO54" s="267"/>
      <c r="NUP54" s="260"/>
      <c r="NUQ54" s="297"/>
      <c r="NUR54" s="297"/>
      <c r="NUS54" s="297"/>
      <c r="NUT54" s="261"/>
      <c r="NUU54" s="261"/>
      <c r="NUV54" s="261"/>
      <c r="NUW54" s="262"/>
      <c r="NUX54" s="262"/>
      <c r="NUY54" s="261"/>
      <c r="NUZ54" s="263"/>
      <c r="NVA54" s="264"/>
      <c r="NVB54" s="295"/>
      <c r="NVC54" s="295"/>
      <c r="NVD54" s="295"/>
      <c r="NVE54" s="295"/>
      <c r="NVF54" s="295"/>
      <c r="NVG54" s="295"/>
      <c r="NVH54" s="153"/>
      <c r="NVI54" s="153"/>
      <c r="NVJ54" s="151"/>
      <c r="NVK54" s="153"/>
      <c r="NVM54" s="267"/>
      <c r="NVN54" s="267"/>
      <c r="NVO54" s="260"/>
      <c r="NVP54" s="297"/>
      <c r="NVQ54" s="297"/>
      <c r="NVR54" s="297"/>
      <c r="NVS54" s="261"/>
      <c r="NVT54" s="261"/>
      <c r="NVU54" s="261"/>
      <c r="NVV54" s="262"/>
      <c r="NVW54" s="262"/>
      <c r="NVX54" s="261"/>
      <c r="NVY54" s="263"/>
      <c r="NVZ54" s="264"/>
      <c r="NWA54" s="295"/>
      <c r="NWB54" s="295"/>
      <c r="NWC54" s="295"/>
      <c r="NWD54" s="295"/>
      <c r="NWE54" s="295"/>
      <c r="NWF54" s="295"/>
      <c r="NWG54" s="153"/>
      <c r="NWH54" s="153"/>
      <c r="NWI54" s="151"/>
      <c r="NWJ54" s="153"/>
      <c r="NWL54" s="267"/>
      <c r="NWM54" s="267"/>
      <c r="NWN54" s="260"/>
      <c r="NWO54" s="297"/>
      <c r="NWP54" s="297"/>
      <c r="NWQ54" s="297"/>
      <c r="NWR54" s="261"/>
      <c r="NWS54" s="261"/>
      <c r="NWT54" s="261"/>
      <c r="NWU54" s="262"/>
      <c r="NWV54" s="262"/>
      <c r="NWW54" s="261"/>
      <c r="NWX54" s="263"/>
      <c r="NWY54" s="264"/>
      <c r="NWZ54" s="295"/>
      <c r="NXA54" s="295"/>
      <c r="NXB54" s="295"/>
      <c r="NXC54" s="295"/>
      <c r="NXD54" s="295"/>
      <c r="NXE54" s="295"/>
      <c r="NXF54" s="153"/>
      <c r="NXG54" s="153"/>
      <c r="NXH54" s="151"/>
      <c r="NXI54" s="153"/>
      <c r="NXK54" s="267"/>
      <c r="NXL54" s="267"/>
      <c r="NXM54" s="260"/>
      <c r="NXN54" s="297"/>
      <c r="NXO54" s="297"/>
      <c r="NXP54" s="297"/>
      <c r="NXQ54" s="261"/>
      <c r="NXR54" s="261"/>
      <c r="NXS54" s="261"/>
      <c r="NXT54" s="262"/>
      <c r="NXU54" s="262"/>
      <c r="NXV54" s="261"/>
      <c r="NXW54" s="263"/>
      <c r="NXX54" s="264"/>
      <c r="NXY54" s="295"/>
      <c r="NXZ54" s="295"/>
      <c r="NYA54" s="295"/>
      <c r="NYB54" s="295"/>
      <c r="NYC54" s="295"/>
      <c r="NYD54" s="295"/>
      <c r="NYE54" s="153"/>
      <c r="NYF54" s="153"/>
      <c r="NYG54" s="151"/>
      <c r="NYH54" s="153"/>
      <c r="NYJ54" s="267"/>
      <c r="NYK54" s="267"/>
      <c r="NYL54" s="260"/>
      <c r="NYM54" s="297"/>
      <c r="NYN54" s="297"/>
      <c r="NYO54" s="297"/>
      <c r="NYP54" s="261"/>
      <c r="NYQ54" s="261"/>
      <c r="NYR54" s="261"/>
      <c r="NYS54" s="262"/>
      <c r="NYT54" s="262"/>
      <c r="NYU54" s="261"/>
      <c r="NYV54" s="263"/>
      <c r="NYW54" s="264"/>
      <c r="NYX54" s="295"/>
      <c r="NYY54" s="295"/>
      <c r="NYZ54" s="295"/>
      <c r="NZA54" s="295"/>
      <c r="NZB54" s="295"/>
      <c r="NZC54" s="295"/>
      <c r="NZD54" s="153"/>
      <c r="NZE54" s="153"/>
      <c r="NZF54" s="151"/>
      <c r="NZG54" s="153"/>
      <c r="NZI54" s="267"/>
      <c r="NZJ54" s="267"/>
      <c r="NZK54" s="260"/>
      <c r="NZL54" s="297"/>
      <c r="NZM54" s="297"/>
      <c r="NZN54" s="297"/>
      <c r="NZO54" s="261"/>
      <c r="NZP54" s="261"/>
      <c r="NZQ54" s="261"/>
      <c r="NZR54" s="262"/>
      <c r="NZS54" s="262"/>
      <c r="NZT54" s="261"/>
      <c r="NZU54" s="263"/>
      <c r="NZV54" s="264"/>
      <c r="NZW54" s="295"/>
      <c r="NZX54" s="295"/>
      <c r="NZY54" s="295"/>
      <c r="NZZ54" s="295"/>
      <c r="OAA54" s="295"/>
      <c r="OAB54" s="295"/>
      <c r="OAC54" s="153"/>
      <c r="OAD54" s="153"/>
      <c r="OAE54" s="151"/>
      <c r="OAF54" s="153"/>
      <c r="OAH54" s="267"/>
      <c r="OAI54" s="267"/>
      <c r="OAJ54" s="260"/>
      <c r="OAK54" s="297"/>
      <c r="OAL54" s="297"/>
      <c r="OAM54" s="297"/>
      <c r="OAN54" s="261"/>
      <c r="OAO54" s="261"/>
      <c r="OAP54" s="261"/>
      <c r="OAQ54" s="262"/>
      <c r="OAR54" s="262"/>
      <c r="OAS54" s="261"/>
      <c r="OAT54" s="263"/>
      <c r="OAU54" s="264"/>
      <c r="OAV54" s="295"/>
      <c r="OAW54" s="295"/>
      <c r="OAX54" s="295"/>
      <c r="OAY54" s="295"/>
      <c r="OAZ54" s="295"/>
      <c r="OBA54" s="295"/>
      <c r="OBB54" s="153"/>
      <c r="OBC54" s="153"/>
      <c r="OBD54" s="151"/>
      <c r="OBE54" s="153"/>
      <c r="OBG54" s="267"/>
      <c r="OBH54" s="267"/>
      <c r="OBI54" s="260"/>
      <c r="OBJ54" s="297"/>
      <c r="OBK54" s="297"/>
      <c r="OBL54" s="297"/>
      <c r="OBM54" s="261"/>
      <c r="OBN54" s="261"/>
      <c r="OBO54" s="261"/>
      <c r="OBP54" s="262"/>
      <c r="OBQ54" s="262"/>
      <c r="OBR54" s="261"/>
      <c r="OBS54" s="263"/>
      <c r="OBT54" s="264"/>
      <c r="OBU54" s="295"/>
      <c r="OBV54" s="295"/>
      <c r="OBW54" s="295"/>
      <c r="OBX54" s="295"/>
      <c r="OBY54" s="295"/>
      <c r="OBZ54" s="295"/>
      <c r="OCA54" s="153"/>
      <c r="OCB54" s="153"/>
      <c r="OCC54" s="151"/>
      <c r="OCD54" s="153"/>
      <c r="OCF54" s="267"/>
      <c r="OCG54" s="267"/>
      <c r="OCH54" s="260"/>
      <c r="OCI54" s="297"/>
      <c r="OCJ54" s="297"/>
      <c r="OCK54" s="297"/>
      <c r="OCL54" s="261"/>
      <c r="OCM54" s="261"/>
      <c r="OCN54" s="261"/>
      <c r="OCO54" s="262"/>
      <c r="OCP54" s="262"/>
      <c r="OCQ54" s="261"/>
      <c r="OCR54" s="263"/>
      <c r="OCS54" s="264"/>
      <c r="OCT54" s="295"/>
      <c r="OCU54" s="295"/>
      <c r="OCV54" s="295"/>
      <c r="OCW54" s="295"/>
      <c r="OCX54" s="295"/>
      <c r="OCY54" s="295"/>
      <c r="OCZ54" s="153"/>
      <c r="ODA54" s="153"/>
      <c r="ODB54" s="151"/>
      <c r="ODC54" s="153"/>
      <c r="ODE54" s="267"/>
      <c r="ODF54" s="267"/>
      <c r="ODG54" s="260"/>
      <c r="ODH54" s="297"/>
      <c r="ODI54" s="297"/>
      <c r="ODJ54" s="297"/>
      <c r="ODK54" s="261"/>
      <c r="ODL54" s="261"/>
      <c r="ODM54" s="261"/>
      <c r="ODN54" s="262"/>
      <c r="ODO54" s="262"/>
      <c r="ODP54" s="261"/>
      <c r="ODQ54" s="263"/>
      <c r="ODR54" s="264"/>
      <c r="ODS54" s="295"/>
      <c r="ODT54" s="295"/>
      <c r="ODU54" s="295"/>
      <c r="ODV54" s="295"/>
      <c r="ODW54" s="295"/>
      <c r="ODX54" s="295"/>
      <c r="ODY54" s="153"/>
      <c r="ODZ54" s="153"/>
      <c r="OEA54" s="151"/>
      <c r="OEB54" s="153"/>
      <c r="OED54" s="267"/>
      <c r="OEE54" s="267"/>
      <c r="OEF54" s="260"/>
      <c r="OEG54" s="297"/>
      <c r="OEH54" s="297"/>
      <c r="OEI54" s="297"/>
      <c r="OEJ54" s="261"/>
      <c r="OEK54" s="261"/>
      <c r="OEL54" s="261"/>
      <c r="OEM54" s="262"/>
      <c r="OEN54" s="262"/>
      <c r="OEO54" s="261"/>
      <c r="OEP54" s="263"/>
      <c r="OEQ54" s="264"/>
      <c r="OER54" s="295"/>
      <c r="OES54" s="295"/>
      <c r="OET54" s="295"/>
      <c r="OEU54" s="295"/>
      <c r="OEV54" s="295"/>
      <c r="OEW54" s="295"/>
      <c r="OEX54" s="153"/>
      <c r="OEY54" s="153"/>
      <c r="OEZ54" s="151"/>
      <c r="OFA54" s="153"/>
      <c r="OFC54" s="267"/>
      <c r="OFD54" s="267"/>
      <c r="OFE54" s="260"/>
      <c r="OFF54" s="297"/>
      <c r="OFG54" s="297"/>
      <c r="OFH54" s="297"/>
      <c r="OFI54" s="261"/>
      <c r="OFJ54" s="261"/>
      <c r="OFK54" s="261"/>
      <c r="OFL54" s="262"/>
      <c r="OFM54" s="262"/>
      <c r="OFN54" s="261"/>
      <c r="OFO54" s="263"/>
      <c r="OFP54" s="264"/>
      <c r="OFQ54" s="295"/>
      <c r="OFR54" s="295"/>
      <c r="OFS54" s="295"/>
      <c r="OFT54" s="295"/>
      <c r="OFU54" s="295"/>
      <c r="OFV54" s="295"/>
      <c r="OFW54" s="153"/>
      <c r="OFX54" s="153"/>
      <c r="OFY54" s="151"/>
      <c r="OFZ54" s="153"/>
      <c r="OGB54" s="267"/>
      <c r="OGC54" s="267"/>
      <c r="OGD54" s="260"/>
      <c r="OGE54" s="297"/>
      <c r="OGF54" s="297"/>
      <c r="OGG54" s="297"/>
      <c r="OGH54" s="261"/>
      <c r="OGI54" s="261"/>
      <c r="OGJ54" s="261"/>
      <c r="OGK54" s="262"/>
      <c r="OGL54" s="262"/>
      <c r="OGM54" s="261"/>
      <c r="OGN54" s="263"/>
      <c r="OGO54" s="264"/>
      <c r="OGP54" s="295"/>
      <c r="OGQ54" s="295"/>
      <c r="OGR54" s="295"/>
      <c r="OGS54" s="295"/>
      <c r="OGT54" s="295"/>
      <c r="OGU54" s="295"/>
      <c r="OGV54" s="153"/>
      <c r="OGW54" s="153"/>
      <c r="OGX54" s="151"/>
      <c r="OGY54" s="153"/>
      <c r="OHA54" s="267"/>
      <c r="OHB54" s="267"/>
      <c r="OHC54" s="260"/>
      <c r="OHD54" s="297"/>
      <c r="OHE54" s="297"/>
      <c r="OHF54" s="297"/>
      <c r="OHG54" s="261"/>
      <c r="OHH54" s="261"/>
      <c r="OHI54" s="261"/>
      <c r="OHJ54" s="262"/>
      <c r="OHK54" s="262"/>
      <c r="OHL54" s="261"/>
      <c r="OHM54" s="263"/>
      <c r="OHN54" s="264"/>
      <c r="OHO54" s="295"/>
      <c r="OHP54" s="295"/>
      <c r="OHQ54" s="295"/>
      <c r="OHR54" s="295"/>
      <c r="OHS54" s="295"/>
      <c r="OHT54" s="295"/>
      <c r="OHU54" s="153"/>
      <c r="OHV54" s="153"/>
      <c r="OHW54" s="151"/>
      <c r="OHX54" s="153"/>
      <c r="OHZ54" s="267"/>
      <c r="OIA54" s="267"/>
      <c r="OIB54" s="260"/>
      <c r="OIC54" s="297"/>
      <c r="OID54" s="297"/>
      <c r="OIE54" s="297"/>
      <c r="OIF54" s="261"/>
      <c r="OIG54" s="261"/>
      <c r="OIH54" s="261"/>
      <c r="OII54" s="262"/>
      <c r="OIJ54" s="262"/>
      <c r="OIK54" s="261"/>
      <c r="OIL54" s="263"/>
      <c r="OIM54" s="264"/>
      <c r="OIN54" s="295"/>
      <c r="OIO54" s="295"/>
      <c r="OIP54" s="295"/>
      <c r="OIQ54" s="295"/>
      <c r="OIR54" s="295"/>
      <c r="OIS54" s="295"/>
      <c r="OIT54" s="153"/>
      <c r="OIU54" s="153"/>
      <c r="OIV54" s="151"/>
      <c r="OIW54" s="153"/>
      <c r="OIY54" s="267"/>
      <c r="OIZ54" s="267"/>
      <c r="OJA54" s="260"/>
      <c r="OJB54" s="297"/>
      <c r="OJC54" s="297"/>
      <c r="OJD54" s="297"/>
      <c r="OJE54" s="261"/>
      <c r="OJF54" s="261"/>
      <c r="OJG54" s="261"/>
      <c r="OJH54" s="262"/>
      <c r="OJI54" s="262"/>
      <c r="OJJ54" s="261"/>
      <c r="OJK54" s="263"/>
      <c r="OJL54" s="264"/>
      <c r="OJM54" s="295"/>
      <c r="OJN54" s="295"/>
      <c r="OJO54" s="295"/>
      <c r="OJP54" s="295"/>
      <c r="OJQ54" s="295"/>
      <c r="OJR54" s="295"/>
      <c r="OJS54" s="153"/>
      <c r="OJT54" s="153"/>
      <c r="OJU54" s="151"/>
      <c r="OJV54" s="153"/>
      <c r="OJX54" s="267"/>
      <c r="OJY54" s="267"/>
      <c r="OJZ54" s="260"/>
      <c r="OKA54" s="297"/>
      <c r="OKB54" s="297"/>
      <c r="OKC54" s="297"/>
      <c r="OKD54" s="261"/>
      <c r="OKE54" s="261"/>
      <c r="OKF54" s="261"/>
      <c r="OKG54" s="262"/>
      <c r="OKH54" s="262"/>
      <c r="OKI54" s="261"/>
      <c r="OKJ54" s="263"/>
      <c r="OKK54" s="264"/>
      <c r="OKL54" s="295"/>
      <c r="OKM54" s="295"/>
      <c r="OKN54" s="295"/>
      <c r="OKO54" s="295"/>
      <c r="OKP54" s="295"/>
      <c r="OKQ54" s="295"/>
      <c r="OKR54" s="153"/>
      <c r="OKS54" s="153"/>
      <c r="OKT54" s="151"/>
      <c r="OKU54" s="153"/>
      <c r="OKW54" s="267"/>
      <c r="OKX54" s="267"/>
      <c r="OKY54" s="260"/>
      <c r="OKZ54" s="297"/>
      <c r="OLA54" s="297"/>
      <c r="OLB54" s="297"/>
      <c r="OLC54" s="261"/>
      <c r="OLD54" s="261"/>
      <c r="OLE54" s="261"/>
      <c r="OLF54" s="262"/>
      <c r="OLG54" s="262"/>
      <c r="OLH54" s="261"/>
      <c r="OLI54" s="263"/>
      <c r="OLJ54" s="264"/>
      <c r="OLK54" s="295"/>
      <c r="OLL54" s="295"/>
      <c r="OLM54" s="295"/>
      <c r="OLN54" s="295"/>
      <c r="OLO54" s="295"/>
      <c r="OLP54" s="295"/>
      <c r="OLQ54" s="153"/>
      <c r="OLR54" s="153"/>
      <c r="OLS54" s="151"/>
      <c r="OLT54" s="153"/>
      <c r="OLV54" s="267"/>
      <c r="OLW54" s="267"/>
      <c r="OLX54" s="260"/>
      <c r="OLY54" s="297"/>
      <c r="OLZ54" s="297"/>
      <c r="OMA54" s="297"/>
      <c r="OMB54" s="261"/>
      <c r="OMC54" s="261"/>
      <c r="OMD54" s="261"/>
      <c r="OME54" s="262"/>
      <c r="OMF54" s="262"/>
      <c r="OMG54" s="261"/>
      <c r="OMH54" s="263"/>
      <c r="OMI54" s="264"/>
      <c r="OMJ54" s="295"/>
      <c r="OMK54" s="295"/>
      <c r="OML54" s="295"/>
      <c r="OMM54" s="295"/>
      <c r="OMN54" s="295"/>
      <c r="OMO54" s="295"/>
      <c r="OMP54" s="153"/>
      <c r="OMQ54" s="153"/>
      <c r="OMR54" s="151"/>
      <c r="OMS54" s="153"/>
      <c r="OMU54" s="267"/>
      <c r="OMV54" s="267"/>
      <c r="OMW54" s="260"/>
      <c r="OMX54" s="297"/>
      <c r="OMY54" s="297"/>
      <c r="OMZ54" s="297"/>
      <c r="ONA54" s="261"/>
      <c r="ONB54" s="261"/>
      <c r="ONC54" s="261"/>
      <c r="OND54" s="262"/>
      <c r="ONE54" s="262"/>
      <c r="ONF54" s="261"/>
      <c r="ONG54" s="263"/>
      <c r="ONH54" s="264"/>
      <c r="ONI54" s="295"/>
      <c r="ONJ54" s="295"/>
      <c r="ONK54" s="295"/>
      <c r="ONL54" s="295"/>
      <c r="ONM54" s="295"/>
      <c r="ONN54" s="295"/>
      <c r="ONO54" s="153"/>
      <c r="ONP54" s="153"/>
      <c r="ONQ54" s="151"/>
      <c r="ONR54" s="153"/>
      <c r="ONT54" s="267"/>
      <c r="ONU54" s="267"/>
      <c r="ONV54" s="260"/>
      <c r="ONW54" s="297"/>
      <c r="ONX54" s="297"/>
      <c r="ONY54" s="297"/>
      <c r="ONZ54" s="261"/>
      <c r="OOA54" s="261"/>
      <c r="OOB54" s="261"/>
      <c r="OOC54" s="262"/>
      <c r="OOD54" s="262"/>
      <c r="OOE54" s="261"/>
      <c r="OOF54" s="263"/>
      <c r="OOG54" s="264"/>
      <c r="OOH54" s="295"/>
      <c r="OOI54" s="295"/>
      <c r="OOJ54" s="295"/>
      <c r="OOK54" s="295"/>
      <c r="OOL54" s="295"/>
      <c r="OOM54" s="295"/>
      <c r="OON54" s="153"/>
      <c r="OOO54" s="153"/>
      <c r="OOP54" s="151"/>
      <c r="OOQ54" s="153"/>
      <c r="OOS54" s="267"/>
      <c r="OOT54" s="267"/>
      <c r="OOU54" s="260"/>
      <c r="OOV54" s="297"/>
      <c r="OOW54" s="297"/>
      <c r="OOX54" s="297"/>
      <c r="OOY54" s="261"/>
      <c r="OOZ54" s="261"/>
      <c r="OPA54" s="261"/>
      <c r="OPB54" s="262"/>
      <c r="OPC54" s="262"/>
      <c r="OPD54" s="261"/>
      <c r="OPE54" s="263"/>
      <c r="OPF54" s="264"/>
      <c r="OPG54" s="295"/>
      <c r="OPH54" s="295"/>
      <c r="OPI54" s="295"/>
      <c r="OPJ54" s="295"/>
      <c r="OPK54" s="295"/>
      <c r="OPL54" s="295"/>
      <c r="OPM54" s="153"/>
      <c r="OPN54" s="153"/>
      <c r="OPO54" s="151"/>
      <c r="OPP54" s="153"/>
      <c r="OPR54" s="267"/>
      <c r="OPS54" s="267"/>
      <c r="OPT54" s="260"/>
      <c r="OPU54" s="297"/>
      <c r="OPV54" s="297"/>
      <c r="OPW54" s="297"/>
      <c r="OPX54" s="261"/>
      <c r="OPY54" s="261"/>
      <c r="OPZ54" s="261"/>
      <c r="OQA54" s="262"/>
      <c r="OQB54" s="262"/>
      <c r="OQC54" s="261"/>
      <c r="OQD54" s="263"/>
      <c r="OQE54" s="264"/>
      <c r="OQF54" s="295"/>
      <c r="OQG54" s="295"/>
      <c r="OQH54" s="295"/>
      <c r="OQI54" s="295"/>
      <c r="OQJ54" s="295"/>
      <c r="OQK54" s="295"/>
      <c r="OQL54" s="153"/>
      <c r="OQM54" s="153"/>
      <c r="OQN54" s="151"/>
      <c r="OQO54" s="153"/>
      <c r="OQQ54" s="267"/>
      <c r="OQR54" s="267"/>
      <c r="OQS54" s="260"/>
      <c r="OQT54" s="297"/>
      <c r="OQU54" s="297"/>
      <c r="OQV54" s="297"/>
      <c r="OQW54" s="261"/>
      <c r="OQX54" s="261"/>
      <c r="OQY54" s="261"/>
      <c r="OQZ54" s="262"/>
      <c r="ORA54" s="262"/>
      <c r="ORB54" s="261"/>
      <c r="ORC54" s="263"/>
      <c r="ORD54" s="264"/>
      <c r="ORE54" s="295"/>
      <c r="ORF54" s="295"/>
      <c r="ORG54" s="295"/>
      <c r="ORH54" s="295"/>
      <c r="ORI54" s="295"/>
      <c r="ORJ54" s="295"/>
      <c r="ORK54" s="153"/>
      <c r="ORL54" s="153"/>
      <c r="ORM54" s="151"/>
      <c r="ORN54" s="153"/>
      <c r="ORP54" s="267"/>
      <c r="ORQ54" s="267"/>
      <c r="ORR54" s="260"/>
      <c r="ORS54" s="297"/>
      <c r="ORT54" s="297"/>
      <c r="ORU54" s="297"/>
      <c r="ORV54" s="261"/>
      <c r="ORW54" s="261"/>
      <c r="ORX54" s="261"/>
      <c r="ORY54" s="262"/>
      <c r="ORZ54" s="262"/>
      <c r="OSA54" s="261"/>
      <c r="OSB54" s="263"/>
      <c r="OSC54" s="264"/>
      <c r="OSD54" s="295"/>
      <c r="OSE54" s="295"/>
      <c r="OSF54" s="295"/>
      <c r="OSG54" s="295"/>
      <c r="OSH54" s="295"/>
      <c r="OSI54" s="295"/>
      <c r="OSJ54" s="153"/>
      <c r="OSK54" s="153"/>
      <c r="OSL54" s="151"/>
      <c r="OSM54" s="153"/>
      <c r="OSO54" s="267"/>
      <c r="OSP54" s="267"/>
      <c r="OSQ54" s="260"/>
      <c r="OSR54" s="297"/>
      <c r="OSS54" s="297"/>
      <c r="OST54" s="297"/>
      <c r="OSU54" s="261"/>
      <c r="OSV54" s="261"/>
      <c r="OSW54" s="261"/>
      <c r="OSX54" s="262"/>
      <c r="OSY54" s="262"/>
      <c r="OSZ54" s="261"/>
      <c r="OTA54" s="263"/>
      <c r="OTB54" s="264"/>
      <c r="OTC54" s="295"/>
      <c r="OTD54" s="295"/>
      <c r="OTE54" s="295"/>
      <c r="OTF54" s="295"/>
      <c r="OTG54" s="295"/>
      <c r="OTH54" s="295"/>
      <c r="OTI54" s="153"/>
      <c r="OTJ54" s="153"/>
      <c r="OTK54" s="151"/>
      <c r="OTL54" s="153"/>
      <c r="OTN54" s="267"/>
      <c r="OTO54" s="267"/>
      <c r="OTP54" s="260"/>
      <c r="OTQ54" s="297"/>
      <c r="OTR54" s="297"/>
      <c r="OTS54" s="297"/>
      <c r="OTT54" s="261"/>
      <c r="OTU54" s="261"/>
      <c r="OTV54" s="261"/>
      <c r="OTW54" s="262"/>
      <c r="OTX54" s="262"/>
      <c r="OTY54" s="261"/>
      <c r="OTZ54" s="263"/>
      <c r="OUA54" s="264"/>
      <c r="OUB54" s="295"/>
      <c r="OUC54" s="295"/>
      <c r="OUD54" s="295"/>
      <c r="OUE54" s="295"/>
      <c r="OUF54" s="295"/>
      <c r="OUG54" s="295"/>
      <c r="OUH54" s="153"/>
      <c r="OUI54" s="153"/>
      <c r="OUJ54" s="151"/>
      <c r="OUK54" s="153"/>
      <c r="OUM54" s="267"/>
      <c r="OUN54" s="267"/>
      <c r="OUO54" s="260"/>
      <c r="OUP54" s="297"/>
      <c r="OUQ54" s="297"/>
      <c r="OUR54" s="297"/>
      <c r="OUS54" s="261"/>
      <c r="OUT54" s="261"/>
      <c r="OUU54" s="261"/>
      <c r="OUV54" s="262"/>
      <c r="OUW54" s="262"/>
      <c r="OUX54" s="261"/>
      <c r="OUY54" s="263"/>
      <c r="OUZ54" s="264"/>
      <c r="OVA54" s="295"/>
      <c r="OVB54" s="295"/>
      <c r="OVC54" s="295"/>
      <c r="OVD54" s="295"/>
      <c r="OVE54" s="295"/>
      <c r="OVF54" s="295"/>
      <c r="OVG54" s="153"/>
      <c r="OVH54" s="153"/>
      <c r="OVI54" s="151"/>
      <c r="OVJ54" s="153"/>
      <c r="OVL54" s="267"/>
      <c r="OVM54" s="267"/>
      <c r="OVN54" s="260"/>
      <c r="OVO54" s="297"/>
      <c r="OVP54" s="297"/>
      <c r="OVQ54" s="297"/>
      <c r="OVR54" s="261"/>
      <c r="OVS54" s="261"/>
      <c r="OVT54" s="261"/>
      <c r="OVU54" s="262"/>
      <c r="OVV54" s="262"/>
      <c r="OVW54" s="261"/>
      <c r="OVX54" s="263"/>
      <c r="OVY54" s="264"/>
      <c r="OVZ54" s="295"/>
      <c r="OWA54" s="295"/>
      <c r="OWB54" s="295"/>
      <c r="OWC54" s="295"/>
      <c r="OWD54" s="295"/>
      <c r="OWE54" s="295"/>
      <c r="OWF54" s="153"/>
      <c r="OWG54" s="153"/>
      <c r="OWH54" s="151"/>
      <c r="OWI54" s="153"/>
      <c r="OWK54" s="267"/>
      <c r="OWL54" s="267"/>
      <c r="OWM54" s="260"/>
      <c r="OWN54" s="297"/>
      <c r="OWO54" s="297"/>
      <c r="OWP54" s="297"/>
      <c r="OWQ54" s="261"/>
      <c r="OWR54" s="261"/>
      <c r="OWS54" s="261"/>
      <c r="OWT54" s="262"/>
      <c r="OWU54" s="262"/>
      <c r="OWV54" s="261"/>
      <c r="OWW54" s="263"/>
      <c r="OWX54" s="264"/>
      <c r="OWY54" s="295"/>
      <c r="OWZ54" s="295"/>
      <c r="OXA54" s="295"/>
      <c r="OXB54" s="295"/>
      <c r="OXC54" s="295"/>
      <c r="OXD54" s="295"/>
      <c r="OXE54" s="153"/>
      <c r="OXF54" s="153"/>
      <c r="OXG54" s="151"/>
      <c r="OXH54" s="153"/>
      <c r="OXJ54" s="267"/>
      <c r="OXK54" s="267"/>
      <c r="OXL54" s="260"/>
      <c r="OXM54" s="297"/>
      <c r="OXN54" s="297"/>
      <c r="OXO54" s="297"/>
      <c r="OXP54" s="261"/>
      <c r="OXQ54" s="261"/>
      <c r="OXR54" s="261"/>
      <c r="OXS54" s="262"/>
      <c r="OXT54" s="262"/>
      <c r="OXU54" s="261"/>
      <c r="OXV54" s="263"/>
      <c r="OXW54" s="264"/>
      <c r="OXX54" s="295"/>
      <c r="OXY54" s="295"/>
      <c r="OXZ54" s="295"/>
      <c r="OYA54" s="295"/>
      <c r="OYB54" s="295"/>
      <c r="OYC54" s="295"/>
      <c r="OYD54" s="153"/>
      <c r="OYE54" s="153"/>
      <c r="OYF54" s="151"/>
      <c r="OYG54" s="153"/>
      <c r="OYI54" s="267"/>
      <c r="OYJ54" s="267"/>
      <c r="OYK54" s="260"/>
      <c r="OYL54" s="297"/>
      <c r="OYM54" s="297"/>
      <c r="OYN54" s="297"/>
      <c r="OYO54" s="261"/>
      <c r="OYP54" s="261"/>
      <c r="OYQ54" s="261"/>
      <c r="OYR54" s="262"/>
      <c r="OYS54" s="262"/>
      <c r="OYT54" s="261"/>
      <c r="OYU54" s="263"/>
      <c r="OYV54" s="264"/>
      <c r="OYW54" s="295"/>
      <c r="OYX54" s="295"/>
      <c r="OYY54" s="295"/>
      <c r="OYZ54" s="295"/>
      <c r="OZA54" s="295"/>
      <c r="OZB54" s="295"/>
      <c r="OZC54" s="153"/>
      <c r="OZD54" s="153"/>
      <c r="OZE54" s="151"/>
      <c r="OZF54" s="153"/>
      <c r="OZH54" s="267"/>
      <c r="OZI54" s="267"/>
      <c r="OZJ54" s="260"/>
      <c r="OZK54" s="297"/>
      <c r="OZL54" s="297"/>
      <c r="OZM54" s="297"/>
      <c r="OZN54" s="261"/>
      <c r="OZO54" s="261"/>
      <c r="OZP54" s="261"/>
      <c r="OZQ54" s="262"/>
      <c r="OZR54" s="262"/>
      <c r="OZS54" s="261"/>
      <c r="OZT54" s="263"/>
      <c r="OZU54" s="264"/>
      <c r="OZV54" s="295"/>
      <c r="OZW54" s="295"/>
      <c r="OZX54" s="295"/>
      <c r="OZY54" s="295"/>
      <c r="OZZ54" s="295"/>
      <c r="PAA54" s="295"/>
      <c r="PAB54" s="153"/>
      <c r="PAC54" s="153"/>
      <c r="PAD54" s="151"/>
      <c r="PAE54" s="153"/>
      <c r="PAG54" s="267"/>
      <c r="PAH54" s="267"/>
      <c r="PAI54" s="260"/>
      <c r="PAJ54" s="297"/>
      <c r="PAK54" s="297"/>
      <c r="PAL54" s="297"/>
      <c r="PAM54" s="261"/>
      <c r="PAN54" s="261"/>
      <c r="PAO54" s="261"/>
      <c r="PAP54" s="262"/>
      <c r="PAQ54" s="262"/>
      <c r="PAR54" s="261"/>
      <c r="PAS54" s="263"/>
      <c r="PAT54" s="264"/>
      <c r="PAU54" s="295"/>
      <c r="PAV54" s="295"/>
      <c r="PAW54" s="295"/>
      <c r="PAX54" s="295"/>
      <c r="PAY54" s="295"/>
      <c r="PAZ54" s="295"/>
      <c r="PBA54" s="153"/>
      <c r="PBB54" s="153"/>
      <c r="PBC54" s="151"/>
      <c r="PBD54" s="153"/>
      <c r="PBF54" s="267"/>
      <c r="PBG54" s="267"/>
      <c r="PBH54" s="260"/>
      <c r="PBI54" s="297"/>
      <c r="PBJ54" s="297"/>
      <c r="PBK54" s="297"/>
      <c r="PBL54" s="261"/>
      <c r="PBM54" s="261"/>
      <c r="PBN54" s="261"/>
      <c r="PBO54" s="262"/>
      <c r="PBP54" s="262"/>
      <c r="PBQ54" s="261"/>
      <c r="PBR54" s="263"/>
      <c r="PBS54" s="264"/>
      <c r="PBT54" s="295"/>
      <c r="PBU54" s="295"/>
      <c r="PBV54" s="295"/>
      <c r="PBW54" s="295"/>
      <c r="PBX54" s="295"/>
      <c r="PBY54" s="295"/>
      <c r="PBZ54" s="153"/>
      <c r="PCA54" s="153"/>
      <c r="PCB54" s="151"/>
      <c r="PCC54" s="153"/>
      <c r="PCE54" s="267"/>
      <c r="PCF54" s="267"/>
      <c r="PCG54" s="260"/>
      <c r="PCH54" s="297"/>
      <c r="PCI54" s="297"/>
      <c r="PCJ54" s="297"/>
      <c r="PCK54" s="261"/>
      <c r="PCL54" s="261"/>
      <c r="PCM54" s="261"/>
      <c r="PCN54" s="262"/>
      <c r="PCO54" s="262"/>
      <c r="PCP54" s="261"/>
      <c r="PCQ54" s="263"/>
      <c r="PCR54" s="264"/>
      <c r="PCS54" s="295"/>
      <c r="PCT54" s="295"/>
      <c r="PCU54" s="295"/>
      <c r="PCV54" s="295"/>
      <c r="PCW54" s="295"/>
      <c r="PCX54" s="295"/>
      <c r="PCY54" s="153"/>
      <c r="PCZ54" s="153"/>
      <c r="PDA54" s="151"/>
      <c r="PDB54" s="153"/>
      <c r="PDD54" s="267"/>
      <c r="PDE54" s="267"/>
      <c r="PDF54" s="260"/>
      <c r="PDG54" s="297"/>
      <c r="PDH54" s="297"/>
      <c r="PDI54" s="297"/>
      <c r="PDJ54" s="261"/>
      <c r="PDK54" s="261"/>
      <c r="PDL54" s="261"/>
      <c r="PDM54" s="262"/>
      <c r="PDN54" s="262"/>
      <c r="PDO54" s="261"/>
      <c r="PDP54" s="263"/>
      <c r="PDQ54" s="264"/>
      <c r="PDR54" s="295"/>
      <c r="PDS54" s="295"/>
      <c r="PDT54" s="295"/>
      <c r="PDU54" s="295"/>
      <c r="PDV54" s="295"/>
      <c r="PDW54" s="295"/>
      <c r="PDX54" s="153"/>
      <c r="PDY54" s="153"/>
      <c r="PDZ54" s="151"/>
      <c r="PEA54" s="153"/>
      <c r="PEC54" s="267"/>
      <c r="PED54" s="267"/>
      <c r="PEE54" s="260"/>
      <c r="PEF54" s="297"/>
      <c r="PEG54" s="297"/>
      <c r="PEH54" s="297"/>
      <c r="PEI54" s="261"/>
      <c r="PEJ54" s="261"/>
      <c r="PEK54" s="261"/>
      <c r="PEL54" s="262"/>
      <c r="PEM54" s="262"/>
      <c r="PEN54" s="261"/>
      <c r="PEO54" s="263"/>
      <c r="PEP54" s="264"/>
      <c r="PEQ54" s="295"/>
      <c r="PER54" s="295"/>
      <c r="PES54" s="295"/>
      <c r="PET54" s="295"/>
      <c r="PEU54" s="295"/>
      <c r="PEV54" s="295"/>
      <c r="PEW54" s="153"/>
      <c r="PEX54" s="153"/>
      <c r="PEY54" s="151"/>
      <c r="PEZ54" s="153"/>
      <c r="PFB54" s="267"/>
      <c r="PFC54" s="267"/>
      <c r="PFD54" s="260"/>
      <c r="PFE54" s="297"/>
      <c r="PFF54" s="297"/>
      <c r="PFG54" s="297"/>
      <c r="PFH54" s="261"/>
      <c r="PFI54" s="261"/>
      <c r="PFJ54" s="261"/>
      <c r="PFK54" s="262"/>
      <c r="PFL54" s="262"/>
      <c r="PFM54" s="261"/>
      <c r="PFN54" s="263"/>
      <c r="PFO54" s="264"/>
      <c r="PFP54" s="295"/>
      <c r="PFQ54" s="295"/>
      <c r="PFR54" s="295"/>
      <c r="PFS54" s="295"/>
      <c r="PFT54" s="295"/>
      <c r="PFU54" s="295"/>
      <c r="PFV54" s="153"/>
      <c r="PFW54" s="153"/>
      <c r="PFX54" s="151"/>
      <c r="PFY54" s="153"/>
      <c r="PGA54" s="267"/>
      <c r="PGB54" s="267"/>
      <c r="PGC54" s="260"/>
      <c r="PGD54" s="297"/>
      <c r="PGE54" s="297"/>
      <c r="PGF54" s="297"/>
      <c r="PGG54" s="261"/>
      <c r="PGH54" s="261"/>
      <c r="PGI54" s="261"/>
      <c r="PGJ54" s="262"/>
      <c r="PGK54" s="262"/>
      <c r="PGL54" s="261"/>
      <c r="PGM54" s="263"/>
      <c r="PGN54" s="264"/>
      <c r="PGO54" s="295"/>
      <c r="PGP54" s="295"/>
      <c r="PGQ54" s="295"/>
      <c r="PGR54" s="295"/>
      <c r="PGS54" s="295"/>
      <c r="PGT54" s="295"/>
      <c r="PGU54" s="153"/>
      <c r="PGV54" s="153"/>
      <c r="PGW54" s="151"/>
      <c r="PGX54" s="153"/>
      <c r="PGZ54" s="267"/>
      <c r="PHA54" s="267"/>
      <c r="PHB54" s="260"/>
      <c r="PHC54" s="297"/>
      <c r="PHD54" s="297"/>
      <c r="PHE54" s="297"/>
      <c r="PHF54" s="261"/>
      <c r="PHG54" s="261"/>
      <c r="PHH54" s="261"/>
      <c r="PHI54" s="262"/>
      <c r="PHJ54" s="262"/>
      <c r="PHK54" s="261"/>
      <c r="PHL54" s="263"/>
      <c r="PHM54" s="264"/>
      <c r="PHN54" s="295"/>
      <c r="PHO54" s="295"/>
      <c r="PHP54" s="295"/>
      <c r="PHQ54" s="295"/>
      <c r="PHR54" s="295"/>
      <c r="PHS54" s="295"/>
      <c r="PHT54" s="153"/>
      <c r="PHU54" s="153"/>
      <c r="PHV54" s="151"/>
      <c r="PHW54" s="153"/>
      <c r="PHY54" s="267"/>
      <c r="PHZ54" s="267"/>
      <c r="PIA54" s="260"/>
      <c r="PIB54" s="297"/>
      <c r="PIC54" s="297"/>
      <c r="PID54" s="297"/>
      <c r="PIE54" s="261"/>
      <c r="PIF54" s="261"/>
      <c r="PIG54" s="261"/>
      <c r="PIH54" s="262"/>
      <c r="PII54" s="262"/>
      <c r="PIJ54" s="261"/>
      <c r="PIK54" s="263"/>
      <c r="PIL54" s="264"/>
      <c r="PIM54" s="295"/>
      <c r="PIN54" s="295"/>
      <c r="PIO54" s="295"/>
      <c r="PIP54" s="295"/>
      <c r="PIQ54" s="295"/>
      <c r="PIR54" s="295"/>
      <c r="PIS54" s="153"/>
      <c r="PIT54" s="153"/>
      <c r="PIU54" s="151"/>
      <c r="PIV54" s="153"/>
      <c r="PIX54" s="267"/>
      <c r="PIY54" s="267"/>
      <c r="PIZ54" s="260"/>
      <c r="PJA54" s="297"/>
      <c r="PJB54" s="297"/>
      <c r="PJC54" s="297"/>
      <c r="PJD54" s="261"/>
      <c r="PJE54" s="261"/>
      <c r="PJF54" s="261"/>
      <c r="PJG54" s="262"/>
      <c r="PJH54" s="262"/>
      <c r="PJI54" s="261"/>
      <c r="PJJ54" s="263"/>
      <c r="PJK54" s="264"/>
      <c r="PJL54" s="295"/>
      <c r="PJM54" s="295"/>
      <c r="PJN54" s="295"/>
      <c r="PJO54" s="295"/>
      <c r="PJP54" s="295"/>
      <c r="PJQ54" s="295"/>
      <c r="PJR54" s="153"/>
      <c r="PJS54" s="153"/>
      <c r="PJT54" s="151"/>
      <c r="PJU54" s="153"/>
      <c r="PJW54" s="267"/>
      <c r="PJX54" s="267"/>
      <c r="PJY54" s="260"/>
      <c r="PJZ54" s="297"/>
      <c r="PKA54" s="297"/>
      <c r="PKB54" s="297"/>
      <c r="PKC54" s="261"/>
      <c r="PKD54" s="261"/>
      <c r="PKE54" s="261"/>
      <c r="PKF54" s="262"/>
      <c r="PKG54" s="262"/>
      <c r="PKH54" s="261"/>
      <c r="PKI54" s="263"/>
      <c r="PKJ54" s="264"/>
      <c r="PKK54" s="295"/>
      <c r="PKL54" s="295"/>
      <c r="PKM54" s="295"/>
      <c r="PKN54" s="295"/>
      <c r="PKO54" s="295"/>
      <c r="PKP54" s="295"/>
      <c r="PKQ54" s="153"/>
      <c r="PKR54" s="153"/>
      <c r="PKS54" s="151"/>
      <c r="PKT54" s="153"/>
      <c r="PKV54" s="267"/>
      <c r="PKW54" s="267"/>
      <c r="PKX54" s="260"/>
      <c r="PKY54" s="297"/>
      <c r="PKZ54" s="297"/>
      <c r="PLA54" s="297"/>
      <c r="PLB54" s="261"/>
      <c r="PLC54" s="261"/>
      <c r="PLD54" s="261"/>
      <c r="PLE54" s="262"/>
      <c r="PLF54" s="262"/>
      <c r="PLG54" s="261"/>
      <c r="PLH54" s="263"/>
      <c r="PLI54" s="264"/>
      <c r="PLJ54" s="295"/>
      <c r="PLK54" s="295"/>
      <c r="PLL54" s="295"/>
      <c r="PLM54" s="295"/>
      <c r="PLN54" s="295"/>
      <c r="PLO54" s="295"/>
      <c r="PLP54" s="153"/>
      <c r="PLQ54" s="153"/>
      <c r="PLR54" s="151"/>
      <c r="PLS54" s="153"/>
      <c r="PLU54" s="267"/>
      <c r="PLV54" s="267"/>
      <c r="PLW54" s="260"/>
      <c r="PLX54" s="297"/>
      <c r="PLY54" s="297"/>
      <c r="PLZ54" s="297"/>
      <c r="PMA54" s="261"/>
      <c r="PMB54" s="261"/>
      <c r="PMC54" s="261"/>
      <c r="PMD54" s="262"/>
      <c r="PME54" s="262"/>
      <c r="PMF54" s="261"/>
      <c r="PMG54" s="263"/>
      <c r="PMH54" s="264"/>
      <c r="PMI54" s="295"/>
      <c r="PMJ54" s="295"/>
      <c r="PMK54" s="295"/>
      <c r="PML54" s="295"/>
      <c r="PMM54" s="295"/>
      <c r="PMN54" s="295"/>
      <c r="PMO54" s="153"/>
      <c r="PMP54" s="153"/>
      <c r="PMQ54" s="151"/>
      <c r="PMR54" s="153"/>
      <c r="PMT54" s="267"/>
      <c r="PMU54" s="267"/>
      <c r="PMV54" s="260"/>
      <c r="PMW54" s="297"/>
      <c r="PMX54" s="297"/>
      <c r="PMY54" s="297"/>
      <c r="PMZ54" s="261"/>
      <c r="PNA54" s="261"/>
      <c r="PNB54" s="261"/>
      <c r="PNC54" s="262"/>
      <c r="PND54" s="262"/>
      <c r="PNE54" s="261"/>
      <c r="PNF54" s="263"/>
      <c r="PNG54" s="264"/>
      <c r="PNH54" s="295"/>
      <c r="PNI54" s="295"/>
      <c r="PNJ54" s="295"/>
      <c r="PNK54" s="295"/>
      <c r="PNL54" s="295"/>
      <c r="PNM54" s="295"/>
      <c r="PNN54" s="153"/>
      <c r="PNO54" s="153"/>
      <c r="PNP54" s="151"/>
      <c r="PNQ54" s="153"/>
      <c r="PNS54" s="267"/>
      <c r="PNT54" s="267"/>
      <c r="PNU54" s="260"/>
      <c r="PNV54" s="297"/>
      <c r="PNW54" s="297"/>
      <c r="PNX54" s="297"/>
      <c r="PNY54" s="261"/>
      <c r="PNZ54" s="261"/>
      <c r="POA54" s="261"/>
      <c r="POB54" s="262"/>
      <c r="POC54" s="262"/>
      <c r="POD54" s="261"/>
      <c r="POE54" s="263"/>
      <c r="POF54" s="264"/>
      <c r="POG54" s="295"/>
      <c r="POH54" s="295"/>
      <c r="POI54" s="295"/>
      <c r="POJ54" s="295"/>
      <c r="POK54" s="295"/>
      <c r="POL54" s="295"/>
      <c r="POM54" s="153"/>
      <c r="PON54" s="153"/>
      <c r="POO54" s="151"/>
      <c r="POP54" s="153"/>
      <c r="POR54" s="267"/>
      <c r="POS54" s="267"/>
      <c r="POT54" s="260"/>
      <c r="POU54" s="297"/>
      <c r="POV54" s="297"/>
      <c r="POW54" s="297"/>
      <c r="POX54" s="261"/>
      <c r="POY54" s="261"/>
      <c r="POZ54" s="261"/>
      <c r="PPA54" s="262"/>
      <c r="PPB54" s="262"/>
      <c r="PPC54" s="261"/>
      <c r="PPD54" s="263"/>
      <c r="PPE54" s="264"/>
      <c r="PPF54" s="295"/>
      <c r="PPG54" s="295"/>
      <c r="PPH54" s="295"/>
      <c r="PPI54" s="295"/>
      <c r="PPJ54" s="295"/>
      <c r="PPK54" s="295"/>
      <c r="PPL54" s="153"/>
      <c r="PPM54" s="153"/>
      <c r="PPN54" s="151"/>
      <c r="PPO54" s="153"/>
      <c r="PPQ54" s="267"/>
      <c r="PPR54" s="267"/>
      <c r="PPS54" s="260"/>
      <c r="PPT54" s="297"/>
      <c r="PPU54" s="297"/>
      <c r="PPV54" s="297"/>
      <c r="PPW54" s="261"/>
      <c r="PPX54" s="261"/>
      <c r="PPY54" s="261"/>
      <c r="PPZ54" s="262"/>
      <c r="PQA54" s="262"/>
      <c r="PQB54" s="261"/>
      <c r="PQC54" s="263"/>
      <c r="PQD54" s="264"/>
      <c r="PQE54" s="295"/>
      <c r="PQF54" s="295"/>
      <c r="PQG54" s="295"/>
      <c r="PQH54" s="295"/>
      <c r="PQI54" s="295"/>
      <c r="PQJ54" s="295"/>
      <c r="PQK54" s="153"/>
      <c r="PQL54" s="153"/>
      <c r="PQM54" s="151"/>
      <c r="PQN54" s="153"/>
      <c r="PQP54" s="267"/>
      <c r="PQQ54" s="267"/>
      <c r="PQR54" s="260"/>
      <c r="PQS54" s="297"/>
      <c r="PQT54" s="297"/>
      <c r="PQU54" s="297"/>
      <c r="PQV54" s="261"/>
      <c r="PQW54" s="261"/>
      <c r="PQX54" s="261"/>
      <c r="PQY54" s="262"/>
      <c r="PQZ54" s="262"/>
      <c r="PRA54" s="261"/>
      <c r="PRB54" s="263"/>
      <c r="PRC54" s="264"/>
      <c r="PRD54" s="295"/>
      <c r="PRE54" s="295"/>
      <c r="PRF54" s="295"/>
      <c r="PRG54" s="295"/>
      <c r="PRH54" s="295"/>
      <c r="PRI54" s="295"/>
      <c r="PRJ54" s="153"/>
      <c r="PRK54" s="153"/>
      <c r="PRL54" s="151"/>
      <c r="PRM54" s="153"/>
      <c r="PRO54" s="267"/>
      <c r="PRP54" s="267"/>
      <c r="PRQ54" s="260"/>
      <c r="PRR54" s="297"/>
      <c r="PRS54" s="297"/>
      <c r="PRT54" s="297"/>
      <c r="PRU54" s="261"/>
      <c r="PRV54" s="261"/>
      <c r="PRW54" s="261"/>
      <c r="PRX54" s="262"/>
      <c r="PRY54" s="262"/>
      <c r="PRZ54" s="261"/>
      <c r="PSA54" s="263"/>
      <c r="PSB54" s="264"/>
      <c r="PSC54" s="295"/>
      <c r="PSD54" s="295"/>
      <c r="PSE54" s="295"/>
      <c r="PSF54" s="295"/>
      <c r="PSG54" s="295"/>
      <c r="PSH54" s="295"/>
      <c r="PSI54" s="153"/>
      <c r="PSJ54" s="153"/>
      <c r="PSK54" s="151"/>
      <c r="PSL54" s="153"/>
      <c r="PSN54" s="267"/>
      <c r="PSO54" s="267"/>
      <c r="PSP54" s="260"/>
      <c r="PSQ54" s="297"/>
      <c r="PSR54" s="297"/>
      <c r="PSS54" s="297"/>
      <c r="PST54" s="261"/>
      <c r="PSU54" s="261"/>
      <c r="PSV54" s="261"/>
      <c r="PSW54" s="262"/>
      <c r="PSX54" s="262"/>
      <c r="PSY54" s="261"/>
      <c r="PSZ54" s="263"/>
      <c r="PTA54" s="264"/>
      <c r="PTB54" s="295"/>
      <c r="PTC54" s="295"/>
      <c r="PTD54" s="295"/>
      <c r="PTE54" s="295"/>
      <c r="PTF54" s="295"/>
      <c r="PTG54" s="295"/>
      <c r="PTH54" s="153"/>
      <c r="PTI54" s="153"/>
      <c r="PTJ54" s="151"/>
      <c r="PTK54" s="153"/>
      <c r="PTM54" s="267"/>
      <c r="PTN54" s="267"/>
      <c r="PTO54" s="260"/>
      <c r="PTP54" s="297"/>
      <c r="PTQ54" s="297"/>
      <c r="PTR54" s="297"/>
      <c r="PTS54" s="261"/>
      <c r="PTT54" s="261"/>
      <c r="PTU54" s="261"/>
      <c r="PTV54" s="262"/>
      <c r="PTW54" s="262"/>
      <c r="PTX54" s="261"/>
      <c r="PTY54" s="263"/>
      <c r="PTZ54" s="264"/>
      <c r="PUA54" s="295"/>
      <c r="PUB54" s="295"/>
      <c r="PUC54" s="295"/>
      <c r="PUD54" s="295"/>
      <c r="PUE54" s="295"/>
      <c r="PUF54" s="295"/>
      <c r="PUG54" s="153"/>
      <c r="PUH54" s="153"/>
      <c r="PUI54" s="151"/>
      <c r="PUJ54" s="153"/>
      <c r="PUL54" s="267"/>
      <c r="PUM54" s="267"/>
      <c r="PUN54" s="260"/>
      <c r="PUO54" s="297"/>
      <c r="PUP54" s="297"/>
      <c r="PUQ54" s="297"/>
      <c r="PUR54" s="261"/>
      <c r="PUS54" s="261"/>
      <c r="PUT54" s="261"/>
      <c r="PUU54" s="262"/>
      <c r="PUV54" s="262"/>
      <c r="PUW54" s="261"/>
      <c r="PUX54" s="263"/>
      <c r="PUY54" s="264"/>
      <c r="PUZ54" s="295"/>
      <c r="PVA54" s="295"/>
      <c r="PVB54" s="295"/>
      <c r="PVC54" s="295"/>
      <c r="PVD54" s="295"/>
      <c r="PVE54" s="295"/>
      <c r="PVF54" s="153"/>
      <c r="PVG54" s="153"/>
      <c r="PVH54" s="151"/>
      <c r="PVI54" s="153"/>
      <c r="PVK54" s="267"/>
      <c r="PVL54" s="267"/>
      <c r="PVM54" s="260"/>
      <c r="PVN54" s="297"/>
      <c r="PVO54" s="297"/>
      <c r="PVP54" s="297"/>
      <c r="PVQ54" s="261"/>
      <c r="PVR54" s="261"/>
      <c r="PVS54" s="261"/>
      <c r="PVT54" s="262"/>
      <c r="PVU54" s="262"/>
      <c r="PVV54" s="261"/>
      <c r="PVW54" s="263"/>
      <c r="PVX54" s="264"/>
      <c r="PVY54" s="295"/>
      <c r="PVZ54" s="295"/>
      <c r="PWA54" s="295"/>
      <c r="PWB54" s="295"/>
      <c r="PWC54" s="295"/>
      <c r="PWD54" s="295"/>
      <c r="PWE54" s="153"/>
      <c r="PWF54" s="153"/>
      <c r="PWG54" s="151"/>
      <c r="PWH54" s="153"/>
      <c r="PWJ54" s="267"/>
      <c r="PWK54" s="267"/>
      <c r="PWL54" s="260"/>
      <c r="PWM54" s="297"/>
      <c r="PWN54" s="297"/>
      <c r="PWO54" s="297"/>
      <c r="PWP54" s="261"/>
      <c r="PWQ54" s="261"/>
      <c r="PWR54" s="261"/>
      <c r="PWS54" s="262"/>
      <c r="PWT54" s="262"/>
      <c r="PWU54" s="261"/>
      <c r="PWV54" s="263"/>
      <c r="PWW54" s="264"/>
      <c r="PWX54" s="295"/>
      <c r="PWY54" s="295"/>
      <c r="PWZ54" s="295"/>
      <c r="PXA54" s="295"/>
      <c r="PXB54" s="295"/>
      <c r="PXC54" s="295"/>
      <c r="PXD54" s="153"/>
      <c r="PXE54" s="153"/>
      <c r="PXF54" s="151"/>
      <c r="PXG54" s="153"/>
      <c r="PXI54" s="267"/>
      <c r="PXJ54" s="267"/>
      <c r="PXK54" s="260"/>
      <c r="PXL54" s="297"/>
      <c r="PXM54" s="297"/>
      <c r="PXN54" s="297"/>
      <c r="PXO54" s="261"/>
      <c r="PXP54" s="261"/>
      <c r="PXQ54" s="261"/>
      <c r="PXR54" s="262"/>
      <c r="PXS54" s="262"/>
      <c r="PXT54" s="261"/>
      <c r="PXU54" s="263"/>
      <c r="PXV54" s="264"/>
      <c r="PXW54" s="295"/>
      <c r="PXX54" s="295"/>
      <c r="PXY54" s="295"/>
      <c r="PXZ54" s="295"/>
      <c r="PYA54" s="295"/>
      <c r="PYB54" s="295"/>
      <c r="PYC54" s="153"/>
      <c r="PYD54" s="153"/>
      <c r="PYE54" s="151"/>
      <c r="PYF54" s="153"/>
      <c r="PYH54" s="267"/>
      <c r="PYI54" s="267"/>
      <c r="PYJ54" s="260"/>
      <c r="PYK54" s="297"/>
      <c r="PYL54" s="297"/>
      <c r="PYM54" s="297"/>
      <c r="PYN54" s="261"/>
      <c r="PYO54" s="261"/>
      <c r="PYP54" s="261"/>
      <c r="PYQ54" s="262"/>
      <c r="PYR54" s="262"/>
      <c r="PYS54" s="261"/>
      <c r="PYT54" s="263"/>
      <c r="PYU54" s="264"/>
      <c r="PYV54" s="295"/>
      <c r="PYW54" s="295"/>
      <c r="PYX54" s="295"/>
      <c r="PYY54" s="295"/>
      <c r="PYZ54" s="295"/>
      <c r="PZA54" s="295"/>
      <c r="PZB54" s="153"/>
      <c r="PZC54" s="153"/>
      <c r="PZD54" s="151"/>
      <c r="PZE54" s="153"/>
      <c r="PZG54" s="267"/>
      <c r="PZH54" s="267"/>
      <c r="PZI54" s="260"/>
      <c r="PZJ54" s="297"/>
      <c r="PZK54" s="297"/>
      <c r="PZL54" s="297"/>
      <c r="PZM54" s="261"/>
      <c r="PZN54" s="261"/>
      <c r="PZO54" s="261"/>
      <c r="PZP54" s="262"/>
      <c r="PZQ54" s="262"/>
      <c r="PZR54" s="261"/>
      <c r="PZS54" s="263"/>
      <c r="PZT54" s="264"/>
      <c r="PZU54" s="295"/>
      <c r="PZV54" s="295"/>
      <c r="PZW54" s="295"/>
      <c r="PZX54" s="295"/>
      <c r="PZY54" s="295"/>
      <c r="PZZ54" s="295"/>
      <c r="QAA54" s="153"/>
      <c r="QAB54" s="153"/>
      <c r="QAC54" s="151"/>
      <c r="QAD54" s="153"/>
      <c r="QAF54" s="267"/>
      <c r="QAG54" s="267"/>
      <c r="QAH54" s="260"/>
      <c r="QAI54" s="297"/>
      <c r="QAJ54" s="297"/>
      <c r="QAK54" s="297"/>
      <c r="QAL54" s="261"/>
      <c r="QAM54" s="261"/>
      <c r="QAN54" s="261"/>
      <c r="QAO54" s="262"/>
      <c r="QAP54" s="262"/>
      <c r="QAQ54" s="261"/>
      <c r="QAR54" s="263"/>
      <c r="QAS54" s="264"/>
      <c r="QAT54" s="295"/>
      <c r="QAU54" s="295"/>
      <c r="QAV54" s="295"/>
      <c r="QAW54" s="295"/>
      <c r="QAX54" s="295"/>
      <c r="QAY54" s="295"/>
      <c r="QAZ54" s="153"/>
      <c r="QBA54" s="153"/>
      <c r="QBB54" s="151"/>
      <c r="QBC54" s="153"/>
      <c r="QBE54" s="267"/>
      <c r="QBF54" s="267"/>
      <c r="QBG54" s="260"/>
      <c r="QBH54" s="297"/>
      <c r="QBI54" s="297"/>
      <c r="QBJ54" s="297"/>
      <c r="QBK54" s="261"/>
      <c r="QBL54" s="261"/>
      <c r="QBM54" s="261"/>
      <c r="QBN54" s="262"/>
      <c r="QBO54" s="262"/>
      <c r="QBP54" s="261"/>
      <c r="QBQ54" s="263"/>
      <c r="QBR54" s="264"/>
      <c r="QBS54" s="295"/>
      <c r="QBT54" s="295"/>
      <c r="QBU54" s="295"/>
      <c r="QBV54" s="295"/>
      <c r="QBW54" s="295"/>
      <c r="QBX54" s="295"/>
      <c r="QBY54" s="153"/>
      <c r="QBZ54" s="153"/>
      <c r="QCA54" s="151"/>
      <c r="QCB54" s="153"/>
      <c r="QCD54" s="267"/>
      <c r="QCE54" s="267"/>
      <c r="QCF54" s="260"/>
      <c r="QCG54" s="297"/>
      <c r="QCH54" s="297"/>
      <c r="QCI54" s="297"/>
      <c r="QCJ54" s="261"/>
      <c r="QCK54" s="261"/>
      <c r="QCL54" s="261"/>
      <c r="QCM54" s="262"/>
      <c r="QCN54" s="262"/>
      <c r="QCO54" s="261"/>
      <c r="QCP54" s="263"/>
      <c r="QCQ54" s="264"/>
      <c r="QCR54" s="295"/>
      <c r="QCS54" s="295"/>
      <c r="QCT54" s="295"/>
      <c r="QCU54" s="295"/>
      <c r="QCV54" s="295"/>
      <c r="QCW54" s="295"/>
      <c r="QCX54" s="153"/>
      <c r="QCY54" s="153"/>
      <c r="QCZ54" s="151"/>
      <c r="QDA54" s="153"/>
      <c r="QDC54" s="267"/>
      <c r="QDD54" s="267"/>
      <c r="QDE54" s="260"/>
      <c r="QDF54" s="297"/>
      <c r="QDG54" s="297"/>
      <c r="QDH54" s="297"/>
      <c r="QDI54" s="261"/>
      <c r="QDJ54" s="261"/>
      <c r="QDK54" s="261"/>
      <c r="QDL54" s="262"/>
      <c r="QDM54" s="262"/>
      <c r="QDN54" s="261"/>
      <c r="QDO54" s="263"/>
      <c r="QDP54" s="264"/>
      <c r="QDQ54" s="295"/>
      <c r="QDR54" s="295"/>
      <c r="QDS54" s="295"/>
      <c r="QDT54" s="295"/>
      <c r="QDU54" s="295"/>
      <c r="QDV54" s="295"/>
      <c r="QDW54" s="153"/>
      <c r="QDX54" s="153"/>
      <c r="QDY54" s="151"/>
      <c r="QDZ54" s="153"/>
      <c r="QEB54" s="267"/>
      <c r="QEC54" s="267"/>
      <c r="QED54" s="260"/>
      <c r="QEE54" s="297"/>
      <c r="QEF54" s="297"/>
      <c r="QEG54" s="297"/>
      <c r="QEH54" s="261"/>
      <c r="QEI54" s="261"/>
      <c r="QEJ54" s="261"/>
      <c r="QEK54" s="262"/>
      <c r="QEL54" s="262"/>
      <c r="QEM54" s="261"/>
      <c r="QEN54" s="263"/>
      <c r="QEO54" s="264"/>
      <c r="QEP54" s="295"/>
      <c r="QEQ54" s="295"/>
      <c r="QER54" s="295"/>
      <c r="QES54" s="295"/>
      <c r="QET54" s="295"/>
      <c r="QEU54" s="295"/>
      <c r="QEV54" s="153"/>
      <c r="QEW54" s="153"/>
      <c r="QEX54" s="151"/>
      <c r="QEY54" s="153"/>
      <c r="QFA54" s="267"/>
      <c r="QFB54" s="267"/>
      <c r="QFC54" s="260"/>
      <c r="QFD54" s="297"/>
      <c r="QFE54" s="297"/>
      <c r="QFF54" s="297"/>
      <c r="QFG54" s="261"/>
      <c r="QFH54" s="261"/>
      <c r="QFI54" s="261"/>
      <c r="QFJ54" s="262"/>
      <c r="QFK54" s="262"/>
      <c r="QFL54" s="261"/>
      <c r="QFM54" s="263"/>
      <c r="QFN54" s="264"/>
      <c r="QFO54" s="295"/>
      <c r="QFP54" s="295"/>
      <c r="QFQ54" s="295"/>
      <c r="QFR54" s="295"/>
      <c r="QFS54" s="295"/>
      <c r="QFT54" s="295"/>
      <c r="QFU54" s="153"/>
      <c r="QFV54" s="153"/>
      <c r="QFW54" s="151"/>
      <c r="QFX54" s="153"/>
      <c r="QFZ54" s="267"/>
      <c r="QGA54" s="267"/>
      <c r="QGB54" s="260"/>
      <c r="QGC54" s="297"/>
      <c r="QGD54" s="297"/>
      <c r="QGE54" s="297"/>
      <c r="QGF54" s="261"/>
      <c r="QGG54" s="261"/>
      <c r="QGH54" s="261"/>
      <c r="QGI54" s="262"/>
      <c r="QGJ54" s="262"/>
      <c r="QGK54" s="261"/>
      <c r="QGL54" s="263"/>
      <c r="QGM54" s="264"/>
      <c r="QGN54" s="295"/>
      <c r="QGO54" s="295"/>
      <c r="QGP54" s="295"/>
      <c r="QGQ54" s="295"/>
      <c r="QGR54" s="295"/>
      <c r="QGS54" s="295"/>
      <c r="QGT54" s="153"/>
      <c r="QGU54" s="153"/>
      <c r="QGV54" s="151"/>
      <c r="QGW54" s="153"/>
      <c r="QGY54" s="267"/>
      <c r="QGZ54" s="267"/>
      <c r="QHA54" s="260"/>
      <c r="QHB54" s="297"/>
      <c r="QHC54" s="297"/>
      <c r="QHD54" s="297"/>
      <c r="QHE54" s="261"/>
      <c r="QHF54" s="261"/>
      <c r="QHG54" s="261"/>
      <c r="QHH54" s="262"/>
      <c r="QHI54" s="262"/>
      <c r="QHJ54" s="261"/>
      <c r="QHK54" s="263"/>
      <c r="QHL54" s="264"/>
      <c r="QHM54" s="295"/>
      <c r="QHN54" s="295"/>
      <c r="QHO54" s="295"/>
      <c r="QHP54" s="295"/>
      <c r="QHQ54" s="295"/>
      <c r="QHR54" s="295"/>
      <c r="QHS54" s="153"/>
      <c r="QHT54" s="153"/>
      <c r="QHU54" s="151"/>
      <c r="QHV54" s="153"/>
      <c r="QHX54" s="267"/>
      <c r="QHY54" s="267"/>
      <c r="QHZ54" s="260"/>
      <c r="QIA54" s="297"/>
      <c r="QIB54" s="297"/>
      <c r="QIC54" s="297"/>
      <c r="QID54" s="261"/>
      <c r="QIE54" s="261"/>
      <c r="QIF54" s="261"/>
      <c r="QIG54" s="262"/>
      <c r="QIH54" s="262"/>
      <c r="QII54" s="261"/>
      <c r="QIJ54" s="263"/>
      <c r="QIK54" s="264"/>
      <c r="QIL54" s="295"/>
      <c r="QIM54" s="295"/>
      <c r="QIN54" s="295"/>
      <c r="QIO54" s="295"/>
      <c r="QIP54" s="295"/>
      <c r="QIQ54" s="295"/>
      <c r="QIR54" s="153"/>
      <c r="QIS54" s="153"/>
      <c r="QIT54" s="151"/>
      <c r="QIU54" s="153"/>
      <c r="QIW54" s="267"/>
      <c r="QIX54" s="267"/>
      <c r="QIY54" s="260"/>
      <c r="QIZ54" s="297"/>
      <c r="QJA54" s="297"/>
      <c r="QJB54" s="297"/>
      <c r="QJC54" s="261"/>
      <c r="QJD54" s="261"/>
      <c r="QJE54" s="261"/>
      <c r="QJF54" s="262"/>
      <c r="QJG54" s="262"/>
      <c r="QJH54" s="261"/>
      <c r="QJI54" s="263"/>
      <c r="QJJ54" s="264"/>
      <c r="QJK54" s="295"/>
      <c r="QJL54" s="295"/>
      <c r="QJM54" s="295"/>
      <c r="QJN54" s="295"/>
      <c r="QJO54" s="295"/>
      <c r="QJP54" s="295"/>
      <c r="QJQ54" s="153"/>
      <c r="QJR54" s="153"/>
      <c r="QJS54" s="151"/>
      <c r="QJT54" s="153"/>
      <c r="QJV54" s="267"/>
      <c r="QJW54" s="267"/>
      <c r="QJX54" s="260"/>
      <c r="QJY54" s="297"/>
      <c r="QJZ54" s="297"/>
      <c r="QKA54" s="297"/>
      <c r="QKB54" s="261"/>
      <c r="QKC54" s="261"/>
      <c r="QKD54" s="261"/>
      <c r="QKE54" s="262"/>
      <c r="QKF54" s="262"/>
      <c r="QKG54" s="261"/>
      <c r="QKH54" s="263"/>
      <c r="QKI54" s="264"/>
      <c r="QKJ54" s="295"/>
      <c r="QKK54" s="295"/>
      <c r="QKL54" s="295"/>
      <c r="QKM54" s="295"/>
      <c r="QKN54" s="295"/>
      <c r="QKO54" s="295"/>
      <c r="QKP54" s="153"/>
      <c r="QKQ54" s="153"/>
      <c r="QKR54" s="151"/>
      <c r="QKS54" s="153"/>
      <c r="QKU54" s="267"/>
      <c r="QKV54" s="267"/>
      <c r="QKW54" s="260"/>
      <c r="QKX54" s="297"/>
      <c r="QKY54" s="297"/>
      <c r="QKZ54" s="297"/>
      <c r="QLA54" s="261"/>
      <c r="QLB54" s="261"/>
      <c r="QLC54" s="261"/>
      <c r="QLD54" s="262"/>
      <c r="QLE54" s="262"/>
      <c r="QLF54" s="261"/>
      <c r="QLG54" s="263"/>
      <c r="QLH54" s="264"/>
      <c r="QLI54" s="295"/>
      <c r="QLJ54" s="295"/>
      <c r="QLK54" s="295"/>
      <c r="QLL54" s="295"/>
      <c r="QLM54" s="295"/>
      <c r="QLN54" s="295"/>
      <c r="QLO54" s="153"/>
      <c r="QLP54" s="153"/>
      <c r="QLQ54" s="151"/>
      <c r="QLR54" s="153"/>
      <c r="QLT54" s="267"/>
      <c r="QLU54" s="267"/>
      <c r="QLV54" s="260"/>
      <c r="QLW54" s="297"/>
      <c r="QLX54" s="297"/>
      <c r="QLY54" s="297"/>
      <c r="QLZ54" s="261"/>
      <c r="QMA54" s="261"/>
      <c r="QMB54" s="261"/>
      <c r="QMC54" s="262"/>
      <c r="QMD54" s="262"/>
      <c r="QME54" s="261"/>
      <c r="QMF54" s="263"/>
      <c r="QMG54" s="264"/>
      <c r="QMH54" s="295"/>
      <c r="QMI54" s="295"/>
      <c r="QMJ54" s="295"/>
      <c r="QMK54" s="295"/>
      <c r="QML54" s="295"/>
      <c r="QMM54" s="295"/>
      <c r="QMN54" s="153"/>
      <c r="QMO54" s="153"/>
      <c r="QMP54" s="151"/>
      <c r="QMQ54" s="153"/>
      <c r="QMS54" s="267"/>
      <c r="QMT54" s="267"/>
      <c r="QMU54" s="260"/>
      <c r="QMV54" s="297"/>
      <c r="QMW54" s="297"/>
      <c r="QMX54" s="297"/>
      <c r="QMY54" s="261"/>
      <c r="QMZ54" s="261"/>
      <c r="QNA54" s="261"/>
      <c r="QNB54" s="262"/>
      <c r="QNC54" s="262"/>
      <c r="QND54" s="261"/>
      <c r="QNE54" s="263"/>
      <c r="QNF54" s="264"/>
      <c r="QNG54" s="295"/>
      <c r="QNH54" s="295"/>
      <c r="QNI54" s="295"/>
      <c r="QNJ54" s="295"/>
      <c r="QNK54" s="295"/>
      <c r="QNL54" s="295"/>
      <c r="QNM54" s="153"/>
      <c r="QNN54" s="153"/>
      <c r="QNO54" s="151"/>
      <c r="QNP54" s="153"/>
      <c r="QNR54" s="267"/>
      <c r="QNS54" s="267"/>
      <c r="QNT54" s="260"/>
      <c r="QNU54" s="297"/>
      <c r="QNV54" s="297"/>
      <c r="QNW54" s="297"/>
      <c r="QNX54" s="261"/>
      <c r="QNY54" s="261"/>
      <c r="QNZ54" s="261"/>
      <c r="QOA54" s="262"/>
      <c r="QOB54" s="262"/>
      <c r="QOC54" s="261"/>
      <c r="QOD54" s="263"/>
      <c r="QOE54" s="264"/>
      <c r="QOF54" s="295"/>
      <c r="QOG54" s="295"/>
      <c r="QOH54" s="295"/>
      <c r="QOI54" s="295"/>
      <c r="QOJ54" s="295"/>
      <c r="QOK54" s="295"/>
      <c r="QOL54" s="153"/>
      <c r="QOM54" s="153"/>
      <c r="QON54" s="151"/>
      <c r="QOO54" s="153"/>
      <c r="QOQ54" s="267"/>
      <c r="QOR54" s="267"/>
      <c r="QOS54" s="260"/>
      <c r="QOT54" s="297"/>
      <c r="QOU54" s="297"/>
      <c r="QOV54" s="297"/>
      <c r="QOW54" s="261"/>
      <c r="QOX54" s="261"/>
      <c r="QOY54" s="261"/>
      <c r="QOZ54" s="262"/>
      <c r="QPA54" s="262"/>
      <c r="QPB54" s="261"/>
      <c r="QPC54" s="263"/>
      <c r="QPD54" s="264"/>
      <c r="QPE54" s="295"/>
      <c r="QPF54" s="295"/>
      <c r="QPG54" s="295"/>
      <c r="QPH54" s="295"/>
      <c r="QPI54" s="295"/>
      <c r="QPJ54" s="295"/>
      <c r="QPK54" s="153"/>
      <c r="QPL54" s="153"/>
      <c r="QPM54" s="151"/>
      <c r="QPN54" s="153"/>
      <c r="QPP54" s="267"/>
      <c r="QPQ54" s="267"/>
      <c r="QPR54" s="260"/>
      <c r="QPS54" s="297"/>
      <c r="QPT54" s="297"/>
      <c r="QPU54" s="297"/>
      <c r="QPV54" s="261"/>
      <c r="QPW54" s="261"/>
      <c r="QPX54" s="261"/>
      <c r="QPY54" s="262"/>
      <c r="QPZ54" s="262"/>
      <c r="QQA54" s="261"/>
      <c r="QQB54" s="263"/>
      <c r="QQC54" s="264"/>
      <c r="QQD54" s="295"/>
      <c r="QQE54" s="295"/>
      <c r="QQF54" s="295"/>
      <c r="QQG54" s="295"/>
      <c r="QQH54" s="295"/>
      <c r="QQI54" s="295"/>
      <c r="QQJ54" s="153"/>
      <c r="QQK54" s="153"/>
      <c r="QQL54" s="151"/>
      <c r="QQM54" s="153"/>
      <c r="QQO54" s="267"/>
      <c r="QQP54" s="267"/>
      <c r="QQQ54" s="260"/>
      <c r="QQR54" s="297"/>
      <c r="QQS54" s="297"/>
      <c r="QQT54" s="297"/>
      <c r="QQU54" s="261"/>
      <c r="QQV54" s="261"/>
      <c r="QQW54" s="261"/>
      <c r="QQX54" s="262"/>
      <c r="QQY54" s="262"/>
      <c r="QQZ54" s="261"/>
      <c r="QRA54" s="263"/>
      <c r="QRB54" s="264"/>
      <c r="QRC54" s="295"/>
      <c r="QRD54" s="295"/>
      <c r="QRE54" s="295"/>
      <c r="QRF54" s="295"/>
      <c r="QRG54" s="295"/>
      <c r="QRH54" s="295"/>
      <c r="QRI54" s="153"/>
      <c r="QRJ54" s="153"/>
      <c r="QRK54" s="151"/>
      <c r="QRL54" s="153"/>
      <c r="QRN54" s="267"/>
      <c r="QRO54" s="267"/>
      <c r="QRP54" s="260"/>
      <c r="QRQ54" s="297"/>
      <c r="QRR54" s="297"/>
      <c r="QRS54" s="297"/>
      <c r="QRT54" s="261"/>
      <c r="QRU54" s="261"/>
      <c r="QRV54" s="261"/>
      <c r="QRW54" s="262"/>
      <c r="QRX54" s="262"/>
      <c r="QRY54" s="261"/>
      <c r="QRZ54" s="263"/>
      <c r="QSA54" s="264"/>
      <c r="QSB54" s="295"/>
      <c r="QSC54" s="295"/>
      <c r="QSD54" s="295"/>
      <c r="QSE54" s="295"/>
      <c r="QSF54" s="295"/>
      <c r="QSG54" s="295"/>
      <c r="QSH54" s="153"/>
      <c r="QSI54" s="153"/>
      <c r="QSJ54" s="151"/>
      <c r="QSK54" s="153"/>
      <c r="QSM54" s="267"/>
      <c r="QSN54" s="267"/>
      <c r="QSO54" s="260"/>
      <c r="QSP54" s="297"/>
      <c r="QSQ54" s="297"/>
      <c r="QSR54" s="297"/>
      <c r="QSS54" s="261"/>
      <c r="QST54" s="261"/>
      <c r="QSU54" s="261"/>
      <c r="QSV54" s="262"/>
      <c r="QSW54" s="262"/>
      <c r="QSX54" s="261"/>
      <c r="QSY54" s="263"/>
      <c r="QSZ54" s="264"/>
      <c r="QTA54" s="295"/>
      <c r="QTB54" s="295"/>
      <c r="QTC54" s="295"/>
      <c r="QTD54" s="295"/>
      <c r="QTE54" s="295"/>
      <c r="QTF54" s="295"/>
      <c r="QTG54" s="153"/>
      <c r="QTH54" s="153"/>
      <c r="QTI54" s="151"/>
      <c r="QTJ54" s="153"/>
      <c r="QTL54" s="267"/>
      <c r="QTM54" s="267"/>
      <c r="QTN54" s="260"/>
      <c r="QTO54" s="297"/>
      <c r="QTP54" s="297"/>
      <c r="QTQ54" s="297"/>
      <c r="QTR54" s="261"/>
      <c r="QTS54" s="261"/>
      <c r="QTT54" s="261"/>
      <c r="QTU54" s="262"/>
      <c r="QTV54" s="262"/>
      <c r="QTW54" s="261"/>
      <c r="QTX54" s="263"/>
      <c r="QTY54" s="264"/>
      <c r="QTZ54" s="295"/>
      <c r="QUA54" s="295"/>
      <c r="QUB54" s="295"/>
      <c r="QUC54" s="295"/>
      <c r="QUD54" s="295"/>
      <c r="QUE54" s="295"/>
      <c r="QUF54" s="153"/>
      <c r="QUG54" s="153"/>
      <c r="QUH54" s="151"/>
      <c r="QUI54" s="153"/>
      <c r="QUK54" s="267"/>
      <c r="QUL54" s="267"/>
      <c r="QUM54" s="260"/>
      <c r="QUN54" s="297"/>
      <c r="QUO54" s="297"/>
      <c r="QUP54" s="297"/>
      <c r="QUQ54" s="261"/>
      <c r="QUR54" s="261"/>
      <c r="QUS54" s="261"/>
      <c r="QUT54" s="262"/>
      <c r="QUU54" s="262"/>
      <c r="QUV54" s="261"/>
      <c r="QUW54" s="263"/>
      <c r="QUX54" s="264"/>
      <c r="QUY54" s="295"/>
      <c r="QUZ54" s="295"/>
      <c r="QVA54" s="295"/>
      <c r="QVB54" s="295"/>
      <c r="QVC54" s="295"/>
      <c r="QVD54" s="295"/>
      <c r="QVE54" s="153"/>
      <c r="QVF54" s="153"/>
      <c r="QVG54" s="151"/>
      <c r="QVH54" s="153"/>
      <c r="QVJ54" s="267"/>
      <c r="QVK54" s="267"/>
      <c r="QVL54" s="260"/>
      <c r="QVM54" s="297"/>
      <c r="QVN54" s="297"/>
      <c r="QVO54" s="297"/>
      <c r="QVP54" s="261"/>
      <c r="QVQ54" s="261"/>
      <c r="QVR54" s="261"/>
      <c r="QVS54" s="262"/>
      <c r="QVT54" s="262"/>
      <c r="QVU54" s="261"/>
      <c r="QVV54" s="263"/>
      <c r="QVW54" s="264"/>
      <c r="QVX54" s="295"/>
      <c r="QVY54" s="295"/>
      <c r="QVZ54" s="295"/>
      <c r="QWA54" s="295"/>
      <c r="QWB54" s="295"/>
      <c r="QWC54" s="295"/>
      <c r="QWD54" s="153"/>
      <c r="QWE54" s="153"/>
      <c r="QWF54" s="151"/>
      <c r="QWG54" s="153"/>
      <c r="QWI54" s="267"/>
      <c r="QWJ54" s="267"/>
      <c r="QWK54" s="260"/>
      <c r="QWL54" s="297"/>
      <c r="QWM54" s="297"/>
      <c r="QWN54" s="297"/>
      <c r="QWO54" s="261"/>
      <c r="QWP54" s="261"/>
      <c r="QWQ54" s="261"/>
      <c r="QWR54" s="262"/>
      <c r="QWS54" s="262"/>
      <c r="QWT54" s="261"/>
      <c r="QWU54" s="263"/>
      <c r="QWV54" s="264"/>
      <c r="QWW54" s="295"/>
      <c r="QWX54" s="295"/>
      <c r="QWY54" s="295"/>
      <c r="QWZ54" s="295"/>
      <c r="QXA54" s="295"/>
      <c r="QXB54" s="295"/>
      <c r="QXC54" s="153"/>
      <c r="QXD54" s="153"/>
      <c r="QXE54" s="151"/>
      <c r="QXF54" s="153"/>
      <c r="QXH54" s="267"/>
      <c r="QXI54" s="267"/>
      <c r="QXJ54" s="260"/>
      <c r="QXK54" s="297"/>
      <c r="QXL54" s="297"/>
      <c r="QXM54" s="297"/>
      <c r="QXN54" s="261"/>
      <c r="QXO54" s="261"/>
      <c r="QXP54" s="261"/>
      <c r="QXQ54" s="262"/>
      <c r="QXR54" s="262"/>
      <c r="QXS54" s="261"/>
      <c r="QXT54" s="263"/>
      <c r="QXU54" s="264"/>
      <c r="QXV54" s="295"/>
      <c r="QXW54" s="295"/>
      <c r="QXX54" s="295"/>
      <c r="QXY54" s="295"/>
      <c r="QXZ54" s="295"/>
      <c r="QYA54" s="295"/>
      <c r="QYB54" s="153"/>
      <c r="QYC54" s="153"/>
      <c r="QYD54" s="151"/>
      <c r="QYE54" s="153"/>
      <c r="QYG54" s="267"/>
      <c r="QYH54" s="267"/>
      <c r="QYI54" s="260"/>
      <c r="QYJ54" s="297"/>
      <c r="QYK54" s="297"/>
      <c r="QYL54" s="297"/>
      <c r="QYM54" s="261"/>
      <c r="QYN54" s="261"/>
      <c r="QYO54" s="261"/>
      <c r="QYP54" s="262"/>
      <c r="QYQ54" s="262"/>
      <c r="QYR54" s="261"/>
      <c r="QYS54" s="263"/>
      <c r="QYT54" s="264"/>
      <c r="QYU54" s="295"/>
      <c r="QYV54" s="295"/>
      <c r="QYW54" s="295"/>
      <c r="QYX54" s="295"/>
      <c r="QYY54" s="295"/>
      <c r="QYZ54" s="295"/>
      <c r="QZA54" s="153"/>
      <c r="QZB54" s="153"/>
      <c r="QZC54" s="151"/>
      <c r="QZD54" s="153"/>
      <c r="QZF54" s="267"/>
      <c r="QZG54" s="267"/>
      <c r="QZH54" s="260"/>
      <c r="QZI54" s="297"/>
      <c r="QZJ54" s="297"/>
      <c r="QZK54" s="297"/>
      <c r="QZL54" s="261"/>
      <c r="QZM54" s="261"/>
      <c r="QZN54" s="261"/>
      <c r="QZO54" s="262"/>
      <c r="QZP54" s="262"/>
      <c r="QZQ54" s="261"/>
      <c r="QZR54" s="263"/>
      <c r="QZS54" s="264"/>
      <c r="QZT54" s="295"/>
      <c r="QZU54" s="295"/>
      <c r="QZV54" s="295"/>
      <c r="QZW54" s="295"/>
      <c r="QZX54" s="295"/>
      <c r="QZY54" s="295"/>
      <c r="QZZ54" s="153"/>
      <c r="RAA54" s="153"/>
      <c r="RAB54" s="151"/>
      <c r="RAC54" s="153"/>
      <c r="RAE54" s="267"/>
      <c r="RAF54" s="267"/>
      <c r="RAG54" s="260"/>
      <c r="RAH54" s="297"/>
      <c r="RAI54" s="297"/>
      <c r="RAJ54" s="297"/>
      <c r="RAK54" s="261"/>
      <c r="RAL54" s="261"/>
      <c r="RAM54" s="261"/>
      <c r="RAN54" s="262"/>
      <c r="RAO54" s="262"/>
      <c r="RAP54" s="261"/>
      <c r="RAQ54" s="263"/>
      <c r="RAR54" s="264"/>
      <c r="RAS54" s="295"/>
      <c r="RAT54" s="295"/>
      <c r="RAU54" s="295"/>
      <c r="RAV54" s="295"/>
      <c r="RAW54" s="295"/>
      <c r="RAX54" s="295"/>
      <c r="RAY54" s="153"/>
      <c r="RAZ54" s="153"/>
      <c r="RBA54" s="151"/>
      <c r="RBB54" s="153"/>
      <c r="RBD54" s="267"/>
      <c r="RBE54" s="267"/>
      <c r="RBF54" s="260"/>
      <c r="RBG54" s="297"/>
      <c r="RBH54" s="297"/>
      <c r="RBI54" s="297"/>
      <c r="RBJ54" s="261"/>
      <c r="RBK54" s="261"/>
      <c r="RBL54" s="261"/>
      <c r="RBM54" s="262"/>
      <c r="RBN54" s="262"/>
      <c r="RBO54" s="261"/>
      <c r="RBP54" s="263"/>
      <c r="RBQ54" s="264"/>
      <c r="RBR54" s="295"/>
      <c r="RBS54" s="295"/>
      <c r="RBT54" s="295"/>
      <c r="RBU54" s="295"/>
      <c r="RBV54" s="295"/>
      <c r="RBW54" s="295"/>
      <c r="RBX54" s="153"/>
      <c r="RBY54" s="153"/>
      <c r="RBZ54" s="151"/>
      <c r="RCA54" s="153"/>
      <c r="RCC54" s="267"/>
      <c r="RCD54" s="267"/>
      <c r="RCE54" s="260"/>
      <c r="RCF54" s="297"/>
      <c r="RCG54" s="297"/>
      <c r="RCH54" s="297"/>
      <c r="RCI54" s="261"/>
      <c r="RCJ54" s="261"/>
      <c r="RCK54" s="261"/>
      <c r="RCL54" s="262"/>
      <c r="RCM54" s="262"/>
      <c r="RCN54" s="261"/>
      <c r="RCO54" s="263"/>
      <c r="RCP54" s="264"/>
      <c r="RCQ54" s="295"/>
      <c r="RCR54" s="295"/>
      <c r="RCS54" s="295"/>
      <c r="RCT54" s="295"/>
      <c r="RCU54" s="295"/>
      <c r="RCV54" s="295"/>
      <c r="RCW54" s="153"/>
      <c r="RCX54" s="153"/>
      <c r="RCY54" s="151"/>
      <c r="RCZ54" s="153"/>
      <c r="RDB54" s="267"/>
      <c r="RDC54" s="267"/>
      <c r="RDD54" s="260"/>
      <c r="RDE54" s="297"/>
      <c r="RDF54" s="297"/>
      <c r="RDG54" s="297"/>
      <c r="RDH54" s="261"/>
      <c r="RDI54" s="261"/>
      <c r="RDJ54" s="261"/>
      <c r="RDK54" s="262"/>
      <c r="RDL54" s="262"/>
      <c r="RDM54" s="261"/>
      <c r="RDN54" s="263"/>
      <c r="RDO54" s="264"/>
      <c r="RDP54" s="295"/>
      <c r="RDQ54" s="295"/>
      <c r="RDR54" s="295"/>
      <c r="RDS54" s="295"/>
      <c r="RDT54" s="295"/>
      <c r="RDU54" s="295"/>
      <c r="RDV54" s="153"/>
      <c r="RDW54" s="153"/>
      <c r="RDX54" s="151"/>
      <c r="RDY54" s="153"/>
      <c r="REA54" s="267"/>
      <c r="REB54" s="267"/>
      <c r="REC54" s="260"/>
      <c r="RED54" s="297"/>
      <c r="REE54" s="297"/>
      <c r="REF54" s="297"/>
      <c r="REG54" s="261"/>
      <c r="REH54" s="261"/>
      <c r="REI54" s="261"/>
      <c r="REJ54" s="262"/>
      <c r="REK54" s="262"/>
      <c r="REL54" s="261"/>
      <c r="REM54" s="263"/>
      <c r="REN54" s="264"/>
      <c r="REO54" s="295"/>
      <c r="REP54" s="295"/>
      <c r="REQ54" s="295"/>
      <c r="RER54" s="295"/>
      <c r="RES54" s="295"/>
      <c r="RET54" s="295"/>
      <c r="REU54" s="153"/>
      <c r="REV54" s="153"/>
      <c r="REW54" s="151"/>
      <c r="REX54" s="153"/>
      <c r="REZ54" s="267"/>
      <c r="RFA54" s="267"/>
      <c r="RFB54" s="260"/>
      <c r="RFC54" s="297"/>
      <c r="RFD54" s="297"/>
      <c r="RFE54" s="297"/>
      <c r="RFF54" s="261"/>
      <c r="RFG54" s="261"/>
      <c r="RFH54" s="261"/>
      <c r="RFI54" s="262"/>
      <c r="RFJ54" s="262"/>
      <c r="RFK54" s="261"/>
      <c r="RFL54" s="263"/>
      <c r="RFM54" s="264"/>
      <c r="RFN54" s="295"/>
      <c r="RFO54" s="295"/>
      <c r="RFP54" s="295"/>
      <c r="RFQ54" s="295"/>
      <c r="RFR54" s="295"/>
      <c r="RFS54" s="295"/>
      <c r="RFT54" s="153"/>
      <c r="RFU54" s="153"/>
      <c r="RFV54" s="151"/>
      <c r="RFW54" s="153"/>
      <c r="RFY54" s="267"/>
      <c r="RFZ54" s="267"/>
      <c r="RGA54" s="260"/>
      <c r="RGB54" s="297"/>
      <c r="RGC54" s="297"/>
      <c r="RGD54" s="297"/>
      <c r="RGE54" s="261"/>
      <c r="RGF54" s="261"/>
      <c r="RGG54" s="261"/>
      <c r="RGH54" s="262"/>
      <c r="RGI54" s="262"/>
      <c r="RGJ54" s="261"/>
      <c r="RGK54" s="263"/>
      <c r="RGL54" s="264"/>
      <c r="RGM54" s="295"/>
      <c r="RGN54" s="295"/>
      <c r="RGO54" s="295"/>
      <c r="RGP54" s="295"/>
      <c r="RGQ54" s="295"/>
      <c r="RGR54" s="295"/>
      <c r="RGS54" s="153"/>
      <c r="RGT54" s="153"/>
      <c r="RGU54" s="151"/>
      <c r="RGV54" s="153"/>
      <c r="RGX54" s="267"/>
      <c r="RGY54" s="267"/>
      <c r="RGZ54" s="260"/>
      <c r="RHA54" s="297"/>
      <c r="RHB54" s="297"/>
      <c r="RHC54" s="297"/>
      <c r="RHD54" s="261"/>
      <c r="RHE54" s="261"/>
      <c r="RHF54" s="261"/>
      <c r="RHG54" s="262"/>
      <c r="RHH54" s="262"/>
      <c r="RHI54" s="261"/>
      <c r="RHJ54" s="263"/>
      <c r="RHK54" s="264"/>
      <c r="RHL54" s="295"/>
      <c r="RHM54" s="295"/>
      <c r="RHN54" s="295"/>
      <c r="RHO54" s="295"/>
      <c r="RHP54" s="295"/>
      <c r="RHQ54" s="295"/>
      <c r="RHR54" s="153"/>
      <c r="RHS54" s="153"/>
      <c r="RHT54" s="151"/>
      <c r="RHU54" s="153"/>
      <c r="RHW54" s="267"/>
      <c r="RHX54" s="267"/>
      <c r="RHY54" s="260"/>
      <c r="RHZ54" s="297"/>
      <c r="RIA54" s="297"/>
      <c r="RIB54" s="297"/>
      <c r="RIC54" s="261"/>
      <c r="RID54" s="261"/>
      <c r="RIE54" s="261"/>
      <c r="RIF54" s="262"/>
      <c r="RIG54" s="262"/>
      <c r="RIH54" s="261"/>
      <c r="RII54" s="263"/>
      <c r="RIJ54" s="264"/>
      <c r="RIK54" s="295"/>
      <c r="RIL54" s="295"/>
      <c r="RIM54" s="295"/>
      <c r="RIN54" s="295"/>
      <c r="RIO54" s="295"/>
      <c r="RIP54" s="295"/>
      <c r="RIQ54" s="153"/>
      <c r="RIR54" s="153"/>
      <c r="RIS54" s="151"/>
      <c r="RIT54" s="153"/>
      <c r="RIV54" s="267"/>
      <c r="RIW54" s="267"/>
      <c r="RIX54" s="260"/>
      <c r="RIY54" s="297"/>
      <c r="RIZ54" s="297"/>
      <c r="RJA54" s="297"/>
      <c r="RJB54" s="261"/>
      <c r="RJC54" s="261"/>
      <c r="RJD54" s="261"/>
      <c r="RJE54" s="262"/>
      <c r="RJF54" s="262"/>
      <c r="RJG54" s="261"/>
      <c r="RJH54" s="263"/>
      <c r="RJI54" s="264"/>
      <c r="RJJ54" s="295"/>
      <c r="RJK54" s="295"/>
      <c r="RJL54" s="295"/>
      <c r="RJM54" s="295"/>
      <c r="RJN54" s="295"/>
      <c r="RJO54" s="295"/>
      <c r="RJP54" s="153"/>
      <c r="RJQ54" s="153"/>
      <c r="RJR54" s="151"/>
      <c r="RJS54" s="153"/>
      <c r="RJU54" s="267"/>
      <c r="RJV54" s="267"/>
      <c r="RJW54" s="260"/>
      <c r="RJX54" s="297"/>
      <c r="RJY54" s="297"/>
      <c r="RJZ54" s="297"/>
      <c r="RKA54" s="261"/>
      <c r="RKB54" s="261"/>
      <c r="RKC54" s="261"/>
      <c r="RKD54" s="262"/>
      <c r="RKE54" s="262"/>
      <c r="RKF54" s="261"/>
      <c r="RKG54" s="263"/>
      <c r="RKH54" s="264"/>
      <c r="RKI54" s="295"/>
      <c r="RKJ54" s="295"/>
      <c r="RKK54" s="295"/>
      <c r="RKL54" s="295"/>
      <c r="RKM54" s="295"/>
      <c r="RKN54" s="295"/>
      <c r="RKO54" s="153"/>
      <c r="RKP54" s="153"/>
      <c r="RKQ54" s="151"/>
      <c r="RKR54" s="153"/>
      <c r="RKT54" s="267"/>
      <c r="RKU54" s="267"/>
      <c r="RKV54" s="260"/>
      <c r="RKW54" s="297"/>
      <c r="RKX54" s="297"/>
      <c r="RKY54" s="297"/>
      <c r="RKZ54" s="261"/>
      <c r="RLA54" s="261"/>
      <c r="RLB54" s="261"/>
      <c r="RLC54" s="262"/>
      <c r="RLD54" s="262"/>
      <c r="RLE54" s="261"/>
      <c r="RLF54" s="263"/>
      <c r="RLG54" s="264"/>
      <c r="RLH54" s="295"/>
      <c r="RLI54" s="295"/>
      <c r="RLJ54" s="295"/>
      <c r="RLK54" s="295"/>
      <c r="RLL54" s="295"/>
      <c r="RLM54" s="295"/>
      <c r="RLN54" s="153"/>
      <c r="RLO54" s="153"/>
      <c r="RLP54" s="151"/>
      <c r="RLQ54" s="153"/>
      <c r="RLS54" s="267"/>
      <c r="RLT54" s="267"/>
      <c r="RLU54" s="260"/>
      <c r="RLV54" s="297"/>
      <c r="RLW54" s="297"/>
      <c r="RLX54" s="297"/>
      <c r="RLY54" s="261"/>
      <c r="RLZ54" s="261"/>
      <c r="RMA54" s="261"/>
      <c r="RMB54" s="262"/>
      <c r="RMC54" s="262"/>
      <c r="RMD54" s="261"/>
      <c r="RME54" s="263"/>
      <c r="RMF54" s="264"/>
      <c r="RMG54" s="295"/>
      <c r="RMH54" s="295"/>
      <c r="RMI54" s="295"/>
      <c r="RMJ54" s="295"/>
      <c r="RMK54" s="295"/>
      <c r="RML54" s="295"/>
      <c r="RMM54" s="153"/>
      <c r="RMN54" s="153"/>
      <c r="RMO54" s="151"/>
      <c r="RMP54" s="153"/>
      <c r="RMR54" s="267"/>
      <c r="RMS54" s="267"/>
      <c r="RMT54" s="260"/>
      <c r="RMU54" s="297"/>
      <c r="RMV54" s="297"/>
      <c r="RMW54" s="297"/>
      <c r="RMX54" s="261"/>
      <c r="RMY54" s="261"/>
      <c r="RMZ54" s="261"/>
      <c r="RNA54" s="262"/>
      <c r="RNB54" s="262"/>
      <c r="RNC54" s="261"/>
      <c r="RND54" s="263"/>
      <c r="RNE54" s="264"/>
      <c r="RNF54" s="295"/>
      <c r="RNG54" s="295"/>
      <c r="RNH54" s="295"/>
      <c r="RNI54" s="295"/>
      <c r="RNJ54" s="295"/>
      <c r="RNK54" s="295"/>
      <c r="RNL54" s="153"/>
      <c r="RNM54" s="153"/>
      <c r="RNN54" s="151"/>
      <c r="RNO54" s="153"/>
      <c r="RNQ54" s="267"/>
      <c r="RNR54" s="267"/>
      <c r="RNS54" s="260"/>
      <c r="RNT54" s="297"/>
      <c r="RNU54" s="297"/>
      <c r="RNV54" s="297"/>
      <c r="RNW54" s="261"/>
      <c r="RNX54" s="261"/>
      <c r="RNY54" s="261"/>
      <c r="RNZ54" s="262"/>
      <c r="ROA54" s="262"/>
      <c r="ROB54" s="261"/>
      <c r="ROC54" s="263"/>
      <c r="ROD54" s="264"/>
      <c r="ROE54" s="295"/>
      <c r="ROF54" s="295"/>
      <c r="ROG54" s="295"/>
      <c r="ROH54" s="295"/>
      <c r="ROI54" s="295"/>
      <c r="ROJ54" s="295"/>
      <c r="ROK54" s="153"/>
      <c r="ROL54" s="153"/>
      <c r="ROM54" s="151"/>
      <c r="RON54" s="153"/>
      <c r="ROP54" s="267"/>
      <c r="ROQ54" s="267"/>
      <c r="ROR54" s="260"/>
      <c r="ROS54" s="297"/>
      <c r="ROT54" s="297"/>
      <c r="ROU54" s="297"/>
      <c r="ROV54" s="261"/>
      <c r="ROW54" s="261"/>
      <c r="ROX54" s="261"/>
      <c r="ROY54" s="262"/>
      <c r="ROZ54" s="262"/>
      <c r="RPA54" s="261"/>
      <c r="RPB54" s="263"/>
      <c r="RPC54" s="264"/>
      <c r="RPD54" s="295"/>
      <c r="RPE54" s="295"/>
      <c r="RPF54" s="295"/>
      <c r="RPG54" s="295"/>
      <c r="RPH54" s="295"/>
      <c r="RPI54" s="295"/>
      <c r="RPJ54" s="153"/>
      <c r="RPK54" s="153"/>
      <c r="RPL54" s="151"/>
      <c r="RPM54" s="153"/>
      <c r="RPO54" s="267"/>
      <c r="RPP54" s="267"/>
      <c r="RPQ54" s="260"/>
      <c r="RPR54" s="297"/>
      <c r="RPS54" s="297"/>
      <c r="RPT54" s="297"/>
      <c r="RPU54" s="261"/>
      <c r="RPV54" s="261"/>
      <c r="RPW54" s="261"/>
      <c r="RPX54" s="262"/>
      <c r="RPY54" s="262"/>
      <c r="RPZ54" s="261"/>
      <c r="RQA54" s="263"/>
      <c r="RQB54" s="264"/>
      <c r="RQC54" s="295"/>
      <c r="RQD54" s="295"/>
      <c r="RQE54" s="295"/>
      <c r="RQF54" s="295"/>
      <c r="RQG54" s="295"/>
      <c r="RQH54" s="295"/>
      <c r="RQI54" s="153"/>
      <c r="RQJ54" s="153"/>
      <c r="RQK54" s="151"/>
      <c r="RQL54" s="153"/>
      <c r="RQN54" s="267"/>
      <c r="RQO54" s="267"/>
      <c r="RQP54" s="260"/>
      <c r="RQQ54" s="297"/>
      <c r="RQR54" s="297"/>
      <c r="RQS54" s="297"/>
      <c r="RQT54" s="261"/>
      <c r="RQU54" s="261"/>
      <c r="RQV54" s="261"/>
      <c r="RQW54" s="262"/>
      <c r="RQX54" s="262"/>
      <c r="RQY54" s="261"/>
      <c r="RQZ54" s="263"/>
      <c r="RRA54" s="264"/>
      <c r="RRB54" s="295"/>
      <c r="RRC54" s="295"/>
      <c r="RRD54" s="295"/>
      <c r="RRE54" s="295"/>
      <c r="RRF54" s="295"/>
      <c r="RRG54" s="295"/>
      <c r="RRH54" s="153"/>
      <c r="RRI54" s="153"/>
      <c r="RRJ54" s="151"/>
      <c r="RRK54" s="153"/>
      <c r="RRM54" s="267"/>
      <c r="RRN54" s="267"/>
      <c r="RRO54" s="260"/>
      <c r="RRP54" s="297"/>
      <c r="RRQ54" s="297"/>
      <c r="RRR54" s="297"/>
      <c r="RRS54" s="261"/>
      <c r="RRT54" s="261"/>
      <c r="RRU54" s="261"/>
      <c r="RRV54" s="262"/>
      <c r="RRW54" s="262"/>
      <c r="RRX54" s="261"/>
      <c r="RRY54" s="263"/>
      <c r="RRZ54" s="264"/>
      <c r="RSA54" s="295"/>
      <c r="RSB54" s="295"/>
      <c r="RSC54" s="295"/>
      <c r="RSD54" s="295"/>
      <c r="RSE54" s="295"/>
      <c r="RSF54" s="295"/>
      <c r="RSG54" s="153"/>
      <c r="RSH54" s="153"/>
      <c r="RSI54" s="151"/>
      <c r="RSJ54" s="153"/>
      <c r="RSL54" s="267"/>
      <c r="RSM54" s="267"/>
      <c r="RSN54" s="260"/>
      <c r="RSO54" s="297"/>
      <c r="RSP54" s="297"/>
      <c r="RSQ54" s="297"/>
      <c r="RSR54" s="261"/>
      <c r="RSS54" s="261"/>
      <c r="RST54" s="261"/>
      <c r="RSU54" s="262"/>
      <c r="RSV54" s="262"/>
      <c r="RSW54" s="261"/>
      <c r="RSX54" s="263"/>
      <c r="RSY54" s="264"/>
      <c r="RSZ54" s="295"/>
      <c r="RTA54" s="295"/>
      <c r="RTB54" s="295"/>
      <c r="RTC54" s="295"/>
      <c r="RTD54" s="295"/>
      <c r="RTE54" s="295"/>
      <c r="RTF54" s="153"/>
      <c r="RTG54" s="153"/>
      <c r="RTH54" s="151"/>
      <c r="RTI54" s="153"/>
      <c r="RTK54" s="267"/>
      <c r="RTL54" s="267"/>
      <c r="RTM54" s="260"/>
      <c r="RTN54" s="297"/>
      <c r="RTO54" s="297"/>
      <c r="RTP54" s="297"/>
      <c r="RTQ54" s="261"/>
      <c r="RTR54" s="261"/>
      <c r="RTS54" s="261"/>
      <c r="RTT54" s="262"/>
      <c r="RTU54" s="262"/>
      <c r="RTV54" s="261"/>
      <c r="RTW54" s="263"/>
      <c r="RTX54" s="264"/>
      <c r="RTY54" s="295"/>
      <c r="RTZ54" s="295"/>
      <c r="RUA54" s="295"/>
      <c r="RUB54" s="295"/>
      <c r="RUC54" s="295"/>
      <c r="RUD54" s="295"/>
      <c r="RUE54" s="153"/>
      <c r="RUF54" s="153"/>
      <c r="RUG54" s="151"/>
      <c r="RUH54" s="153"/>
      <c r="RUJ54" s="267"/>
      <c r="RUK54" s="267"/>
      <c r="RUL54" s="260"/>
      <c r="RUM54" s="297"/>
      <c r="RUN54" s="297"/>
      <c r="RUO54" s="297"/>
      <c r="RUP54" s="261"/>
      <c r="RUQ54" s="261"/>
      <c r="RUR54" s="261"/>
      <c r="RUS54" s="262"/>
      <c r="RUT54" s="262"/>
      <c r="RUU54" s="261"/>
      <c r="RUV54" s="263"/>
      <c r="RUW54" s="264"/>
      <c r="RUX54" s="295"/>
      <c r="RUY54" s="295"/>
      <c r="RUZ54" s="295"/>
      <c r="RVA54" s="295"/>
      <c r="RVB54" s="295"/>
      <c r="RVC54" s="295"/>
      <c r="RVD54" s="153"/>
      <c r="RVE54" s="153"/>
      <c r="RVF54" s="151"/>
      <c r="RVG54" s="153"/>
      <c r="RVI54" s="267"/>
      <c r="RVJ54" s="267"/>
      <c r="RVK54" s="260"/>
      <c r="RVL54" s="297"/>
      <c r="RVM54" s="297"/>
      <c r="RVN54" s="297"/>
      <c r="RVO54" s="261"/>
      <c r="RVP54" s="261"/>
      <c r="RVQ54" s="261"/>
      <c r="RVR54" s="262"/>
      <c r="RVS54" s="262"/>
      <c r="RVT54" s="261"/>
      <c r="RVU54" s="263"/>
      <c r="RVV54" s="264"/>
      <c r="RVW54" s="295"/>
      <c r="RVX54" s="295"/>
      <c r="RVY54" s="295"/>
      <c r="RVZ54" s="295"/>
      <c r="RWA54" s="295"/>
      <c r="RWB54" s="295"/>
      <c r="RWC54" s="153"/>
      <c r="RWD54" s="153"/>
      <c r="RWE54" s="151"/>
      <c r="RWF54" s="153"/>
      <c r="RWH54" s="267"/>
      <c r="RWI54" s="267"/>
      <c r="RWJ54" s="260"/>
      <c r="RWK54" s="297"/>
      <c r="RWL54" s="297"/>
      <c r="RWM54" s="297"/>
      <c r="RWN54" s="261"/>
      <c r="RWO54" s="261"/>
      <c r="RWP54" s="261"/>
      <c r="RWQ54" s="262"/>
      <c r="RWR54" s="262"/>
      <c r="RWS54" s="261"/>
      <c r="RWT54" s="263"/>
      <c r="RWU54" s="264"/>
      <c r="RWV54" s="295"/>
      <c r="RWW54" s="295"/>
      <c r="RWX54" s="295"/>
      <c r="RWY54" s="295"/>
      <c r="RWZ54" s="295"/>
      <c r="RXA54" s="295"/>
      <c r="RXB54" s="153"/>
      <c r="RXC54" s="153"/>
      <c r="RXD54" s="151"/>
      <c r="RXE54" s="153"/>
      <c r="RXG54" s="267"/>
      <c r="RXH54" s="267"/>
      <c r="RXI54" s="260"/>
      <c r="RXJ54" s="297"/>
      <c r="RXK54" s="297"/>
      <c r="RXL54" s="297"/>
      <c r="RXM54" s="261"/>
      <c r="RXN54" s="261"/>
      <c r="RXO54" s="261"/>
      <c r="RXP54" s="262"/>
      <c r="RXQ54" s="262"/>
      <c r="RXR54" s="261"/>
      <c r="RXS54" s="263"/>
      <c r="RXT54" s="264"/>
      <c r="RXU54" s="295"/>
      <c r="RXV54" s="295"/>
      <c r="RXW54" s="295"/>
      <c r="RXX54" s="295"/>
      <c r="RXY54" s="295"/>
      <c r="RXZ54" s="295"/>
      <c r="RYA54" s="153"/>
      <c r="RYB54" s="153"/>
      <c r="RYC54" s="151"/>
      <c r="RYD54" s="153"/>
      <c r="RYF54" s="267"/>
      <c r="RYG54" s="267"/>
      <c r="RYH54" s="260"/>
      <c r="RYI54" s="297"/>
      <c r="RYJ54" s="297"/>
      <c r="RYK54" s="297"/>
      <c r="RYL54" s="261"/>
      <c r="RYM54" s="261"/>
      <c r="RYN54" s="261"/>
      <c r="RYO54" s="262"/>
      <c r="RYP54" s="262"/>
      <c r="RYQ54" s="261"/>
      <c r="RYR54" s="263"/>
      <c r="RYS54" s="264"/>
      <c r="RYT54" s="295"/>
      <c r="RYU54" s="295"/>
      <c r="RYV54" s="295"/>
      <c r="RYW54" s="295"/>
      <c r="RYX54" s="295"/>
      <c r="RYY54" s="295"/>
      <c r="RYZ54" s="153"/>
      <c r="RZA54" s="153"/>
      <c r="RZB54" s="151"/>
      <c r="RZC54" s="153"/>
      <c r="RZE54" s="267"/>
      <c r="RZF54" s="267"/>
      <c r="RZG54" s="260"/>
      <c r="RZH54" s="297"/>
      <c r="RZI54" s="297"/>
      <c r="RZJ54" s="297"/>
      <c r="RZK54" s="261"/>
      <c r="RZL54" s="261"/>
      <c r="RZM54" s="261"/>
      <c r="RZN54" s="262"/>
      <c r="RZO54" s="262"/>
      <c r="RZP54" s="261"/>
      <c r="RZQ54" s="263"/>
      <c r="RZR54" s="264"/>
      <c r="RZS54" s="295"/>
      <c r="RZT54" s="295"/>
      <c r="RZU54" s="295"/>
      <c r="RZV54" s="295"/>
      <c r="RZW54" s="295"/>
      <c r="RZX54" s="295"/>
      <c r="RZY54" s="153"/>
      <c r="RZZ54" s="153"/>
      <c r="SAA54" s="151"/>
      <c r="SAB54" s="153"/>
      <c r="SAD54" s="267"/>
      <c r="SAE54" s="267"/>
      <c r="SAF54" s="260"/>
      <c r="SAG54" s="297"/>
      <c r="SAH54" s="297"/>
      <c r="SAI54" s="297"/>
      <c r="SAJ54" s="261"/>
      <c r="SAK54" s="261"/>
      <c r="SAL54" s="261"/>
      <c r="SAM54" s="262"/>
      <c r="SAN54" s="262"/>
      <c r="SAO54" s="261"/>
      <c r="SAP54" s="263"/>
      <c r="SAQ54" s="264"/>
      <c r="SAR54" s="295"/>
      <c r="SAS54" s="295"/>
      <c r="SAT54" s="295"/>
      <c r="SAU54" s="295"/>
      <c r="SAV54" s="295"/>
      <c r="SAW54" s="295"/>
      <c r="SAX54" s="153"/>
      <c r="SAY54" s="153"/>
      <c r="SAZ54" s="151"/>
      <c r="SBA54" s="153"/>
      <c r="SBC54" s="267"/>
      <c r="SBD54" s="267"/>
      <c r="SBE54" s="260"/>
      <c r="SBF54" s="297"/>
      <c r="SBG54" s="297"/>
      <c r="SBH54" s="297"/>
      <c r="SBI54" s="261"/>
      <c r="SBJ54" s="261"/>
      <c r="SBK54" s="261"/>
      <c r="SBL54" s="262"/>
      <c r="SBM54" s="262"/>
      <c r="SBN54" s="261"/>
      <c r="SBO54" s="263"/>
      <c r="SBP54" s="264"/>
      <c r="SBQ54" s="295"/>
      <c r="SBR54" s="295"/>
      <c r="SBS54" s="295"/>
      <c r="SBT54" s="295"/>
      <c r="SBU54" s="295"/>
      <c r="SBV54" s="295"/>
      <c r="SBW54" s="153"/>
      <c r="SBX54" s="153"/>
      <c r="SBY54" s="151"/>
      <c r="SBZ54" s="153"/>
      <c r="SCB54" s="267"/>
      <c r="SCC54" s="267"/>
      <c r="SCD54" s="260"/>
      <c r="SCE54" s="297"/>
      <c r="SCF54" s="297"/>
      <c r="SCG54" s="297"/>
      <c r="SCH54" s="261"/>
      <c r="SCI54" s="261"/>
      <c r="SCJ54" s="261"/>
      <c r="SCK54" s="262"/>
      <c r="SCL54" s="262"/>
      <c r="SCM54" s="261"/>
      <c r="SCN54" s="263"/>
      <c r="SCO54" s="264"/>
      <c r="SCP54" s="295"/>
      <c r="SCQ54" s="295"/>
      <c r="SCR54" s="295"/>
      <c r="SCS54" s="295"/>
      <c r="SCT54" s="295"/>
      <c r="SCU54" s="295"/>
      <c r="SCV54" s="153"/>
      <c r="SCW54" s="153"/>
      <c r="SCX54" s="151"/>
      <c r="SCY54" s="153"/>
      <c r="SDA54" s="267"/>
      <c r="SDB54" s="267"/>
      <c r="SDC54" s="260"/>
      <c r="SDD54" s="297"/>
      <c r="SDE54" s="297"/>
      <c r="SDF54" s="297"/>
      <c r="SDG54" s="261"/>
      <c r="SDH54" s="261"/>
      <c r="SDI54" s="261"/>
      <c r="SDJ54" s="262"/>
      <c r="SDK54" s="262"/>
      <c r="SDL54" s="261"/>
      <c r="SDM54" s="263"/>
      <c r="SDN54" s="264"/>
      <c r="SDO54" s="295"/>
      <c r="SDP54" s="295"/>
      <c r="SDQ54" s="295"/>
      <c r="SDR54" s="295"/>
      <c r="SDS54" s="295"/>
      <c r="SDT54" s="295"/>
      <c r="SDU54" s="153"/>
      <c r="SDV54" s="153"/>
      <c r="SDW54" s="151"/>
      <c r="SDX54" s="153"/>
      <c r="SDZ54" s="267"/>
      <c r="SEA54" s="267"/>
      <c r="SEB54" s="260"/>
      <c r="SEC54" s="297"/>
      <c r="SED54" s="297"/>
      <c r="SEE54" s="297"/>
      <c r="SEF54" s="261"/>
      <c r="SEG54" s="261"/>
      <c r="SEH54" s="261"/>
      <c r="SEI54" s="262"/>
      <c r="SEJ54" s="262"/>
      <c r="SEK54" s="261"/>
      <c r="SEL54" s="263"/>
      <c r="SEM54" s="264"/>
      <c r="SEN54" s="295"/>
      <c r="SEO54" s="295"/>
      <c r="SEP54" s="295"/>
      <c r="SEQ54" s="295"/>
      <c r="SER54" s="295"/>
      <c r="SES54" s="295"/>
      <c r="SET54" s="153"/>
      <c r="SEU54" s="153"/>
      <c r="SEV54" s="151"/>
      <c r="SEW54" s="153"/>
      <c r="SEY54" s="267"/>
      <c r="SEZ54" s="267"/>
      <c r="SFA54" s="260"/>
      <c r="SFB54" s="297"/>
      <c r="SFC54" s="297"/>
      <c r="SFD54" s="297"/>
      <c r="SFE54" s="261"/>
      <c r="SFF54" s="261"/>
      <c r="SFG54" s="261"/>
      <c r="SFH54" s="262"/>
      <c r="SFI54" s="262"/>
      <c r="SFJ54" s="261"/>
      <c r="SFK54" s="263"/>
      <c r="SFL54" s="264"/>
      <c r="SFM54" s="295"/>
      <c r="SFN54" s="295"/>
      <c r="SFO54" s="295"/>
      <c r="SFP54" s="295"/>
      <c r="SFQ54" s="295"/>
      <c r="SFR54" s="295"/>
      <c r="SFS54" s="153"/>
      <c r="SFT54" s="153"/>
      <c r="SFU54" s="151"/>
      <c r="SFV54" s="153"/>
      <c r="SFX54" s="267"/>
      <c r="SFY54" s="267"/>
      <c r="SFZ54" s="260"/>
      <c r="SGA54" s="297"/>
      <c r="SGB54" s="297"/>
      <c r="SGC54" s="297"/>
      <c r="SGD54" s="261"/>
      <c r="SGE54" s="261"/>
      <c r="SGF54" s="261"/>
      <c r="SGG54" s="262"/>
      <c r="SGH54" s="262"/>
      <c r="SGI54" s="261"/>
      <c r="SGJ54" s="263"/>
      <c r="SGK54" s="264"/>
      <c r="SGL54" s="295"/>
      <c r="SGM54" s="295"/>
      <c r="SGN54" s="295"/>
      <c r="SGO54" s="295"/>
      <c r="SGP54" s="295"/>
      <c r="SGQ54" s="295"/>
      <c r="SGR54" s="153"/>
      <c r="SGS54" s="153"/>
      <c r="SGT54" s="151"/>
      <c r="SGU54" s="153"/>
      <c r="SGW54" s="267"/>
      <c r="SGX54" s="267"/>
      <c r="SGY54" s="260"/>
      <c r="SGZ54" s="297"/>
      <c r="SHA54" s="297"/>
      <c r="SHB54" s="297"/>
      <c r="SHC54" s="261"/>
      <c r="SHD54" s="261"/>
      <c r="SHE54" s="261"/>
      <c r="SHF54" s="262"/>
      <c r="SHG54" s="262"/>
      <c r="SHH54" s="261"/>
      <c r="SHI54" s="263"/>
      <c r="SHJ54" s="264"/>
      <c r="SHK54" s="295"/>
      <c r="SHL54" s="295"/>
      <c r="SHM54" s="295"/>
      <c r="SHN54" s="295"/>
      <c r="SHO54" s="295"/>
      <c r="SHP54" s="295"/>
      <c r="SHQ54" s="153"/>
      <c r="SHR54" s="153"/>
      <c r="SHS54" s="151"/>
      <c r="SHT54" s="153"/>
      <c r="SHV54" s="267"/>
      <c r="SHW54" s="267"/>
      <c r="SHX54" s="260"/>
      <c r="SHY54" s="297"/>
      <c r="SHZ54" s="297"/>
      <c r="SIA54" s="297"/>
      <c r="SIB54" s="261"/>
      <c r="SIC54" s="261"/>
      <c r="SID54" s="261"/>
      <c r="SIE54" s="262"/>
      <c r="SIF54" s="262"/>
      <c r="SIG54" s="261"/>
      <c r="SIH54" s="263"/>
      <c r="SII54" s="264"/>
      <c r="SIJ54" s="295"/>
      <c r="SIK54" s="295"/>
      <c r="SIL54" s="295"/>
      <c r="SIM54" s="295"/>
      <c r="SIN54" s="295"/>
      <c r="SIO54" s="295"/>
      <c r="SIP54" s="153"/>
      <c r="SIQ54" s="153"/>
      <c r="SIR54" s="151"/>
      <c r="SIS54" s="153"/>
      <c r="SIU54" s="267"/>
      <c r="SIV54" s="267"/>
      <c r="SIW54" s="260"/>
      <c r="SIX54" s="297"/>
      <c r="SIY54" s="297"/>
      <c r="SIZ54" s="297"/>
      <c r="SJA54" s="261"/>
      <c r="SJB54" s="261"/>
      <c r="SJC54" s="261"/>
      <c r="SJD54" s="262"/>
      <c r="SJE54" s="262"/>
      <c r="SJF54" s="261"/>
      <c r="SJG54" s="263"/>
      <c r="SJH54" s="264"/>
      <c r="SJI54" s="295"/>
      <c r="SJJ54" s="295"/>
      <c r="SJK54" s="295"/>
      <c r="SJL54" s="295"/>
      <c r="SJM54" s="295"/>
      <c r="SJN54" s="295"/>
      <c r="SJO54" s="153"/>
      <c r="SJP54" s="153"/>
      <c r="SJQ54" s="151"/>
      <c r="SJR54" s="153"/>
      <c r="SJT54" s="267"/>
      <c r="SJU54" s="267"/>
      <c r="SJV54" s="260"/>
      <c r="SJW54" s="297"/>
      <c r="SJX54" s="297"/>
      <c r="SJY54" s="297"/>
      <c r="SJZ54" s="261"/>
      <c r="SKA54" s="261"/>
      <c r="SKB54" s="261"/>
      <c r="SKC54" s="262"/>
      <c r="SKD54" s="262"/>
      <c r="SKE54" s="261"/>
      <c r="SKF54" s="263"/>
      <c r="SKG54" s="264"/>
      <c r="SKH54" s="295"/>
      <c r="SKI54" s="295"/>
      <c r="SKJ54" s="295"/>
      <c r="SKK54" s="295"/>
      <c r="SKL54" s="295"/>
      <c r="SKM54" s="295"/>
      <c r="SKN54" s="153"/>
      <c r="SKO54" s="153"/>
      <c r="SKP54" s="151"/>
      <c r="SKQ54" s="153"/>
      <c r="SKS54" s="267"/>
      <c r="SKT54" s="267"/>
      <c r="SKU54" s="260"/>
      <c r="SKV54" s="297"/>
      <c r="SKW54" s="297"/>
      <c r="SKX54" s="297"/>
      <c r="SKY54" s="261"/>
      <c r="SKZ54" s="261"/>
      <c r="SLA54" s="261"/>
      <c r="SLB54" s="262"/>
      <c r="SLC54" s="262"/>
      <c r="SLD54" s="261"/>
      <c r="SLE54" s="263"/>
      <c r="SLF54" s="264"/>
      <c r="SLG54" s="295"/>
      <c r="SLH54" s="295"/>
      <c r="SLI54" s="295"/>
      <c r="SLJ54" s="295"/>
      <c r="SLK54" s="295"/>
      <c r="SLL54" s="295"/>
      <c r="SLM54" s="153"/>
      <c r="SLN54" s="153"/>
      <c r="SLO54" s="151"/>
      <c r="SLP54" s="153"/>
      <c r="SLR54" s="267"/>
      <c r="SLS54" s="267"/>
      <c r="SLT54" s="260"/>
      <c r="SLU54" s="297"/>
      <c r="SLV54" s="297"/>
      <c r="SLW54" s="297"/>
      <c r="SLX54" s="261"/>
      <c r="SLY54" s="261"/>
      <c r="SLZ54" s="261"/>
      <c r="SMA54" s="262"/>
      <c r="SMB54" s="262"/>
      <c r="SMC54" s="261"/>
      <c r="SMD54" s="263"/>
      <c r="SME54" s="264"/>
      <c r="SMF54" s="295"/>
      <c r="SMG54" s="295"/>
      <c r="SMH54" s="295"/>
      <c r="SMI54" s="295"/>
      <c r="SMJ54" s="295"/>
      <c r="SMK54" s="295"/>
      <c r="SML54" s="153"/>
      <c r="SMM54" s="153"/>
      <c r="SMN54" s="151"/>
      <c r="SMO54" s="153"/>
      <c r="SMQ54" s="267"/>
      <c r="SMR54" s="267"/>
      <c r="SMS54" s="260"/>
      <c r="SMT54" s="297"/>
      <c r="SMU54" s="297"/>
      <c r="SMV54" s="297"/>
      <c r="SMW54" s="261"/>
      <c r="SMX54" s="261"/>
      <c r="SMY54" s="261"/>
      <c r="SMZ54" s="262"/>
      <c r="SNA54" s="262"/>
      <c r="SNB54" s="261"/>
      <c r="SNC54" s="263"/>
      <c r="SND54" s="264"/>
      <c r="SNE54" s="295"/>
      <c r="SNF54" s="295"/>
      <c r="SNG54" s="295"/>
      <c r="SNH54" s="295"/>
      <c r="SNI54" s="295"/>
      <c r="SNJ54" s="295"/>
      <c r="SNK54" s="153"/>
      <c r="SNL54" s="153"/>
      <c r="SNM54" s="151"/>
      <c r="SNN54" s="153"/>
      <c r="SNP54" s="267"/>
      <c r="SNQ54" s="267"/>
      <c r="SNR54" s="260"/>
      <c r="SNS54" s="297"/>
      <c r="SNT54" s="297"/>
      <c r="SNU54" s="297"/>
      <c r="SNV54" s="261"/>
      <c r="SNW54" s="261"/>
      <c r="SNX54" s="261"/>
      <c r="SNY54" s="262"/>
      <c r="SNZ54" s="262"/>
      <c r="SOA54" s="261"/>
      <c r="SOB54" s="263"/>
      <c r="SOC54" s="264"/>
      <c r="SOD54" s="295"/>
      <c r="SOE54" s="295"/>
      <c r="SOF54" s="295"/>
      <c r="SOG54" s="295"/>
      <c r="SOH54" s="295"/>
      <c r="SOI54" s="295"/>
      <c r="SOJ54" s="153"/>
      <c r="SOK54" s="153"/>
      <c r="SOL54" s="151"/>
      <c r="SOM54" s="153"/>
      <c r="SOO54" s="267"/>
      <c r="SOP54" s="267"/>
      <c r="SOQ54" s="260"/>
      <c r="SOR54" s="297"/>
      <c r="SOS54" s="297"/>
      <c r="SOT54" s="297"/>
      <c r="SOU54" s="261"/>
      <c r="SOV54" s="261"/>
      <c r="SOW54" s="261"/>
      <c r="SOX54" s="262"/>
      <c r="SOY54" s="262"/>
      <c r="SOZ54" s="261"/>
      <c r="SPA54" s="263"/>
      <c r="SPB54" s="264"/>
      <c r="SPC54" s="295"/>
      <c r="SPD54" s="295"/>
      <c r="SPE54" s="295"/>
      <c r="SPF54" s="295"/>
      <c r="SPG54" s="295"/>
      <c r="SPH54" s="295"/>
      <c r="SPI54" s="153"/>
      <c r="SPJ54" s="153"/>
      <c r="SPK54" s="151"/>
      <c r="SPL54" s="153"/>
      <c r="SPN54" s="267"/>
      <c r="SPO54" s="267"/>
      <c r="SPP54" s="260"/>
      <c r="SPQ54" s="297"/>
      <c r="SPR54" s="297"/>
      <c r="SPS54" s="297"/>
      <c r="SPT54" s="261"/>
      <c r="SPU54" s="261"/>
      <c r="SPV54" s="261"/>
      <c r="SPW54" s="262"/>
      <c r="SPX54" s="262"/>
      <c r="SPY54" s="261"/>
      <c r="SPZ54" s="263"/>
      <c r="SQA54" s="264"/>
      <c r="SQB54" s="295"/>
      <c r="SQC54" s="295"/>
      <c r="SQD54" s="295"/>
      <c r="SQE54" s="295"/>
      <c r="SQF54" s="295"/>
      <c r="SQG54" s="295"/>
      <c r="SQH54" s="153"/>
      <c r="SQI54" s="153"/>
      <c r="SQJ54" s="151"/>
      <c r="SQK54" s="153"/>
      <c r="SQM54" s="267"/>
      <c r="SQN54" s="267"/>
      <c r="SQO54" s="260"/>
      <c r="SQP54" s="297"/>
      <c r="SQQ54" s="297"/>
      <c r="SQR54" s="297"/>
      <c r="SQS54" s="261"/>
      <c r="SQT54" s="261"/>
      <c r="SQU54" s="261"/>
      <c r="SQV54" s="262"/>
      <c r="SQW54" s="262"/>
      <c r="SQX54" s="261"/>
      <c r="SQY54" s="263"/>
      <c r="SQZ54" s="264"/>
      <c r="SRA54" s="295"/>
      <c r="SRB54" s="295"/>
      <c r="SRC54" s="295"/>
      <c r="SRD54" s="295"/>
      <c r="SRE54" s="295"/>
      <c r="SRF54" s="295"/>
      <c r="SRG54" s="153"/>
      <c r="SRH54" s="153"/>
      <c r="SRI54" s="151"/>
      <c r="SRJ54" s="153"/>
      <c r="SRL54" s="267"/>
      <c r="SRM54" s="267"/>
      <c r="SRN54" s="260"/>
      <c r="SRO54" s="297"/>
      <c r="SRP54" s="297"/>
      <c r="SRQ54" s="297"/>
      <c r="SRR54" s="261"/>
      <c r="SRS54" s="261"/>
      <c r="SRT54" s="261"/>
      <c r="SRU54" s="262"/>
      <c r="SRV54" s="262"/>
      <c r="SRW54" s="261"/>
      <c r="SRX54" s="263"/>
      <c r="SRY54" s="264"/>
      <c r="SRZ54" s="295"/>
      <c r="SSA54" s="295"/>
      <c r="SSB54" s="295"/>
      <c r="SSC54" s="295"/>
      <c r="SSD54" s="295"/>
      <c r="SSE54" s="295"/>
      <c r="SSF54" s="153"/>
      <c r="SSG54" s="153"/>
      <c r="SSH54" s="151"/>
      <c r="SSI54" s="153"/>
      <c r="SSK54" s="267"/>
      <c r="SSL54" s="267"/>
      <c r="SSM54" s="260"/>
      <c r="SSN54" s="297"/>
      <c r="SSO54" s="297"/>
      <c r="SSP54" s="297"/>
      <c r="SSQ54" s="261"/>
      <c r="SSR54" s="261"/>
      <c r="SSS54" s="261"/>
      <c r="SST54" s="262"/>
      <c r="SSU54" s="262"/>
      <c r="SSV54" s="261"/>
      <c r="SSW54" s="263"/>
      <c r="SSX54" s="264"/>
      <c r="SSY54" s="295"/>
      <c r="SSZ54" s="295"/>
      <c r="STA54" s="295"/>
      <c r="STB54" s="295"/>
      <c r="STC54" s="295"/>
      <c r="STD54" s="295"/>
      <c r="STE54" s="153"/>
      <c r="STF54" s="153"/>
      <c r="STG54" s="151"/>
      <c r="STH54" s="153"/>
      <c r="STJ54" s="267"/>
      <c r="STK54" s="267"/>
      <c r="STL54" s="260"/>
      <c r="STM54" s="297"/>
      <c r="STN54" s="297"/>
      <c r="STO54" s="297"/>
      <c r="STP54" s="261"/>
      <c r="STQ54" s="261"/>
      <c r="STR54" s="261"/>
      <c r="STS54" s="262"/>
      <c r="STT54" s="262"/>
      <c r="STU54" s="261"/>
      <c r="STV54" s="263"/>
      <c r="STW54" s="264"/>
      <c r="STX54" s="295"/>
      <c r="STY54" s="295"/>
      <c r="STZ54" s="295"/>
      <c r="SUA54" s="295"/>
      <c r="SUB54" s="295"/>
      <c r="SUC54" s="295"/>
      <c r="SUD54" s="153"/>
      <c r="SUE54" s="153"/>
      <c r="SUF54" s="151"/>
      <c r="SUG54" s="153"/>
      <c r="SUI54" s="267"/>
      <c r="SUJ54" s="267"/>
      <c r="SUK54" s="260"/>
      <c r="SUL54" s="297"/>
      <c r="SUM54" s="297"/>
      <c r="SUN54" s="297"/>
      <c r="SUO54" s="261"/>
      <c r="SUP54" s="261"/>
      <c r="SUQ54" s="261"/>
      <c r="SUR54" s="262"/>
      <c r="SUS54" s="262"/>
      <c r="SUT54" s="261"/>
      <c r="SUU54" s="263"/>
      <c r="SUV54" s="264"/>
      <c r="SUW54" s="295"/>
      <c r="SUX54" s="295"/>
      <c r="SUY54" s="295"/>
      <c r="SUZ54" s="295"/>
      <c r="SVA54" s="295"/>
      <c r="SVB54" s="295"/>
      <c r="SVC54" s="153"/>
      <c r="SVD54" s="153"/>
      <c r="SVE54" s="151"/>
      <c r="SVF54" s="153"/>
      <c r="SVH54" s="267"/>
      <c r="SVI54" s="267"/>
      <c r="SVJ54" s="260"/>
      <c r="SVK54" s="297"/>
      <c r="SVL54" s="297"/>
      <c r="SVM54" s="297"/>
      <c r="SVN54" s="261"/>
      <c r="SVO54" s="261"/>
      <c r="SVP54" s="261"/>
      <c r="SVQ54" s="262"/>
      <c r="SVR54" s="262"/>
      <c r="SVS54" s="261"/>
      <c r="SVT54" s="263"/>
      <c r="SVU54" s="264"/>
      <c r="SVV54" s="295"/>
      <c r="SVW54" s="295"/>
      <c r="SVX54" s="295"/>
      <c r="SVY54" s="295"/>
      <c r="SVZ54" s="295"/>
      <c r="SWA54" s="295"/>
      <c r="SWB54" s="153"/>
      <c r="SWC54" s="153"/>
      <c r="SWD54" s="151"/>
      <c r="SWE54" s="153"/>
      <c r="SWG54" s="267"/>
      <c r="SWH54" s="267"/>
      <c r="SWI54" s="260"/>
      <c r="SWJ54" s="297"/>
      <c r="SWK54" s="297"/>
      <c r="SWL54" s="297"/>
      <c r="SWM54" s="261"/>
      <c r="SWN54" s="261"/>
      <c r="SWO54" s="261"/>
      <c r="SWP54" s="262"/>
      <c r="SWQ54" s="262"/>
      <c r="SWR54" s="261"/>
      <c r="SWS54" s="263"/>
      <c r="SWT54" s="264"/>
      <c r="SWU54" s="295"/>
      <c r="SWV54" s="295"/>
      <c r="SWW54" s="295"/>
      <c r="SWX54" s="295"/>
      <c r="SWY54" s="295"/>
      <c r="SWZ54" s="295"/>
      <c r="SXA54" s="153"/>
      <c r="SXB54" s="153"/>
      <c r="SXC54" s="151"/>
      <c r="SXD54" s="153"/>
      <c r="SXF54" s="267"/>
      <c r="SXG54" s="267"/>
      <c r="SXH54" s="260"/>
      <c r="SXI54" s="297"/>
      <c r="SXJ54" s="297"/>
      <c r="SXK54" s="297"/>
      <c r="SXL54" s="261"/>
      <c r="SXM54" s="261"/>
      <c r="SXN54" s="261"/>
      <c r="SXO54" s="262"/>
      <c r="SXP54" s="262"/>
      <c r="SXQ54" s="261"/>
      <c r="SXR54" s="263"/>
      <c r="SXS54" s="264"/>
      <c r="SXT54" s="295"/>
      <c r="SXU54" s="295"/>
      <c r="SXV54" s="295"/>
      <c r="SXW54" s="295"/>
      <c r="SXX54" s="295"/>
      <c r="SXY54" s="295"/>
      <c r="SXZ54" s="153"/>
      <c r="SYA54" s="153"/>
      <c r="SYB54" s="151"/>
      <c r="SYC54" s="153"/>
      <c r="SYE54" s="267"/>
      <c r="SYF54" s="267"/>
      <c r="SYG54" s="260"/>
      <c r="SYH54" s="297"/>
      <c r="SYI54" s="297"/>
      <c r="SYJ54" s="297"/>
      <c r="SYK54" s="261"/>
      <c r="SYL54" s="261"/>
      <c r="SYM54" s="261"/>
      <c r="SYN54" s="262"/>
      <c r="SYO54" s="262"/>
      <c r="SYP54" s="261"/>
      <c r="SYQ54" s="263"/>
      <c r="SYR54" s="264"/>
      <c r="SYS54" s="295"/>
      <c r="SYT54" s="295"/>
      <c r="SYU54" s="295"/>
      <c r="SYV54" s="295"/>
      <c r="SYW54" s="295"/>
      <c r="SYX54" s="295"/>
      <c r="SYY54" s="153"/>
      <c r="SYZ54" s="153"/>
      <c r="SZA54" s="151"/>
      <c r="SZB54" s="153"/>
      <c r="SZD54" s="267"/>
      <c r="SZE54" s="267"/>
      <c r="SZF54" s="260"/>
      <c r="SZG54" s="297"/>
      <c r="SZH54" s="297"/>
      <c r="SZI54" s="297"/>
      <c r="SZJ54" s="261"/>
      <c r="SZK54" s="261"/>
      <c r="SZL54" s="261"/>
      <c r="SZM54" s="262"/>
      <c r="SZN54" s="262"/>
      <c r="SZO54" s="261"/>
      <c r="SZP54" s="263"/>
      <c r="SZQ54" s="264"/>
      <c r="SZR54" s="295"/>
      <c r="SZS54" s="295"/>
      <c r="SZT54" s="295"/>
      <c r="SZU54" s="295"/>
      <c r="SZV54" s="295"/>
      <c r="SZW54" s="295"/>
      <c r="SZX54" s="153"/>
      <c r="SZY54" s="153"/>
      <c r="SZZ54" s="151"/>
      <c r="TAA54" s="153"/>
      <c r="TAC54" s="267"/>
      <c r="TAD54" s="267"/>
      <c r="TAE54" s="260"/>
      <c r="TAF54" s="297"/>
      <c r="TAG54" s="297"/>
      <c r="TAH54" s="297"/>
      <c r="TAI54" s="261"/>
      <c r="TAJ54" s="261"/>
      <c r="TAK54" s="261"/>
      <c r="TAL54" s="262"/>
      <c r="TAM54" s="262"/>
      <c r="TAN54" s="261"/>
      <c r="TAO54" s="263"/>
      <c r="TAP54" s="264"/>
      <c r="TAQ54" s="295"/>
      <c r="TAR54" s="295"/>
      <c r="TAS54" s="295"/>
      <c r="TAT54" s="295"/>
      <c r="TAU54" s="295"/>
      <c r="TAV54" s="295"/>
      <c r="TAW54" s="153"/>
      <c r="TAX54" s="153"/>
      <c r="TAY54" s="151"/>
      <c r="TAZ54" s="153"/>
      <c r="TBB54" s="267"/>
      <c r="TBC54" s="267"/>
      <c r="TBD54" s="260"/>
      <c r="TBE54" s="297"/>
      <c r="TBF54" s="297"/>
      <c r="TBG54" s="297"/>
      <c r="TBH54" s="261"/>
      <c r="TBI54" s="261"/>
      <c r="TBJ54" s="261"/>
      <c r="TBK54" s="262"/>
      <c r="TBL54" s="262"/>
      <c r="TBM54" s="261"/>
      <c r="TBN54" s="263"/>
      <c r="TBO54" s="264"/>
      <c r="TBP54" s="295"/>
      <c r="TBQ54" s="295"/>
      <c r="TBR54" s="295"/>
      <c r="TBS54" s="295"/>
      <c r="TBT54" s="295"/>
      <c r="TBU54" s="295"/>
      <c r="TBV54" s="153"/>
      <c r="TBW54" s="153"/>
      <c r="TBX54" s="151"/>
      <c r="TBY54" s="153"/>
      <c r="TCA54" s="267"/>
      <c r="TCB54" s="267"/>
      <c r="TCC54" s="260"/>
      <c r="TCD54" s="297"/>
      <c r="TCE54" s="297"/>
      <c r="TCF54" s="297"/>
      <c r="TCG54" s="261"/>
      <c r="TCH54" s="261"/>
      <c r="TCI54" s="261"/>
      <c r="TCJ54" s="262"/>
      <c r="TCK54" s="262"/>
      <c r="TCL54" s="261"/>
      <c r="TCM54" s="263"/>
      <c r="TCN54" s="264"/>
      <c r="TCO54" s="295"/>
      <c r="TCP54" s="295"/>
      <c r="TCQ54" s="295"/>
      <c r="TCR54" s="295"/>
      <c r="TCS54" s="295"/>
      <c r="TCT54" s="295"/>
      <c r="TCU54" s="153"/>
      <c r="TCV54" s="153"/>
      <c r="TCW54" s="151"/>
      <c r="TCX54" s="153"/>
      <c r="TCZ54" s="267"/>
      <c r="TDA54" s="267"/>
      <c r="TDB54" s="260"/>
      <c r="TDC54" s="297"/>
      <c r="TDD54" s="297"/>
      <c r="TDE54" s="297"/>
      <c r="TDF54" s="261"/>
      <c r="TDG54" s="261"/>
      <c r="TDH54" s="261"/>
      <c r="TDI54" s="262"/>
      <c r="TDJ54" s="262"/>
      <c r="TDK54" s="261"/>
      <c r="TDL54" s="263"/>
      <c r="TDM54" s="264"/>
      <c r="TDN54" s="295"/>
      <c r="TDO54" s="295"/>
      <c r="TDP54" s="295"/>
      <c r="TDQ54" s="295"/>
      <c r="TDR54" s="295"/>
      <c r="TDS54" s="295"/>
      <c r="TDT54" s="153"/>
      <c r="TDU54" s="153"/>
      <c r="TDV54" s="151"/>
      <c r="TDW54" s="153"/>
      <c r="TDY54" s="267"/>
      <c r="TDZ54" s="267"/>
      <c r="TEA54" s="260"/>
      <c r="TEB54" s="297"/>
      <c r="TEC54" s="297"/>
      <c r="TED54" s="297"/>
      <c r="TEE54" s="261"/>
      <c r="TEF54" s="261"/>
      <c r="TEG54" s="261"/>
      <c r="TEH54" s="262"/>
      <c r="TEI54" s="262"/>
      <c r="TEJ54" s="261"/>
      <c r="TEK54" s="263"/>
      <c r="TEL54" s="264"/>
      <c r="TEM54" s="295"/>
      <c r="TEN54" s="295"/>
      <c r="TEO54" s="295"/>
      <c r="TEP54" s="295"/>
      <c r="TEQ54" s="295"/>
      <c r="TER54" s="295"/>
      <c r="TES54" s="153"/>
      <c r="TET54" s="153"/>
      <c r="TEU54" s="151"/>
      <c r="TEV54" s="153"/>
      <c r="TEX54" s="267"/>
      <c r="TEY54" s="267"/>
      <c r="TEZ54" s="260"/>
      <c r="TFA54" s="297"/>
      <c r="TFB54" s="297"/>
      <c r="TFC54" s="297"/>
      <c r="TFD54" s="261"/>
      <c r="TFE54" s="261"/>
      <c r="TFF54" s="261"/>
      <c r="TFG54" s="262"/>
      <c r="TFH54" s="262"/>
      <c r="TFI54" s="261"/>
      <c r="TFJ54" s="263"/>
      <c r="TFK54" s="264"/>
      <c r="TFL54" s="295"/>
      <c r="TFM54" s="295"/>
      <c r="TFN54" s="295"/>
      <c r="TFO54" s="295"/>
      <c r="TFP54" s="295"/>
      <c r="TFQ54" s="295"/>
      <c r="TFR54" s="153"/>
      <c r="TFS54" s="153"/>
      <c r="TFT54" s="151"/>
      <c r="TFU54" s="153"/>
      <c r="TFW54" s="267"/>
      <c r="TFX54" s="267"/>
      <c r="TFY54" s="260"/>
      <c r="TFZ54" s="297"/>
      <c r="TGA54" s="297"/>
      <c r="TGB54" s="297"/>
      <c r="TGC54" s="261"/>
      <c r="TGD54" s="261"/>
      <c r="TGE54" s="261"/>
      <c r="TGF54" s="262"/>
      <c r="TGG54" s="262"/>
      <c r="TGH54" s="261"/>
      <c r="TGI54" s="263"/>
      <c r="TGJ54" s="264"/>
      <c r="TGK54" s="295"/>
      <c r="TGL54" s="295"/>
      <c r="TGM54" s="295"/>
      <c r="TGN54" s="295"/>
      <c r="TGO54" s="295"/>
      <c r="TGP54" s="295"/>
      <c r="TGQ54" s="153"/>
      <c r="TGR54" s="153"/>
      <c r="TGS54" s="151"/>
      <c r="TGT54" s="153"/>
      <c r="TGV54" s="267"/>
      <c r="TGW54" s="267"/>
      <c r="TGX54" s="260"/>
      <c r="TGY54" s="297"/>
      <c r="TGZ54" s="297"/>
      <c r="THA54" s="297"/>
      <c r="THB54" s="261"/>
      <c r="THC54" s="261"/>
      <c r="THD54" s="261"/>
      <c r="THE54" s="262"/>
      <c r="THF54" s="262"/>
      <c r="THG54" s="261"/>
      <c r="THH54" s="263"/>
      <c r="THI54" s="264"/>
      <c r="THJ54" s="295"/>
      <c r="THK54" s="295"/>
      <c r="THL54" s="295"/>
      <c r="THM54" s="295"/>
      <c r="THN54" s="295"/>
      <c r="THO54" s="295"/>
      <c r="THP54" s="153"/>
      <c r="THQ54" s="153"/>
      <c r="THR54" s="151"/>
      <c r="THS54" s="153"/>
      <c r="THU54" s="267"/>
      <c r="THV54" s="267"/>
      <c r="THW54" s="260"/>
      <c r="THX54" s="297"/>
      <c r="THY54" s="297"/>
      <c r="THZ54" s="297"/>
      <c r="TIA54" s="261"/>
      <c r="TIB54" s="261"/>
      <c r="TIC54" s="261"/>
      <c r="TID54" s="262"/>
      <c r="TIE54" s="262"/>
      <c r="TIF54" s="261"/>
      <c r="TIG54" s="263"/>
      <c r="TIH54" s="264"/>
      <c r="TII54" s="295"/>
      <c r="TIJ54" s="295"/>
      <c r="TIK54" s="295"/>
      <c r="TIL54" s="295"/>
      <c r="TIM54" s="295"/>
      <c r="TIN54" s="295"/>
      <c r="TIO54" s="153"/>
      <c r="TIP54" s="153"/>
      <c r="TIQ54" s="151"/>
      <c r="TIR54" s="153"/>
      <c r="TIT54" s="267"/>
      <c r="TIU54" s="267"/>
      <c r="TIV54" s="260"/>
      <c r="TIW54" s="297"/>
      <c r="TIX54" s="297"/>
      <c r="TIY54" s="297"/>
      <c r="TIZ54" s="261"/>
      <c r="TJA54" s="261"/>
      <c r="TJB54" s="261"/>
      <c r="TJC54" s="262"/>
      <c r="TJD54" s="262"/>
      <c r="TJE54" s="261"/>
      <c r="TJF54" s="263"/>
      <c r="TJG54" s="264"/>
      <c r="TJH54" s="295"/>
      <c r="TJI54" s="295"/>
      <c r="TJJ54" s="295"/>
      <c r="TJK54" s="295"/>
      <c r="TJL54" s="295"/>
      <c r="TJM54" s="295"/>
      <c r="TJN54" s="153"/>
      <c r="TJO54" s="153"/>
      <c r="TJP54" s="151"/>
      <c r="TJQ54" s="153"/>
      <c r="TJS54" s="267"/>
      <c r="TJT54" s="267"/>
      <c r="TJU54" s="260"/>
      <c r="TJV54" s="297"/>
      <c r="TJW54" s="297"/>
      <c r="TJX54" s="297"/>
      <c r="TJY54" s="261"/>
      <c r="TJZ54" s="261"/>
      <c r="TKA54" s="261"/>
      <c r="TKB54" s="262"/>
      <c r="TKC54" s="262"/>
      <c r="TKD54" s="261"/>
      <c r="TKE54" s="263"/>
      <c r="TKF54" s="264"/>
      <c r="TKG54" s="295"/>
      <c r="TKH54" s="295"/>
      <c r="TKI54" s="295"/>
      <c r="TKJ54" s="295"/>
      <c r="TKK54" s="295"/>
      <c r="TKL54" s="295"/>
      <c r="TKM54" s="153"/>
      <c r="TKN54" s="153"/>
      <c r="TKO54" s="151"/>
      <c r="TKP54" s="153"/>
      <c r="TKR54" s="267"/>
      <c r="TKS54" s="267"/>
      <c r="TKT54" s="260"/>
      <c r="TKU54" s="297"/>
      <c r="TKV54" s="297"/>
      <c r="TKW54" s="297"/>
      <c r="TKX54" s="261"/>
      <c r="TKY54" s="261"/>
      <c r="TKZ54" s="261"/>
      <c r="TLA54" s="262"/>
      <c r="TLB54" s="262"/>
      <c r="TLC54" s="261"/>
      <c r="TLD54" s="263"/>
      <c r="TLE54" s="264"/>
      <c r="TLF54" s="295"/>
      <c r="TLG54" s="295"/>
      <c r="TLH54" s="295"/>
      <c r="TLI54" s="295"/>
      <c r="TLJ54" s="295"/>
      <c r="TLK54" s="295"/>
      <c r="TLL54" s="153"/>
      <c r="TLM54" s="153"/>
      <c r="TLN54" s="151"/>
      <c r="TLO54" s="153"/>
      <c r="TLQ54" s="267"/>
      <c r="TLR54" s="267"/>
      <c r="TLS54" s="260"/>
      <c r="TLT54" s="297"/>
      <c r="TLU54" s="297"/>
      <c r="TLV54" s="297"/>
      <c r="TLW54" s="261"/>
      <c r="TLX54" s="261"/>
      <c r="TLY54" s="261"/>
      <c r="TLZ54" s="262"/>
      <c r="TMA54" s="262"/>
      <c r="TMB54" s="261"/>
      <c r="TMC54" s="263"/>
      <c r="TMD54" s="264"/>
      <c r="TME54" s="295"/>
      <c r="TMF54" s="295"/>
      <c r="TMG54" s="295"/>
      <c r="TMH54" s="295"/>
      <c r="TMI54" s="295"/>
      <c r="TMJ54" s="295"/>
      <c r="TMK54" s="153"/>
      <c r="TML54" s="153"/>
      <c r="TMM54" s="151"/>
      <c r="TMN54" s="153"/>
      <c r="TMP54" s="267"/>
      <c r="TMQ54" s="267"/>
      <c r="TMR54" s="260"/>
      <c r="TMS54" s="297"/>
      <c r="TMT54" s="297"/>
      <c r="TMU54" s="297"/>
      <c r="TMV54" s="261"/>
      <c r="TMW54" s="261"/>
      <c r="TMX54" s="261"/>
      <c r="TMY54" s="262"/>
      <c r="TMZ54" s="262"/>
      <c r="TNA54" s="261"/>
      <c r="TNB54" s="263"/>
      <c r="TNC54" s="264"/>
      <c r="TND54" s="295"/>
      <c r="TNE54" s="295"/>
      <c r="TNF54" s="295"/>
      <c r="TNG54" s="295"/>
      <c r="TNH54" s="295"/>
      <c r="TNI54" s="295"/>
      <c r="TNJ54" s="153"/>
      <c r="TNK54" s="153"/>
      <c r="TNL54" s="151"/>
      <c r="TNM54" s="153"/>
      <c r="TNO54" s="267"/>
      <c r="TNP54" s="267"/>
      <c r="TNQ54" s="260"/>
      <c r="TNR54" s="297"/>
      <c r="TNS54" s="297"/>
      <c r="TNT54" s="297"/>
      <c r="TNU54" s="261"/>
      <c r="TNV54" s="261"/>
      <c r="TNW54" s="261"/>
      <c r="TNX54" s="262"/>
      <c r="TNY54" s="262"/>
      <c r="TNZ54" s="261"/>
      <c r="TOA54" s="263"/>
      <c r="TOB54" s="264"/>
      <c r="TOC54" s="295"/>
      <c r="TOD54" s="295"/>
      <c r="TOE54" s="295"/>
      <c r="TOF54" s="295"/>
      <c r="TOG54" s="295"/>
      <c r="TOH54" s="295"/>
      <c r="TOI54" s="153"/>
      <c r="TOJ54" s="153"/>
      <c r="TOK54" s="151"/>
      <c r="TOL54" s="153"/>
      <c r="TON54" s="267"/>
      <c r="TOO54" s="267"/>
      <c r="TOP54" s="260"/>
      <c r="TOQ54" s="297"/>
      <c r="TOR54" s="297"/>
      <c r="TOS54" s="297"/>
      <c r="TOT54" s="261"/>
      <c r="TOU54" s="261"/>
      <c r="TOV54" s="261"/>
      <c r="TOW54" s="262"/>
      <c r="TOX54" s="262"/>
      <c r="TOY54" s="261"/>
      <c r="TOZ54" s="263"/>
      <c r="TPA54" s="264"/>
      <c r="TPB54" s="295"/>
      <c r="TPC54" s="295"/>
      <c r="TPD54" s="295"/>
      <c r="TPE54" s="295"/>
      <c r="TPF54" s="295"/>
      <c r="TPG54" s="295"/>
      <c r="TPH54" s="153"/>
      <c r="TPI54" s="153"/>
      <c r="TPJ54" s="151"/>
      <c r="TPK54" s="153"/>
      <c r="TPM54" s="267"/>
      <c r="TPN54" s="267"/>
      <c r="TPO54" s="260"/>
      <c r="TPP54" s="297"/>
      <c r="TPQ54" s="297"/>
      <c r="TPR54" s="297"/>
      <c r="TPS54" s="261"/>
      <c r="TPT54" s="261"/>
      <c r="TPU54" s="261"/>
      <c r="TPV54" s="262"/>
      <c r="TPW54" s="262"/>
      <c r="TPX54" s="261"/>
      <c r="TPY54" s="263"/>
      <c r="TPZ54" s="264"/>
      <c r="TQA54" s="295"/>
      <c r="TQB54" s="295"/>
      <c r="TQC54" s="295"/>
      <c r="TQD54" s="295"/>
      <c r="TQE54" s="295"/>
      <c r="TQF54" s="295"/>
      <c r="TQG54" s="153"/>
      <c r="TQH54" s="153"/>
      <c r="TQI54" s="151"/>
      <c r="TQJ54" s="153"/>
      <c r="TQL54" s="267"/>
      <c r="TQM54" s="267"/>
      <c r="TQN54" s="260"/>
      <c r="TQO54" s="297"/>
      <c r="TQP54" s="297"/>
      <c r="TQQ54" s="297"/>
      <c r="TQR54" s="261"/>
      <c r="TQS54" s="261"/>
      <c r="TQT54" s="261"/>
      <c r="TQU54" s="262"/>
      <c r="TQV54" s="262"/>
      <c r="TQW54" s="261"/>
      <c r="TQX54" s="263"/>
      <c r="TQY54" s="264"/>
      <c r="TQZ54" s="295"/>
      <c r="TRA54" s="295"/>
      <c r="TRB54" s="295"/>
      <c r="TRC54" s="295"/>
      <c r="TRD54" s="295"/>
      <c r="TRE54" s="295"/>
      <c r="TRF54" s="153"/>
      <c r="TRG54" s="153"/>
      <c r="TRH54" s="151"/>
      <c r="TRI54" s="153"/>
      <c r="TRK54" s="267"/>
      <c r="TRL54" s="267"/>
      <c r="TRM54" s="260"/>
      <c r="TRN54" s="297"/>
      <c r="TRO54" s="297"/>
      <c r="TRP54" s="297"/>
      <c r="TRQ54" s="261"/>
      <c r="TRR54" s="261"/>
      <c r="TRS54" s="261"/>
      <c r="TRT54" s="262"/>
      <c r="TRU54" s="262"/>
      <c r="TRV54" s="261"/>
      <c r="TRW54" s="263"/>
      <c r="TRX54" s="264"/>
      <c r="TRY54" s="295"/>
      <c r="TRZ54" s="295"/>
      <c r="TSA54" s="295"/>
      <c r="TSB54" s="295"/>
      <c r="TSC54" s="295"/>
      <c r="TSD54" s="295"/>
      <c r="TSE54" s="153"/>
      <c r="TSF54" s="153"/>
      <c r="TSG54" s="151"/>
      <c r="TSH54" s="153"/>
      <c r="TSJ54" s="267"/>
      <c r="TSK54" s="267"/>
      <c r="TSL54" s="260"/>
      <c r="TSM54" s="297"/>
      <c r="TSN54" s="297"/>
      <c r="TSO54" s="297"/>
      <c r="TSP54" s="261"/>
      <c r="TSQ54" s="261"/>
      <c r="TSR54" s="261"/>
      <c r="TSS54" s="262"/>
      <c r="TST54" s="262"/>
      <c r="TSU54" s="261"/>
      <c r="TSV54" s="263"/>
      <c r="TSW54" s="264"/>
      <c r="TSX54" s="295"/>
      <c r="TSY54" s="295"/>
      <c r="TSZ54" s="295"/>
      <c r="TTA54" s="295"/>
      <c r="TTB54" s="295"/>
      <c r="TTC54" s="295"/>
      <c r="TTD54" s="153"/>
      <c r="TTE54" s="153"/>
      <c r="TTF54" s="151"/>
      <c r="TTG54" s="153"/>
      <c r="TTI54" s="267"/>
      <c r="TTJ54" s="267"/>
      <c r="TTK54" s="260"/>
      <c r="TTL54" s="297"/>
      <c r="TTM54" s="297"/>
      <c r="TTN54" s="297"/>
      <c r="TTO54" s="261"/>
      <c r="TTP54" s="261"/>
      <c r="TTQ54" s="261"/>
      <c r="TTR54" s="262"/>
      <c r="TTS54" s="262"/>
      <c r="TTT54" s="261"/>
      <c r="TTU54" s="263"/>
      <c r="TTV54" s="264"/>
      <c r="TTW54" s="295"/>
      <c r="TTX54" s="295"/>
      <c r="TTY54" s="295"/>
      <c r="TTZ54" s="295"/>
      <c r="TUA54" s="295"/>
      <c r="TUB54" s="295"/>
      <c r="TUC54" s="153"/>
      <c r="TUD54" s="153"/>
      <c r="TUE54" s="151"/>
      <c r="TUF54" s="153"/>
      <c r="TUH54" s="267"/>
      <c r="TUI54" s="267"/>
      <c r="TUJ54" s="260"/>
      <c r="TUK54" s="297"/>
      <c r="TUL54" s="297"/>
      <c r="TUM54" s="297"/>
      <c r="TUN54" s="261"/>
      <c r="TUO54" s="261"/>
      <c r="TUP54" s="261"/>
      <c r="TUQ54" s="262"/>
      <c r="TUR54" s="262"/>
      <c r="TUS54" s="261"/>
      <c r="TUT54" s="263"/>
      <c r="TUU54" s="264"/>
      <c r="TUV54" s="295"/>
      <c r="TUW54" s="295"/>
      <c r="TUX54" s="295"/>
      <c r="TUY54" s="295"/>
      <c r="TUZ54" s="295"/>
      <c r="TVA54" s="295"/>
      <c r="TVB54" s="153"/>
      <c r="TVC54" s="153"/>
      <c r="TVD54" s="151"/>
      <c r="TVE54" s="153"/>
      <c r="TVG54" s="267"/>
      <c r="TVH54" s="267"/>
      <c r="TVI54" s="260"/>
      <c r="TVJ54" s="297"/>
      <c r="TVK54" s="297"/>
      <c r="TVL54" s="297"/>
      <c r="TVM54" s="261"/>
      <c r="TVN54" s="261"/>
      <c r="TVO54" s="261"/>
      <c r="TVP54" s="262"/>
      <c r="TVQ54" s="262"/>
      <c r="TVR54" s="261"/>
      <c r="TVS54" s="263"/>
      <c r="TVT54" s="264"/>
      <c r="TVU54" s="295"/>
      <c r="TVV54" s="295"/>
      <c r="TVW54" s="295"/>
      <c r="TVX54" s="295"/>
      <c r="TVY54" s="295"/>
      <c r="TVZ54" s="295"/>
      <c r="TWA54" s="153"/>
      <c r="TWB54" s="153"/>
      <c r="TWC54" s="151"/>
      <c r="TWD54" s="153"/>
      <c r="TWF54" s="267"/>
      <c r="TWG54" s="267"/>
      <c r="TWH54" s="260"/>
      <c r="TWI54" s="297"/>
      <c r="TWJ54" s="297"/>
      <c r="TWK54" s="297"/>
      <c r="TWL54" s="261"/>
      <c r="TWM54" s="261"/>
      <c r="TWN54" s="261"/>
      <c r="TWO54" s="262"/>
      <c r="TWP54" s="262"/>
      <c r="TWQ54" s="261"/>
      <c r="TWR54" s="263"/>
      <c r="TWS54" s="264"/>
      <c r="TWT54" s="295"/>
      <c r="TWU54" s="295"/>
      <c r="TWV54" s="295"/>
      <c r="TWW54" s="295"/>
      <c r="TWX54" s="295"/>
      <c r="TWY54" s="295"/>
      <c r="TWZ54" s="153"/>
      <c r="TXA54" s="153"/>
      <c r="TXB54" s="151"/>
      <c r="TXC54" s="153"/>
      <c r="TXE54" s="267"/>
      <c r="TXF54" s="267"/>
      <c r="TXG54" s="260"/>
      <c r="TXH54" s="297"/>
      <c r="TXI54" s="297"/>
      <c r="TXJ54" s="297"/>
      <c r="TXK54" s="261"/>
      <c r="TXL54" s="261"/>
      <c r="TXM54" s="261"/>
      <c r="TXN54" s="262"/>
      <c r="TXO54" s="262"/>
      <c r="TXP54" s="261"/>
      <c r="TXQ54" s="263"/>
      <c r="TXR54" s="264"/>
      <c r="TXS54" s="295"/>
      <c r="TXT54" s="295"/>
      <c r="TXU54" s="295"/>
      <c r="TXV54" s="295"/>
      <c r="TXW54" s="295"/>
      <c r="TXX54" s="295"/>
      <c r="TXY54" s="153"/>
      <c r="TXZ54" s="153"/>
      <c r="TYA54" s="151"/>
      <c r="TYB54" s="153"/>
      <c r="TYD54" s="267"/>
      <c r="TYE54" s="267"/>
      <c r="TYF54" s="260"/>
      <c r="TYG54" s="297"/>
      <c r="TYH54" s="297"/>
      <c r="TYI54" s="297"/>
      <c r="TYJ54" s="261"/>
      <c r="TYK54" s="261"/>
      <c r="TYL54" s="261"/>
      <c r="TYM54" s="262"/>
      <c r="TYN54" s="262"/>
      <c r="TYO54" s="261"/>
      <c r="TYP54" s="263"/>
      <c r="TYQ54" s="264"/>
      <c r="TYR54" s="295"/>
      <c r="TYS54" s="295"/>
      <c r="TYT54" s="295"/>
      <c r="TYU54" s="295"/>
      <c r="TYV54" s="295"/>
      <c r="TYW54" s="295"/>
      <c r="TYX54" s="153"/>
      <c r="TYY54" s="153"/>
      <c r="TYZ54" s="151"/>
      <c r="TZA54" s="153"/>
      <c r="TZC54" s="267"/>
      <c r="TZD54" s="267"/>
      <c r="TZE54" s="260"/>
      <c r="TZF54" s="297"/>
      <c r="TZG54" s="297"/>
      <c r="TZH54" s="297"/>
      <c r="TZI54" s="261"/>
      <c r="TZJ54" s="261"/>
      <c r="TZK54" s="261"/>
      <c r="TZL54" s="262"/>
      <c r="TZM54" s="262"/>
      <c r="TZN54" s="261"/>
      <c r="TZO54" s="263"/>
      <c r="TZP54" s="264"/>
      <c r="TZQ54" s="295"/>
      <c r="TZR54" s="295"/>
      <c r="TZS54" s="295"/>
      <c r="TZT54" s="295"/>
      <c r="TZU54" s="295"/>
      <c r="TZV54" s="295"/>
      <c r="TZW54" s="153"/>
      <c r="TZX54" s="153"/>
      <c r="TZY54" s="151"/>
      <c r="TZZ54" s="153"/>
      <c r="UAB54" s="267"/>
      <c r="UAC54" s="267"/>
      <c r="UAD54" s="260"/>
      <c r="UAE54" s="297"/>
      <c r="UAF54" s="297"/>
      <c r="UAG54" s="297"/>
      <c r="UAH54" s="261"/>
      <c r="UAI54" s="261"/>
      <c r="UAJ54" s="261"/>
      <c r="UAK54" s="262"/>
      <c r="UAL54" s="262"/>
      <c r="UAM54" s="261"/>
      <c r="UAN54" s="263"/>
      <c r="UAO54" s="264"/>
      <c r="UAP54" s="295"/>
      <c r="UAQ54" s="295"/>
      <c r="UAR54" s="295"/>
      <c r="UAS54" s="295"/>
      <c r="UAT54" s="295"/>
      <c r="UAU54" s="295"/>
      <c r="UAV54" s="153"/>
      <c r="UAW54" s="153"/>
      <c r="UAX54" s="151"/>
      <c r="UAY54" s="153"/>
      <c r="UBA54" s="267"/>
      <c r="UBB54" s="267"/>
      <c r="UBC54" s="260"/>
      <c r="UBD54" s="297"/>
      <c r="UBE54" s="297"/>
      <c r="UBF54" s="297"/>
      <c r="UBG54" s="261"/>
      <c r="UBH54" s="261"/>
      <c r="UBI54" s="261"/>
      <c r="UBJ54" s="262"/>
      <c r="UBK54" s="262"/>
      <c r="UBL54" s="261"/>
      <c r="UBM54" s="263"/>
      <c r="UBN54" s="264"/>
      <c r="UBO54" s="295"/>
      <c r="UBP54" s="295"/>
      <c r="UBQ54" s="295"/>
      <c r="UBR54" s="295"/>
      <c r="UBS54" s="295"/>
      <c r="UBT54" s="295"/>
      <c r="UBU54" s="153"/>
      <c r="UBV54" s="153"/>
      <c r="UBW54" s="151"/>
      <c r="UBX54" s="153"/>
      <c r="UBZ54" s="267"/>
      <c r="UCA54" s="267"/>
      <c r="UCB54" s="260"/>
      <c r="UCC54" s="297"/>
      <c r="UCD54" s="297"/>
      <c r="UCE54" s="297"/>
      <c r="UCF54" s="261"/>
      <c r="UCG54" s="261"/>
      <c r="UCH54" s="261"/>
      <c r="UCI54" s="262"/>
      <c r="UCJ54" s="262"/>
      <c r="UCK54" s="261"/>
      <c r="UCL54" s="263"/>
      <c r="UCM54" s="264"/>
      <c r="UCN54" s="295"/>
      <c r="UCO54" s="295"/>
      <c r="UCP54" s="295"/>
      <c r="UCQ54" s="295"/>
      <c r="UCR54" s="295"/>
      <c r="UCS54" s="295"/>
      <c r="UCT54" s="153"/>
      <c r="UCU54" s="153"/>
      <c r="UCV54" s="151"/>
      <c r="UCW54" s="153"/>
      <c r="UCY54" s="267"/>
      <c r="UCZ54" s="267"/>
      <c r="UDA54" s="260"/>
      <c r="UDB54" s="297"/>
      <c r="UDC54" s="297"/>
      <c r="UDD54" s="297"/>
      <c r="UDE54" s="261"/>
      <c r="UDF54" s="261"/>
      <c r="UDG54" s="261"/>
      <c r="UDH54" s="262"/>
      <c r="UDI54" s="262"/>
      <c r="UDJ54" s="261"/>
      <c r="UDK54" s="263"/>
      <c r="UDL54" s="264"/>
      <c r="UDM54" s="295"/>
      <c r="UDN54" s="295"/>
      <c r="UDO54" s="295"/>
      <c r="UDP54" s="295"/>
      <c r="UDQ54" s="295"/>
      <c r="UDR54" s="295"/>
      <c r="UDS54" s="153"/>
      <c r="UDT54" s="153"/>
      <c r="UDU54" s="151"/>
      <c r="UDV54" s="153"/>
      <c r="UDX54" s="267"/>
      <c r="UDY54" s="267"/>
      <c r="UDZ54" s="260"/>
      <c r="UEA54" s="297"/>
      <c r="UEB54" s="297"/>
      <c r="UEC54" s="297"/>
      <c r="UED54" s="261"/>
      <c r="UEE54" s="261"/>
      <c r="UEF54" s="261"/>
      <c r="UEG54" s="262"/>
      <c r="UEH54" s="262"/>
      <c r="UEI54" s="261"/>
      <c r="UEJ54" s="263"/>
      <c r="UEK54" s="264"/>
      <c r="UEL54" s="295"/>
      <c r="UEM54" s="295"/>
      <c r="UEN54" s="295"/>
      <c r="UEO54" s="295"/>
      <c r="UEP54" s="295"/>
      <c r="UEQ54" s="295"/>
      <c r="UER54" s="153"/>
      <c r="UES54" s="153"/>
      <c r="UET54" s="151"/>
      <c r="UEU54" s="153"/>
      <c r="UEW54" s="267"/>
      <c r="UEX54" s="267"/>
      <c r="UEY54" s="260"/>
      <c r="UEZ54" s="297"/>
      <c r="UFA54" s="297"/>
      <c r="UFB54" s="297"/>
      <c r="UFC54" s="261"/>
      <c r="UFD54" s="261"/>
      <c r="UFE54" s="261"/>
      <c r="UFF54" s="262"/>
      <c r="UFG54" s="262"/>
      <c r="UFH54" s="261"/>
      <c r="UFI54" s="263"/>
      <c r="UFJ54" s="264"/>
      <c r="UFK54" s="295"/>
      <c r="UFL54" s="295"/>
      <c r="UFM54" s="295"/>
      <c r="UFN54" s="295"/>
      <c r="UFO54" s="295"/>
      <c r="UFP54" s="295"/>
      <c r="UFQ54" s="153"/>
      <c r="UFR54" s="153"/>
      <c r="UFS54" s="151"/>
      <c r="UFT54" s="153"/>
      <c r="UFV54" s="267"/>
      <c r="UFW54" s="267"/>
      <c r="UFX54" s="260"/>
      <c r="UFY54" s="297"/>
      <c r="UFZ54" s="297"/>
      <c r="UGA54" s="297"/>
      <c r="UGB54" s="261"/>
      <c r="UGC54" s="261"/>
      <c r="UGD54" s="261"/>
      <c r="UGE54" s="262"/>
      <c r="UGF54" s="262"/>
      <c r="UGG54" s="261"/>
      <c r="UGH54" s="263"/>
      <c r="UGI54" s="264"/>
      <c r="UGJ54" s="295"/>
      <c r="UGK54" s="295"/>
      <c r="UGL54" s="295"/>
      <c r="UGM54" s="295"/>
      <c r="UGN54" s="295"/>
      <c r="UGO54" s="295"/>
      <c r="UGP54" s="153"/>
      <c r="UGQ54" s="153"/>
      <c r="UGR54" s="151"/>
      <c r="UGS54" s="153"/>
      <c r="UGU54" s="267"/>
      <c r="UGV54" s="267"/>
      <c r="UGW54" s="260"/>
      <c r="UGX54" s="297"/>
      <c r="UGY54" s="297"/>
      <c r="UGZ54" s="297"/>
      <c r="UHA54" s="261"/>
      <c r="UHB54" s="261"/>
      <c r="UHC54" s="261"/>
      <c r="UHD54" s="262"/>
      <c r="UHE54" s="262"/>
      <c r="UHF54" s="261"/>
      <c r="UHG54" s="263"/>
      <c r="UHH54" s="264"/>
      <c r="UHI54" s="295"/>
      <c r="UHJ54" s="295"/>
      <c r="UHK54" s="295"/>
      <c r="UHL54" s="295"/>
      <c r="UHM54" s="295"/>
      <c r="UHN54" s="295"/>
      <c r="UHO54" s="153"/>
      <c r="UHP54" s="153"/>
      <c r="UHQ54" s="151"/>
      <c r="UHR54" s="153"/>
      <c r="UHT54" s="267"/>
      <c r="UHU54" s="267"/>
      <c r="UHV54" s="260"/>
      <c r="UHW54" s="297"/>
      <c r="UHX54" s="297"/>
      <c r="UHY54" s="297"/>
      <c r="UHZ54" s="261"/>
      <c r="UIA54" s="261"/>
      <c r="UIB54" s="261"/>
      <c r="UIC54" s="262"/>
      <c r="UID54" s="262"/>
      <c r="UIE54" s="261"/>
      <c r="UIF54" s="263"/>
      <c r="UIG54" s="264"/>
      <c r="UIH54" s="295"/>
      <c r="UII54" s="295"/>
      <c r="UIJ54" s="295"/>
      <c r="UIK54" s="295"/>
      <c r="UIL54" s="295"/>
      <c r="UIM54" s="295"/>
      <c r="UIN54" s="153"/>
      <c r="UIO54" s="153"/>
      <c r="UIP54" s="151"/>
      <c r="UIQ54" s="153"/>
      <c r="UIS54" s="267"/>
      <c r="UIT54" s="267"/>
      <c r="UIU54" s="260"/>
      <c r="UIV54" s="297"/>
      <c r="UIW54" s="297"/>
      <c r="UIX54" s="297"/>
      <c r="UIY54" s="261"/>
      <c r="UIZ54" s="261"/>
      <c r="UJA54" s="261"/>
      <c r="UJB54" s="262"/>
      <c r="UJC54" s="262"/>
      <c r="UJD54" s="261"/>
      <c r="UJE54" s="263"/>
      <c r="UJF54" s="264"/>
      <c r="UJG54" s="295"/>
      <c r="UJH54" s="295"/>
      <c r="UJI54" s="295"/>
      <c r="UJJ54" s="295"/>
      <c r="UJK54" s="295"/>
      <c r="UJL54" s="295"/>
      <c r="UJM54" s="153"/>
      <c r="UJN54" s="153"/>
      <c r="UJO54" s="151"/>
      <c r="UJP54" s="153"/>
      <c r="UJR54" s="267"/>
      <c r="UJS54" s="267"/>
      <c r="UJT54" s="260"/>
      <c r="UJU54" s="297"/>
      <c r="UJV54" s="297"/>
      <c r="UJW54" s="297"/>
      <c r="UJX54" s="261"/>
      <c r="UJY54" s="261"/>
      <c r="UJZ54" s="261"/>
      <c r="UKA54" s="262"/>
      <c r="UKB54" s="262"/>
      <c r="UKC54" s="261"/>
      <c r="UKD54" s="263"/>
      <c r="UKE54" s="264"/>
      <c r="UKF54" s="295"/>
      <c r="UKG54" s="295"/>
      <c r="UKH54" s="295"/>
      <c r="UKI54" s="295"/>
      <c r="UKJ54" s="295"/>
      <c r="UKK54" s="295"/>
      <c r="UKL54" s="153"/>
      <c r="UKM54" s="153"/>
      <c r="UKN54" s="151"/>
      <c r="UKO54" s="153"/>
      <c r="UKQ54" s="267"/>
      <c r="UKR54" s="267"/>
      <c r="UKS54" s="260"/>
      <c r="UKT54" s="297"/>
      <c r="UKU54" s="297"/>
      <c r="UKV54" s="297"/>
      <c r="UKW54" s="261"/>
      <c r="UKX54" s="261"/>
      <c r="UKY54" s="261"/>
      <c r="UKZ54" s="262"/>
      <c r="ULA54" s="262"/>
      <c r="ULB54" s="261"/>
      <c r="ULC54" s="263"/>
      <c r="ULD54" s="264"/>
      <c r="ULE54" s="295"/>
      <c r="ULF54" s="295"/>
      <c r="ULG54" s="295"/>
      <c r="ULH54" s="295"/>
      <c r="ULI54" s="295"/>
      <c r="ULJ54" s="295"/>
      <c r="ULK54" s="153"/>
      <c r="ULL54" s="153"/>
      <c r="ULM54" s="151"/>
      <c r="ULN54" s="153"/>
      <c r="ULP54" s="267"/>
      <c r="ULQ54" s="267"/>
      <c r="ULR54" s="260"/>
      <c r="ULS54" s="297"/>
      <c r="ULT54" s="297"/>
      <c r="ULU54" s="297"/>
      <c r="ULV54" s="261"/>
      <c r="ULW54" s="261"/>
      <c r="ULX54" s="261"/>
      <c r="ULY54" s="262"/>
      <c r="ULZ54" s="262"/>
      <c r="UMA54" s="261"/>
      <c r="UMB54" s="263"/>
      <c r="UMC54" s="264"/>
      <c r="UMD54" s="295"/>
      <c r="UME54" s="295"/>
      <c r="UMF54" s="295"/>
      <c r="UMG54" s="295"/>
      <c r="UMH54" s="295"/>
      <c r="UMI54" s="295"/>
      <c r="UMJ54" s="153"/>
      <c r="UMK54" s="153"/>
      <c r="UML54" s="151"/>
      <c r="UMM54" s="153"/>
      <c r="UMO54" s="267"/>
      <c r="UMP54" s="267"/>
      <c r="UMQ54" s="260"/>
      <c r="UMR54" s="297"/>
      <c r="UMS54" s="297"/>
      <c r="UMT54" s="297"/>
      <c r="UMU54" s="261"/>
      <c r="UMV54" s="261"/>
      <c r="UMW54" s="261"/>
      <c r="UMX54" s="262"/>
      <c r="UMY54" s="262"/>
      <c r="UMZ54" s="261"/>
      <c r="UNA54" s="263"/>
      <c r="UNB54" s="264"/>
      <c r="UNC54" s="295"/>
      <c r="UND54" s="295"/>
      <c r="UNE54" s="295"/>
      <c r="UNF54" s="295"/>
      <c r="UNG54" s="295"/>
      <c r="UNH54" s="295"/>
      <c r="UNI54" s="153"/>
      <c r="UNJ54" s="153"/>
      <c r="UNK54" s="151"/>
      <c r="UNL54" s="153"/>
      <c r="UNN54" s="267"/>
      <c r="UNO54" s="267"/>
      <c r="UNP54" s="260"/>
      <c r="UNQ54" s="297"/>
      <c r="UNR54" s="297"/>
      <c r="UNS54" s="297"/>
      <c r="UNT54" s="261"/>
      <c r="UNU54" s="261"/>
      <c r="UNV54" s="261"/>
      <c r="UNW54" s="262"/>
      <c r="UNX54" s="262"/>
      <c r="UNY54" s="261"/>
      <c r="UNZ54" s="263"/>
      <c r="UOA54" s="264"/>
      <c r="UOB54" s="295"/>
      <c r="UOC54" s="295"/>
      <c r="UOD54" s="295"/>
      <c r="UOE54" s="295"/>
      <c r="UOF54" s="295"/>
      <c r="UOG54" s="295"/>
      <c r="UOH54" s="153"/>
      <c r="UOI54" s="153"/>
      <c r="UOJ54" s="151"/>
      <c r="UOK54" s="153"/>
      <c r="UOM54" s="267"/>
      <c r="UON54" s="267"/>
      <c r="UOO54" s="260"/>
      <c r="UOP54" s="297"/>
      <c r="UOQ54" s="297"/>
      <c r="UOR54" s="297"/>
      <c r="UOS54" s="261"/>
      <c r="UOT54" s="261"/>
      <c r="UOU54" s="261"/>
      <c r="UOV54" s="262"/>
      <c r="UOW54" s="262"/>
      <c r="UOX54" s="261"/>
      <c r="UOY54" s="263"/>
      <c r="UOZ54" s="264"/>
      <c r="UPA54" s="295"/>
      <c r="UPB54" s="295"/>
      <c r="UPC54" s="295"/>
      <c r="UPD54" s="295"/>
      <c r="UPE54" s="295"/>
      <c r="UPF54" s="295"/>
      <c r="UPG54" s="153"/>
      <c r="UPH54" s="153"/>
      <c r="UPI54" s="151"/>
      <c r="UPJ54" s="153"/>
      <c r="UPL54" s="267"/>
      <c r="UPM54" s="267"/>
      <c r="UPN54" s="260"/>
      <c r="UPO54" s="297"/>
      <c r="UPP54" s="297"/>
      <c r="UPQ54" s="297"/>
      <c r="UPR54" s="261"/>
      <c r="UPS54" s="261"/>
      <c r="UPT54" s="261"/>
      <c r="UPU54" s="262"/>
      <c r="UPV54" s="262"/>
      <c r="UPW54" s="261"/>
      <c r="UPX54" s="263"/>
      <c r="UPY54" s="264"/>
      <c r="UPZ54" s="295"/>
      <c r="UQA54" s="295"/>
      <c r="UQB54" s="295"/>
      <c r="UQC54" s="295"/>
      <c r="UQD54" s="295"/>
      <c r="UQE54" s="295"/>
      <c r="UQF54" s="153"/>
      <c r="UQG54" s="153"/>
      <c r="UQH54" s="151"/>
      <c r="UQI54" s="153"/>
      <c r="UQK54" s="267"/>
      <c r="UQL54" s="267"/>
      <c r="UQM54" s="260"/>
      <c r="UQN54" s="297"/>
      <c r="UQO54" s="297"/>
      <c r="UQP54" s="297"/>
      <c r="UQQ54" s="261"/>
      <c r="UQR54" s="261"/>
      <c r="UQS54" s="261"/>
      <c r="UQT54" s="262"/>
      <c r="UQU54" s="262"/>
      <c r="UQV54" s="261"/>
      <c r="UQW54" s="263"/>
      <c r="UQX54" s="264"/>
      <c r="UQY54" s="295"/>
      <c r="UQZ54" s="295"/>
      <c r="URA54" s="295"/>
      <c r="URB54" s="295"/>
      <c r="URC54" s="295"/>
      <c r="URD54" s="295"/>
      <c r="URE54" s="153"/>
      <c r="URF54" s="153"/>
      <c r="URG54" s="151"/>
      <c r="URH54" s="153"/>
      <c r="URJ54" s="267"/>
      <c r="URK54" s="267"/>
      <c r="URL54" s="260"/>
      <c r="URM54" s="297"/>
      <c r="URN54" s="297"/>
      <c r="URO54" s="297"/>
      <c r="URP54" s="261"/>
      <c r="URQ54" s="261"/>
      <c r="URR54" s="261"/>
      <c r="URS54" s="262"/>
      <c r="URT54" s="262"/>
      <c r="URU54" s="261"/>
      <c r="URV54" s="263"/>
      <c r="URW54" s="264"/>
      <c r="URX54" s="295"/>
      <c r="URY54" s="295"/>
      <c r="URZ54" s="295"/>
      <c r="USA54" s="295"/>
      <c r="USB54" s="295"/>
      <c r="USC54" s="295"/>
      <c r="USD54" s="153"/>
      <c r="USE54" s="153"/>
      <c r="USF54" s="151"/>
      <c r="USG54" s="153"/>
      <c r="USI54" s="267"/>
      <c r="USJ54" s="267"/>
      <c r="USK54" s="260"/>
      <c r="USL54" s="297"/>
      <c r="USM54" s="297"/>
      <c r="USN54" s="297"/>
      <c r="USO54" s="261"/>
      <c r="USP54" s="261"/>
      <c r="USQ54" s="261"/>
      <c r="USR54" s="262"/>
      <c r="USS54" s="262"/>
      <c r="UST54" s="261"/>
      <c r="USU54" s="263"/>
      <c r="USV54" s="264"/>
      <c r="USW54" s="295"/>
      <c r="USX54" s="295"/>
      <c r="USY54" s="295"/>
      <c r="USZ54" s="295"/>
      <c r="UTA54" s="295"/>
      <c r="UTB54" s="295"/>
      <c r="UTC54" s="153"/>
      <c r="UTD54" s="153"/>
      <c r="UTE54" s="151"/>
      <c r="UTF54" s="153"/>
      <c r="UTH54" s="267"/>
      <c r="UTI54" s="267"/>
      <c r="UTJ54" s="260"/>
      <c r="UTK54" s="297"/>
      <c r="UTL54" s="297"/>
      <c r="UTM54" s="297"/>
      <c r="UTN54" s="261"/>
      <c r="UTO54" s="261"/>
      <c r="UTP54" s="261"/>
      <c r="UTQ54" s="262"/>
      <c r="UTR54" s="262"/>
      <c r="UTS54" s="261"/>
      <c r="UTT54" s="263"/>
      <c r="UTU54" s="264"/>
      <c r="UTV54" s="295"/>
      <c r="UTW54" s="295"/>
      <c r="UTX54" s="295"/>
      <c r="UTY54" s="295"/>
      <c r="UTZ54" s="295"/>
      <c r="UUA54" s="295"/>
      <c r="UUB54" s="153"/>
      <c r="UUC54" s="153"/>
      <c r="UUD54" s="151"/>
      <c r="UUE54" s="153"/>
      <c r="UUG54" s="267"/>
      <c r="UUH54" s="267"/>
      <c r="UUI54" s="260"/>
      <c r="UUJ54" s="297"/>
      <c r="UUK54" s="297"/>
      <c r="UUL54" s="297"/>
      <c r="UUM54" s="261"/>
      <c r="UUN54" s="261"/>
      <c r="UUO54" s="261"/>
      <c r="UUP54" s="262"/>
      <c r="UUQ54" s="262"/>
      <c r="UUR54" s="261"/>
      <c r="UUS54" s="263"/>
      <c r="UUT54" s="264"/>
      <c r="UUU54" s="295"/>
      <c r="UUV54" s="295"/>
      <c r="UUW54" s="295"/>
      <c r="UUX54" s="295"/>
      <c r="UUY54" s="295"/>
      <c r="UUZ54" s="295"/>
      <c r="UVA54" s="153"/>
      <c r="UVB54" s="153"/>
      <c r="UVC54" s="151"/>
      <c r="UVD54" s="153"/>
      <c r="UVF54" s="267"/>
      <c r="UVG54" s="267"/>
      <c r="UVH54" s="260"/>
      <c r="UVI54" s="297"/>
      <c r="UVJ54" s="297"/>
      <c r="UVK54" s="297"/>
      <c r="UVL54" s="261"/>
      <c r="UVM54" s="261"/>
      <c r="UVN54" s="261"/>
      <c r="UVO54" s="262"/>
      <c r="UVP54" s="262"/>
      <c r="UVQ54" s="261"/>
      <c r="UVR54" s="263"/>
      <c r="UVS54" s="264"/>
      <c r="UVT54" s="295"/>
      <c r="UVU54" s="295"/>
      <c r="UVV54" s="295"/>
      <c r="UVW54" s="295"/>
      <c r="UVX54" s="295"/>
      <c r="UVY54" s="295"/>
      <c r="UVZ54" s="153"/>
      <c r="UWA54" s="153"/>
      <c r="UWB54" s="151"/>
      <c r="UWC54" s="153"/>
      <c r="UWE54" s="267"/>
      <c r="UWF54" s="267"/>
      <c r="UWG54" s="260"/>
      <c r="UWH54" s="297"/>
      <c r="UWI54" s="297"/>
      <c r="UWJ54" s="297"/>
      <c r="UWK54" s="261"/>
      <c r="UWL54" s="261"/>
      <c r="UWM54" s="261"/>
      <c r="UWN54" s="262"/>
      <c r="UWO54" s="262"/>
      <c r="UWP54" s="261"/>
      <c r="UWQ54" s="263"/>
      <c r="UWR54" s="264"/>
      <c r="UWS54" s="295"/>
      <c r="UWT54" s="295"/>
      <c r="UWU54" s="295"/>
      <c r="UWV54" s="295"/>
      <c r="UWW54" s="295"/>
      <c r="UWX54" s="295"/>
      <c r="UWY54" s="153"/>
      <c r="UWZ54" s="153"/>
      <c r="UXA54" s="151"/>
      <c r="UXB54" s="153"/>
      <c r="UXD54" s="267"/>
      <c r="UXE54" s="267"/>
      <c r="UXF54" s="260"/>
      <c r="UXG54" s="297"/>
      <c r="UXH54" s="297"/>
      <c r="UXI54" s="297"/>
      <c r="UXJ54" s="261"/>
      <c r="UXK54" s="261"/>
      <c r="UXL54" s="261"/>
      <c r="UXM54" s="262"/>
      <c r="UXN54" s="262"/>
      <c r="UXO54" s="261"/>
      <c r="UXP54" s="263"/>
      <c r="UXQ54" s="264"/>
      <c r="UXR54" s="295"/>
      <c r="UXS54" s="295"/>
      <c r="UXT54" s="295"/>
      <c r="UXU54" s="295"/>
      <c r="UXV54" s="295"/>
      <c r="UXW54" s="295"/>
      <c r="UXX54" s="153"/>
      <c r="UXY54" s="153"/>
      <c r="UXZ54" s="151"/>
      <c r="UYA54" s="153"/>
      <c r="UYC54" s="267"/>
      <c r="UYD54" s="267"/>
      <c r="UYE54" s="260"/>
      <c r="UYF54" s="297"/>
      <c r="UYG54" s="297"/>
      <c r="UYH54" s="297"/>
      <c r="UYI54" s="261"/>
      <c r="UYJ54" s="261"/>
      <c r="UYK54" s="261"/>
      <c r="UYL54" s="262"/>
      <c r="UYM54" s="262"/>
      <c r="UYN54" s="261"/>
      <c r="UYO54" s="263"/>
      <c r="UYP54" s="264"/>
      <c r="UYQ54" s="295"/>
      <c r="UYR54" s="295"/>
      <c r="UYS54" s="295"/>
      <c r="UYT54" s="295"/>
      <c r="UYU54" s="295"/>
      <c r="UYV54" s="295"/>
      <c r="UYW54" s="153"/>
      <c r="UYX54" s="153"/>
      <c r="UYY54" s="151"/>
      <c r="UYZ54" s="153"/>
      <c r="UZB54" s="267"/>
      <c r="UZC54" s="267"/>
      <c r="UZD54" s="260"/>
      <c r="UZE54" s="297"/>
      <c r="UZF54" s="297"/>
      <c r="UZG54" s="297"/>
      <c r="UZH54" s="261"/>
      <c r="UZI54" s="261"/>
      <c r="UZJ54" s="261"/>
      <c r="UZK54" s="262"/>
      <c r="UZL54" s="262"/>
      <c r="UZM54" s="261"/>
      <c r="UZN54" s="263"/>
      <c r="UZO54" s="264"/>
      <c r="UZP54" s="295"/>
      <c r="UZQ54" s="295"/>
      <c r="UZR54" s="295"/>
      <c r="UZS54" s="295"/>
      <c r="UZT54" s="295"/>
      <c r="UZU54" s="295"/>
      <c r="UZV54" s="153"/>
      <c r="UZW54" s="153"/>
      <c r="UZX54" s="151"/>
      <c r="UZY54" s="153"/>
      <c r="VAA54" s="267"/>
      <c r="VAB54" s="267"/>
      <c r="VAC54" s="260"/>
      <c r="VAD54" s="297"/>
      <c r="VAE54" s="297"/>
      <c r="VAF54" s="297"/>
      <c r="VAG54" s="261"/>
      <c r="VAH54" s="261"/>
      <c r="VAI54" s="261"/>
      <c r="VAJ54" s="262"/>
      <c r="VAK54" s="262"/>
      <c r="VAL54" s="261"/>
      <c r="VAM54" s="263"/>
      <c r="VAN54" s="264"/>
      <c r="VAO54" s="295"/>
      <c r="VAP54" s="295"/>
      <c r="VAQ54" s="295"/>
      <c r="VAR54" s="295"/>
      <c r="VAS54" s="295"/>
      <c r="VAT54" s="295"/>
      <c r="VAU54" s="153"/>
      <c r="VAV54" s="153"/>
      <c r="VAW54" s="151"/>
      <c r="VAX54" s="153"/>
      <c r="VAZ54" s="267"/>
      <c r="VBA54" s="267"/>
      <c r="VBB54" s="260"/>
      <c r="VBC54" s="297"/>
      <c r="VBD54" s="297"/>
      <c r="VBE54" s="297"/>
      <c r="VBF54" s="261"/>
      <c r="VBG54" s="261"/>
      <c r="VBH54" s="261"/>
      <c r="VBI54" s="262"/>
      <c r="VBJ54" s="262"/>
      <c r="VBK54" s="261"/>
      <c r="VBL54" s="263"/>
      <c r="VBM54" s="264"/>
      <c r="VBN54" s="295"/>
      <c r="VBO54" s="295"/>
      <c r="VBP54" s="295"/>
      <c r="VBQ54" s="295"/>
      <c r="VBR54" s="295"/>
      <c r="VBS54" s="295"/>
      <c r="VBT54" s="153"/>
      <c r="VBU54" s="153"/>
      <c r="VBV54" s="151"/>
      <c r="VBW54" s="153"/>
      <c r="VBY54" s="267"/>
      <c r="VBZ54" s="267"/>
      <c r="VCA54" s="260"/>
      <c r="VCB54" s="297"/>
      <c r="VCC54" s="297"/>
      <c r="VCD54" s="297"/>
      <c r="VCE54" s="261"/>
      <c r="VCF54" s="261"/>
      <c r="VCG54" s="261"/>
      <c r="VCH54" s="262"/>
      <c r="VCI54" s="262"/>
      <c r="VCJ54" s="261"/>
      <c r="VCK54" s="263"/>
      <c r="VCL54" s="264"/>
      <c r="VCM54" s="295"/>
      <c r="VCN54" s="295"/>
      <c r="VCO54" s="295"/>
      <c r="VCP54" s="295"/>
      <c r="VCQ54" s="295"/>
      <c r="VCR54" s="295"/>
      <c r="VCS54" s="153"/>
      <c r="VCT54" s="153"/>
      <c r="VCU54" s="151"/>
      <c r="VCV54" s="153"/>
      <c r="VCX54" s="267"/>
      <c r="VCY54" s="267"/>
      <c r="VCZ54" s="260"/>
      <c r="VDA54" s="297"/>
      <c r="VDB54" s="297"/>
      <c r="VDC54" s="297"/>
      <c r="VDD54" s="261"/>
      <c r="VDE54" s="261"/>
      <c r="VDF54" s="261"/>
      <c r="VDG54" s="262"/>
      <c r="VDH54" s="262"/>
      <c r="VDI54" s="261"/>
      <c r="VDJ54" s="263"/>
      <c r="VDK54" s="264"/>
      <c r="VDL54" s="295"/>
      <c r="VDM54" s="295"/>
      <c r="VDN54" s="295"/>
      <c r="VDO54" s="295"/>
      <c r="VDP54" s="295"/>
      <c r="VDQ54" s="295"/>
      <c r="VDR54" s="153"/>
      <c r="VDS54" s="153"/>
      <c r="VDT54" s="151"/>
      <c r="VDU54" s="153"/>
      <c r="VDW54" s="267"/>
      <c r="VDX54" s="267"/>
      <c r="VDY54" s="260"/>
      <c r="VDZ54" s="297"/>
      <c r="VEA54" s="297"/>
      <c r="VEB54" s="297"/>
      <c r="VEC54" s="261"/>
      <c r="VED54" s="261"/>
      <c r="VEE54" s="261"/>
      <c r="VEF54" s="262"/>
      <c r="VEG54" s="262"/>
      <c r="VEH54" s="261"/>
      <c r="VEI54" s="263"/>
      <c r="VEJ54" s="264"/>
      <c r="VEK54" s="295"/>
      <c r="VEL54" s="295"/>
      <c r="VEM54" s="295"/>
      <c r="VEN54" s="295"/>
      <c r="VEO54" s="295"/>
      <c r="VEP54" s="295"/>
      <c r="VEQ54" s="153"/>
      <c r="VER54" s="153"/>
      <c r="VES54" s="151"/>
      <c r="VET54" s="153"/>
      <c r="VEV54" s="267"/>
      <c r="VEW54" s="267"/>
      <c r="VEX54" s="260"/>
      <c r="VEY54" s="297"/>
      <c r="VEZ54" s="297"/>
      <c r="VFA54" s="297"/>
      <c r="VFB54" s="261"/>
      <c r="VFC54" s="261"/>
      <c r="VFD54" s="261"/>
      <c r="VFE54" s="262"/>
      <c r="VFF54" s="262"/>
      <c r="VFG54" s="261"/>
      <c r="VFH54" s="263"/>
      <c r="VFI54" s="264"/>
      <c r="VFJ54" s="295"/>
      <c r="VFK54" s="295"/>
      <c r="VFL54" s="295"/>
      <c r="VFM54" s="295"/>
      <c r="VFN54" s="295"/>
      <c r="VFO54" s="295"/>
      <c r="VFP54" s="153"/>
      <c r="VFQ54" s="153"/>
      <c r="VFR54" s="151"/>
      <c r="VFS54" s="153"/>
      <c r="VFU54" s="267"/>
      <c r="VFV54" s="267"/>
      <c r="VFW54" s="260"/>
      <c r="VFX54" s="297"/>
      <c r="VFY54" s="297"/>
      <c r="VFZ54" s="297"/>
      <c r="VGA54" s="261"/>
      <c r="VGB54" s="261"/>
      <c r="VGC54" s="261"/>
      <c r="VGD54" s="262"/>
      <c r="VGE54" s="262"/>
      <c r="VGF54" s="261"/>
      <c r="VGG54" s="263"/>
      <c r="VGH54" s="264"/>
      <c r="VGI54" s="295"/>
      <c r="VGJ54" s="295"/>
      <c r="VGK54" s="295"/>
      <c r="VGL54" s="295"/>
      <c r="VGM54" s="295"/>
      <c r="VGN54" s="295"/>
      <c r="VGO54" s="153"/>
      <c r="VGP54" s="153"/>
      <c r="VGQ54" s="151"/>
      <c r="VGR54" s="153"/>
      <c r="VGT54" s="267"/>
      <c r="VGU54" s="267"/>
      <c r="VGV54" s="260"/>
      <c r="VGW54" s="297"/>
      <c r="VGX54" s="297"/>
      <c r="VGY54" s="297"/>
      <c r="VGZ54" s="261"/>
      <c r="VHA54" s="261"/>
      <c r="VHB54" s="261"/>
      <c r="VHC54" s="262"/>
      <c r="VHD54" s="262"/>
      <c r="VHE54" s="261"/>
      <c r="VHF54" s="263"/>
      <c r="VHG54" s="264"/>
      <c r="VHH54" s="295"/>
      <c r="VHI54" s="295"/>
      <c r="VHJ54" s="295"/>
      <c r="VHK54" s="295"/>
      <c r="VHL54" s="295"/>
      <c r="VHM54" s="295"/>
      <c r="VHN54" s="153"/>
      <c r="VHO54" s="153"/>
      <c r="VHP54" s="151"/>
      <c r="VHQ54" s="153"/>
      <c r="VHS54" s="267"/>
      <c r="VHT54" s="267"/>
      <c r="VHU54" s="260"/>
      <c r="VHV54" s="297"/>
      <c r="VHW54" s="297"/>
      <c r="VHX54" s="297"/>
      <c r="VHY54" s="261"/>
      <c r="VHZ54" s="261"/>
      <c r="VIA54" s="261"/>
      <c r="VIB54" s="262"/>
      <c r="VIC54" s="262"/>
      <c r="VID54" s="261"/>
      <c r="VIE54" s="263"/>
      <c r="VIF54" s="264"/>
      <c r="VIG54" s="295"/>
      <c r="VIH54" s="295"/>
      <c r="VII54" s="295"/>
      <c r="VIJ54" s="295"/>
      <c r="VIK54" s="295"/>
      <c r="VIL54" s="295"/>
      <c r="VIM54" s="153"/>
      <c r="VIN54" s="153"/>
      <c r="VIO54" s="151"/>
      <c r="VIP54" s="153"/>
      <c r="VIR54" s="267"/>
      <c r="VIS54" s="267"/>
      <c r="VIT54" s="260"/>
      <c r="VIU54" s="297"/>
      <c r="VIV54" s="297"/>
      <c r="VIW54" s="297"/>
      <c r="VIX54" s="261"/>
      <c r="VIY54" s="261"/>
      <c r="VIZ54" s="261"/>
      <c r="VJA54" s="262"/>
      <c r="VJB54" s="262"/>
      <c r="VJC54" s="261"/>
      <c r="VJD54" s="263"/>
      <c r="VJE54" s="264"/>
      <c r="VJF54" s="295"/>
      <c r="VJG54" s="295"/>
      <c r="VJH54" s="295"/>
      <c r="VJI54" s="295"/>
      <c r="VJJ54" s="295"/>
      <c r="VJK54" s="295"/>
      <c r="VJL54" s="153"/>
      <c r="VJM54" s="153"/>
      <c r="VJN54" s="151"/>
      <c r="VJO54" s="153"/>
      <c r="VJQ54" s="267"/>
      <c r="VJR54" s="267"/>
      <c r="VJS54" s="260"/>
      <c r="VJT54" s="297"/>
      <c r="VJU54" s="297"/>
      <c r="VJV54" s="297"/>
      <c r="VJW54" s="261"/>
      <c r="VJX54" s="261"/>
      <c r="VJY54" s="261"/>
      <c r="VJZ54" s="262"/>
      <c r="VKA54" s="262"/>
      <c r="VKB54" s="261"/>
      <c r="VKC54" s="263"/>
      <c r="VKD54" s="264"/>
      <c r="VKE54" s="295"/>
      <c r="VKF54" s="295"/>
      <c r="VKG54" s="295"/>
      <c r="VKH54" s="295"/>
      <c r="VKI54" s="295"/>
      <c r="VKJ54" s="295"/>
      <c r="VKK54" s="153"/>
      <c r="VKL54" s="153"/>
      <c r="VKM54" s="151"/>
      <c r="VKN54" s="153"/>
      <c r="VKP54" s="267"/>
      <c r="VKQ54" s="267"/>
      <c r="VKR54" s="260"/>
      <c r="VKS54" s="297"/>
      <c r="VKT54" s="297"/>
      <c r="VKU54" s="297"/>
      <c r="VKV54" s="261"/>
      <c r="VKW54" s="261"/>
      <c r="VKX54" s="261"/>
      <c r="VKY54" s="262"/>
      <c r="VKZ54" s="262"/>
      <c r="VLA54" s="261"/>
      <c r="VLB54" s="263"/>
      <c r="VLC54" s="264"/>
      <c r="VLD54" s="295"/>
      <c r="VLE54" s="295"/>
      <c r="VLF54" s="295"/>
      <c r="VLG54" s="295"/>
      <c r="VLH54" s="295"/>
      <c r="VLI54" s="295"/>
      <c r="VLJ54" s="153"/>
      <c r="VLK54" s="153"/>
      <c r="VLL54" s="151"/>
      <c r="VLM54" s="153"/>
      <c r="VLO54" s="267"/>
      <c r="VLP54" s="267"/>
      <c r="VLQ54" s="260"/>
      <c r="VLR54" s="297"/>
      <c r="VLS54" s="297"/>
      <c r="VLT54" s="297"/>
      <c r="VLU54" s="261"/>
      <c r="VLV54" s="261"/>
      <c r="VLW54" s="261"/>
      <c r="VLX54" s="262"/>
      <c r="VLY54" s="262"/>
      <c r="VLZ54" s="261"/>
      <c r="VMA54" s="263"/>
      <c r="VMB54" s="264"/>
      <c r="VMC54" s="295"/>
      <c r="VMD54" s="295"/>
      <c r="VME54" s="295"/>
      <c r="VMF54" s="295"/>
      <c r="VMG54" s="295"/>
      <c r="VMH54" s="295"/>
      <c r="VMI54" s="153"/>
      <c r="VMJ54" s="153"/>
      <c r="VMK54" s="151"/>
      <c r="VML54" s="153"/>
      <c r="VMN54" s="267"/>
      <c r="VMO54" s="267"/>
      <c r="VMP54" s="260"/>
      <c r="VMQ54" s="297"/>
      <c r="VMR54" s="297"/>
      <c r="VMS54" s="297"/>
      <c r="VMT54" s="261"/>
      <c r="VMU54" s="261"/>
      <c r="VMV54" s="261"/>
      <c r="VMW54" s="262"/>
      <c r="VMX54" s="262"/>
      <c r="VMY54" s="261"/>
      <c r="VMZ54" s="263"/>
      <c r="VNA54" s="264"/>
      <c r="VNB54" s="295"/>
      <c r="VNC54" s="295"/>
      <c r="VND54" s="295"/>
      <c r="VNE54" s="295"/>
      <c r="VNF54" s="295"/>
      <c r="VNG54" s="295"/>
      <c r="VNH54" s="153"/>
      <c r="VNI54" s="153"/>
      <c r="VNJ54" s="151"/>
      <c r="VNK54" s="153"/>
      <c r="VNM54" s="267"/>
      <c r="VNN54" s="267"/>
      <c r="VNO54" s="260"/>
      <c r="VNP54" s="297"/>
      <c r="VNQ54" s="297"/>
      <c r="VNR54" s="297"/>
      <c r="VNS54" s="261"/>
      <c r="VNT54" s="261"/>
      <c r="VNU54" s="261"/>
      <c r="VNV54" s="262"/>
      <c r="VNW54" s="262"/>
      <c r="VNX54" s="261"/>
      <c r="VNY54" s="263"/>
      <c r="VNZ54" s="264"/>
      <c r="VOA54" s="295"/>
      <c r="VOB54" s="295"/>
      <c r="VOC54" s="295"/>
      <c r="VOD54" s="295"/>
      <c r="VOE54" s="295"/>
      <c r="VOF54" s="295"/>
      <c r="VOG54" s="153"/>
      <c r="VOH54" s="153"/>
      <c r="VOI54" s="151"/>
      <c r="VOJ54" s="153"/>
      <c r="VOL54" s="267"/>
      <c r="VOM54" s="267"/>
      <c r="VON54" s="260"/>
      <c r="VOO54" s="297"/>
      <c r="VOP54" s="297"/>
      <c r="VOQ54" s="297"/>
      <c r="VOR54" s="261"/>
      <c r="VOS54" s="261"/>
      <c r="VOT54" s="261"/>
      <c r="VOU54" s="262"/>
      <c r="VOV54" s="262"/>
      <c r="VOW54" s="261"/>
      <c r="VOX54" s="263"/>
      <c r="VOY54" s="264"/>
      <c r="VOZ54" s="295"/>
      <c r="VPA54" s="295"/>
      <c r="VPB54" s="295"/>
      <c r="VPC54" s="295"/>
      <c r="VPD54" s="295"/>
      <c r="VPE54" s="295"/>
      <c r="VPF54" s="153"/>
      <c r="VPG54" s="153"/>
      <c r="VPH54" s="151"/>
      <c r="VPI54" s="153"/>
      <c r="VPK54" s="267"/>
      <c r="VPL54" s="267"/>
      <c r="VPM54" s="260"/>
      <c r="VPN54" s="297"/>
      <c r="VPO54" s="297"/>
      <c r="VPP54" s="297"/>
      <c r="VPQ54" s="261"/>
      <c r="VPR54" s="261"/>
      <c r="VPS54" s="261"/>
      <c r="VPT54" s="262"/>
      <c r="VPU54" s="262"/>
      <c r="VPV54" s="261"/>
      <c r="VPW54" s="263"/>
      <c r="VPX54" s="264"/>
      <c r="VPY54" s="295"/>
      <c r="VPZ54" s="295"/>
      <c r="VQA54" s="295"/>
      <c r="VQB54" s="295"/>
      <c r="VQC54" s="295"/>
      <c r="VQD54" s="295"/>
      <c r="VQE54" s="153"/>
      <c r="VQF54" s="153"/>
      <c r="VQG54" s="151"/>
      <c r="VQH54" s="153"/>
      <c r="VQJ54" s="267"/>
      <c r="VQK54" s="267"/>
      <c r="VQL54" s="260"/>
      <c r="VQM54" s="297"/>
      <c r="VQN54" s="297"/>
      <c r="VQO54" s="297"/>
      <c r="VQP54" s="261"/>
      <c r="VQQ54" s="261"/>
      <c r="VQR54" s="261"/>
      <c r="VQS54" s="262"/>
      <c r="VQT54" s="262"/>
      <c r="VQU54" s="261"/>
      <c r="VQV54" s="263"/>
      <c r="VQW54" s="264"/>
      <c r="VQX54" s="295"/>
      <c r="VQY54" s="295"/>
      <c r="VQZ54" s="295"/>
      <c r="VRA54" s="295"/>
      <c r="VRB54" s="295"/>
      <c r="VRC54" s="295"/>
      <c r="VRD54" s="153"/>
      <c r="VRE54" s="153"/>
      <c r="VRF54" s="151"/>
      <c r="VRG54" s="153"/>
      <c r="VRI54" s="267"/>
      <c r="VRJ54" s="267"/>
      <c r="VRK54" s="260"/>
      <c r="VRL54" s="297"/>
      <c r="VRM54" s="297"/>
      <c r="VRN54" s="297"/>
      <c r="VRO54" s="261"/>
      <c r="VRP54" s="261"/>
      <c r="VRQ54" s="261"/>
      <c r="VRR54" s="262"/>
      <c r="VRS54" s="262"/>
      <c r="VRT54" s="261"/>
      <c r="VRU54" s="263"/>
      <c r="VRV54" s="264"/>
      <c r="VRW54" s="295"/>
      <c r="VRX54" s="295"/>
      <c r="VRY54" s="295"/>
      <c r="VRZ54" s="295"/>
      <c r="VSA54" s="295"/>
      <c r="VSB54" s="295"/>
      <c r="VSC54" s="153"/>
      <c r="VSD54" s="153"/>
      <c r="VSE54" s="151"/>
      <c r="VSF54" s="153"/>
      <c r="VSH54" s="267"/>
      <c r="VSI54" s="267"/>
      <c r="VSJ54" s="260"/>
      <c r="VSK54" s="297"/>
      <c r="VSL54" s="297"/>
      <c r="VSM54" s="297"/>
      <c r="VSN54" s="261"/>
      <c r="VSO54" s="261"/>
      <c r="VSP54" s="261"/>
      <c r="VSQ54" s="262"/>
      <c r="VSR54" s="262"/>
      <c r="VSS54" s="261"/>
      <c r="VST54" s="263"/>
      <c r="VSU54" s="264"/>
      <c r="VSV54" s="295"/>
      <c r="VSW54" s="295"/>
      <c r="VSX54" s="295"/>
      <c r="VSY54" s="295"/>
      <c r="VSZ54" s="295"/>
      <c r="VTA54" s="295"/>
      <c r="VTB54" s="153"/>
      <c r="VTC54" s="153"/>
      <c r="VTD54" s="151"/>
      <c r="VTE54" s="153"/>
      <c r="VTG54" s="267"/>
      <c r="VTH54" s="267"/>
      <c r="VTI54" s="260"/>
      <c r="VTJ54" s="297"/>
      <c r="VTK54" s="297"/>
      <c r="VTL54" s="297"/>
      <c r="VTM54" s="261"/>
      <c r="VTN54" s="261"/>
      <c r="VTO54" s="261"/>
      <c r="VTP54" s="262"/>
      <c r="VTQ54" s="262"/>
      <c r="VTR54" s="261"/>
      <c r="VTS54" s="263"/>
      <c r="VTT54" s="264"/>
      <c r="VTU54" s="295"/>
      <c r="VTV54" s="295"/>
      <c r="VTW54" s="295"/>
      <c r="VTX54" s="295"/>
      <c r="VTY54" s="295"/>
      <c r="VTZ54" s="295"/>
      <c r="VUA54" s="153"/>
      <c r="VUB54" s="153"/>
      <c r="VUC54" s="151"/>
      <c r="VUD54" s="153"/>
      <c r="VUF54" s="267"/>
      <c r="VUG54" s="267"/>
      <c r="VUH54" s="260"/>
      <c r="VUI54" s="297"/>
      <c r="VUJ54" s="297"/>
      <c r="VUK54" s="297"/>
      <c r="VUL54" s="261"/>
      <c r="VUM54" s="261"/>
      <c r="VUN54" s="261"/>
      <c r="VUO54" s="262"/>
      <c r="VUP54" s="262"/>
      <c r="VUQ54" s="261"/>
      <c r="VUR54" s="263"/>
      <c r="VUS54" s="264"/>
      <c r="VUT54" s="295"/>
      <c r="VUU54" s="295"/>
      <c r="VUV54" s="295"/>
      <c r="VUW54" s="295"/>
      <c r="VUX54" s="295"/>
      <c r="VUY54" s="295"/>
      <c r="VUZ54" s="153"/>
      <c r="VVA54" s="153"/>
      <c r="VVB54" s="151"/>
      <c r="VVC54" s="153"/>
      <c r="VVE54" s="267"/>
      <c r="VVF54" s="267"/>
      <c r="VVG54" s="260"/>
      <c r="VVH54" s="297"/>
      <c r="VVI54" s="297"/>
      <c r="VVJ54" s="297"/>
      <c r="VVK54" s="261"/>
      <c r="VVL54" s="261"/>
      <c r="VVM54" s="261"/>
      <c r="VVN54" s="262"/>
      <c r="VVO54" s="262"/>
      <c r="VVP54" s="261"/>
      <c r="VVQ54" s="263"/>
      <c r="VVR54" s="264"/>
      <c r="VVS54" s="295"/>
      <c r="VVT54" s="295"/>
      <c r="VVU54" s="295"/>
      <c r="VVV54" s="295"/>
      <c r="VVW54" s="295"/>
      <c r="VVX54" s="295"/>
      <c r="VVY54" s="153"/>
      <c r="VVZ54" s="153"/>
      <c r="VWA54" s="151"/>
      <c r="VWB54" s="153"/>
      <c r="VWD54" s="267"/>
      <c r="VWE54" s="267"/>
      <c r="VWF54" s="260"/>
      <c r="VWG54" s="297"/>
      <c r="VWH54" s="297"/>
      <c r="VWI54" s="297"/>
      <c r="VWJ54" s="261"/>
      <c r="VWK54" s="261"/>
      <c r="VWL54" s="261"/>
      <c r="VWM54" s="262"/>
      <c r="VWN54" s="262"/>
      <c r="VWO54" s="261"/>
      <c r="VWP54" s="263"/>
      <c r="VWQ54" s="264"/>
      <c r="VWR54" s="295"/>
      <c r="VWS54" s="295"/>
      <c r="VWT54" s="295"/>
      <c r="VWU54" s="295"/>
      <c r="VWV54" s="295"/>
      <c r="VWW54" s="295"/>
      <c r="VWX54" s="153"/>
      <c r="VWY54" s="153"/>
      <c r="VWZ54" s="151"/>
      <c r="VXA54" s="153"/>
      <c r="VXC54" s="267"/>
      <c r="VXD54" s="267"/>
      <c r="VXE54" s="260"/>
      <c r="VXF54" s="297"/>
      <c r="VXG54" s="297"/>
      <c r="VXH54" s="297"/>
      <c r="VXI54" s="261"/>
      <c r="VXJ54" s="261"/>
      <c r="VXK54" s="261"/>
      <c r="VXL54" s="262"/>
      <c r="VXM54" s="262"/>
      <c r="VXN54" s="261"/>
      <c r="VXO54" s="263"/>
      <c r="VXP54" s="264"/>
      <c r="VXQ54" s="295"/>
      <c r="VXR54" s="295"/>
      <c r="VXS54" s="295"/>
      <c r="VXT54" s="295"/>
      <c r="VXU54" s="295"/>
      <c r="VXV54" s="295"/>
      <c r="VXW54" s="153"/>
      <c r="VXX54" s="153"/>
      <c r="VXY54" s="151"/>
      <c r="VXZ54" s="153"/>
      <c r="VYB54" s="267"/>
      <c r="VYC54" s="267"/>
      <c r="VYD54" s="260"/>
      <c r="VYE54" s="297"/>
      <c r="VYF54" s="297"/>
      <c r="VYG54" s="297"/>
      <c r="VYH54" s="261"/>
      <c r="VYI54" s="261"/>
      <c r="VYJ54" s="261"/>
      <c r="VYK54" s="262"/>
      <c r="VYL54" s="262"/>
      <c r="VYM54" s="261"/>
      <c r="VYN54" s="263"/>
      <c r="VYO54" s="264"/>
      <c r="VYP54" s="295"/>
      <c r="VYQ54" s="295"/>
      <c r="VYR54" s="295"/>
      <c r="VYS54" s="295"/>
      <c r="VYT54" s="295"/>
      <c r="VYU54" s="295"/>
      <c r="VYV54" s="153"/>
      <c r="VYW54" s="153"/>
      <c r="VYX54" s="151"/>
      <c r="VYY54" s="153"/>
      <c r="VZA54" s="267"/>
      <c r="VZB54" s="267"/>
      <c r="VZC54" s="260"/>
      <c r="VZD54" s="297"/>
      <c r="VZE54" s="297"/>
      <c r="VZF54" s="297"/>
      <c r="VZG54" s="261"/>
      <c r="VZH54" s="261"/>
      <c r="VZI54" s="261"/>
      <c r="VZJ54" s="262"/>
      <c r="VZK54" s="262"/>
      <c r="VZL54" s="261"/>
      <c r="VZM54" s="263"/>
      <c r="VZN54" s="264"/>
      <c r="VZO54" s="295"/>
      <c r="VZP54" s="295"/>
      <c r="VZQ54" s="295"/>
      <c r="VZR54" s="295"/>
      <c r="VZS54" s="295"/>
      <c r="VZT54" s="295"/>
      <c r="VZU54" s="153"/>
      <c r="VZV54" s="153"/>
      <c r="VZW54" s="151"/>
      <c r="VZX54" s="153"/>
      <c r="VZZ54" s="267"/>
      <c r="WAA54" s="267"/>
      <c r="WAB54" s="260"/>
      <c r="WAC54" s="297"/>
      <c r="WAD54" s="297"/>
      <c r="WAE54" s="297"/>
      <c r="WAF54" s="261"/>
      <c r="WAG54" s="261"/>
      <c r="WAH54" s="261"/>
      <c r="WAI54" s="262"/>
      <c r="WAJ54" s="262"/>
      <c r="WAK54" s="261"/>
      <c r="WAL54" s="263"/>
      <c r="WAM54" s="264"/>
      <c r="WAN54" s="295"/>
      <c r="WAO54" s="295"/>
      <c r="WAP54" s="295"/>
      <c r="WAQ54" s="295"/>
      <c r="WAR54" s="295"/>
      <c r="WAS54" s="295"/>
      <c r="WAT54" s="153"/>
      <c r="WAU54" s="153"/>
      <c r="WAV54" s="151"/>
      <c r="WAW54" s="153"/>
      <c r="WAY54" s="267"/>
      <c r="WAZ54" s="267"/>
      <c r="WBA54" s="260"/>
      <c r="WBB54" s="297"/>
      <c r="WBC54" s="297"/>
      <c r="WBD54" s="297"/>
      <c r="WBE54" s="261"/>
      <c r="WBF54" s="261"/>
      <c r="WBG54" s="261"/>
      <c r="WBH54" s="262"/>
      <c r="WBI54" s="262"/>
      <c r="WBJ54" s="261"/>
      <c r="WBK54" s="263"/>
      <c r="WBL54" s="264"/>
      <c r="WBM54" s="295"/>
      <c r="WBN54" s="295"/>
      <c r="WBO54" s="295"/>
      <c r="WBP54" s="295"/>
      <c r="WBQ54" s="295"/>
      <c r="WBR54" s="295"/>
      <c r="WBS54" s="153"/>
      <c r="WBT54" s="153"/>
      <c r="WBU54" s="151"/>
      <c r="WBV54" s="153"/>
      <c r="WBX54" s="267"/>
      <c r="WBY54" s="267"/>
      <c r="WBZ54" s="260"/>
      <c r="WCA54" s="297"/>
      <c r="WCB54" s="297"/>
      <c r="WCC54" s="297"/>
      <c r="WCD54" s="261"/>
      <c r="WCE54" s="261"/>
      <c r="WCF54" s="261"/>
      <c r="WCG54" s="262"/>
      <c r="WCH54" s="262"/>
      <c r="WCI54" s="261"/>
      <c r="WCJ54" s="263"/>
      <c r="WCK54" s="264"/>
      <c r="WCL54" s="295"/>
      <c r="WCM54" s="295"/>
      <c r="WCN54" s="295"/>
      <c r="WCO54" s="295"/>
      <c r="WCP54" s="295"/>
      <c r="WCQ54" s="295"/>
      <c r="WCR54" s="153"/>
      <c r="WCS54" s="153"/>
      <c r="WCT54" s="151"/>
      <c r="WCU54" s="153"/>
      <c r="WCW54" s="267"/>
      <c r="WCX54" s="267"/>
      <c r="WCY54" s="260"/>
      <c r="WCZ54" s="297"/>
      <c r="WDA54" s="297"/>
      <c r="WDB54" s="297"/>
      <c r="WDC54" s="261"/>
      <c r="WDD54" s="261"/>
      <c r="WDE54" s="261"/>
      <c r="WDF54" s="262"/>
      <c r="WDG54" s="262"/>
      <c r="WDH54" s="261"/>
      <c r="WDI54" s="263"/>
      <c r="WDJ54" s="264"/>
      <c r="WDK54" s="295"/>
      <c r="WDL54" s="295"/>
      <c r="WDM54" s="295"/>
      <c r="WDN54" s="295"/>
      <c r="WDO54" s="295"/>
      <c r="WDP54" s="295"/>
      <c r="WDQ54" s="153"/>
      <c r="WDR54" s="153"/>
      <c r="WDS54" s="151"/>
      <c r="WDT54" s="153"/>
      <c r="WDV54" s="267"/>
      <c r="WDW54" s="267"/>
      <c r="WDX54" s="260"/>
      <c r="WDY54" s="297"/>
      <c r="WDZ54" s="297"/>
      <c r="WEA54" s="297"/>
      <c r="WEB54" s="261"/>
      <c r="WEC54" s="261"/>
      <c r="WED54" s="261"/>
      <c r="WEE54" s="262"/>
      <c r="WEF54" s="262"/>
      <c r="WEG54" s="261"/>
      <c r="WEH54" s="263"/>
      <c r="WEI54" s="264"/>
      <c r="WEJ54" s="295"/>
      <c r="WEK54" s="295"/>
      <c r="WEL54" s="295"/>
      <c r="WEM54" s="295"/>
      <c r="WEN54" s="295"/>
      <c r="WEO54" s="295"/>
      <c r="WEP54" s="153"/>
      <c r="WEQ54" s="153"/>
      <c r="WER54" s="151"/>
      <c r="WES54" s="153"/>
      <c r="WEU54" s="267"/>
      <c r="WEV54" s="267"/>
      <c r="WEW54" s="260"/>
      <c r="WEX54" s="297"/>
      <c r="WEY54" s="297"/>
      <c r="WEZ54" s="297"/>
      <c r="WFA54" s="261"/>
      <c r="WFB54" s="261"/>
      <c r="WFC54" s="261"/>
      <c r="WFD54" s="262"/>
      <c r="WFE54" s="262"/>
      <c r="WFF54" s="261"/>
      <c r="WFG54" s="263"/>
      <c r="WFH54" s="264"/>
      <c r="WFI54" s="295"/>
      <c r="WFJ54" s="295"/>
      <c r="WFK54" s="295"/>
      <c r="WFL54" s="295"/>
      <c r="WFM54" s="295"/>
      <c r="WFN54" s="295"/>
      <c r="WFO54" s="153"/>
      <c r="WFP54" s="153"/>
      <c r="WFQ54" s="151"/>
      <c r="WFR54" s="153"/>
      <c r="WFT54" s="267"/>
      <c r="WFU54" s="267"/>
      <c r="WFV54" s="260"/>
      <c r="WFW54" s="297"/>
      <c r="WFX54" s="297"/>
      <c r="WFY54" s="297"/>
      <c r="WFZ54" s="261"/>
      <c r="WGA54" s="261"/>
      <c r="WGB54" s="261"/>
      <c r="WGC54" s="262"/>
      <c r="WGD54" s="262"/>
      <c r="WGE54" s="261"/>
      <c r="WGF54" s="263"/>
      <c r="WGG54" s="264"/>
      <c r="WGH54" s="295"/>
      <c r="WGI54" s="295"/>
      <c r="WGJ54" s="295"/>
      <c r="WGK54" s="295"/>
      <c r="WGL54" s="295"/>
      <c r="WGM54" s="295"/>
      <c r="WGN54" s="153"/>
      <c r="WGO54" s="153"/>
      <c r="WGP54" s="151"/>
      <c r="WGQ54" s="153"/>
      <c r="WGS54" s="267"/>
      <c r="WGT54" s="267"/>
      <c r="WGU54" s="260"/>
      <c r="WGV54" s="297"/>
      <c r="WGW54" s="297"/>
      <c r="WGX54" s="297"/>
      <c r="WGY54" s="261"/>
      <c r="WGZ54" s="261"/>
      <c r="WHA54" s="261"/>
      <c r="WHB54" s="262"/>
      <c r="WHC54" s="262"/>
      <c r="WHD54" s="261"/>
      <c r="WHE54" s="263"/>
      <c r="WHF54" s="264"/>
      <c r="WHG54" s="295"/>
      <c r="WHH54" s="295"/>
      <c r="WHI54" s="295"/>
      <c r="WHJ54" s="295"/>
      <c r="WHK54" s="295"/>
      <c r="WHL54" s="295"/>
      <c r="WHM54" s="153"/>
      <c r="WHN54" s="153"/>
      <c r="WHO54" s="151"/>
      <c r="WHP54" s="153"/>
      <c r="WHR54" s="267"/>
      <c r="WHS54" s="267"/>
      <c r="WHT54" s="260"/>
      <c r="WHU54" s="297"/>
      <c r="WHV54" s="297"/>
      <c r="WHW54" s="297"/>
      <c r="WHX54" s="261"/>
      <c r="WHY54" s="261"/>
      <c r="WHZ54" s="261"/>
      <c r="WIA54" s="262"/>
      <c r="WIB54" s="262"/>
      <c r="WIC54" s="261"/>
      <c r="WID54" s="263"/>
      <c r="WIE54" s="264"/>
      <c r="WIF54" s="295"/>
      <c r="WIG54" s="295"/>
      <c r="WIH54" s="295"/>
      <c r="WII54" s="295"/>
      <c r="WIJ54" s="295"/>
      <c r="WIK54" s="295"/>
      <c r="WIL54" s="153"/>
      <c r="WIM54" s="153"/>
      <c r="WIN54" s="151"/>
      <c r="WIO54" s="153"/>
      <c r="WIQ54" s="267"/>
      <c r="WIR54" s="267"/>
      <c r="WIS54" s="260"/>
      <c r="WIT54" s="297"/>
      <c r="WIU54" s="297"/>
      <c r="WIV54" s="297"/>
      <c r="WIW54" s="261"/>
      <c r="WIX54" s="261"/>
      <c r="WIY54" s="261"/>
      <c r="WIZ54" s="262"/>
      <c r="WJA54" s="262"/>
      <c r="WJB54" s="261"/>
      <c r="WJC54" s="263"/>
      <c r="WJD54" s="264"/>
      <c r="WJE54" s="295"/>
      <c r="WJF54" s="295"/>
      <c r="WJG54" s="295"/>
      <c r="WJH54" s="295"/>
      <c r="WJI54" s="295"/>
      <c r="WJJ54" s="295"/>
      <c r="WJK54" s="153"/>
      <c r="WJL54" s="153"/>
      <c r="WJM54" s="151"/>
      <c r="WJN54" s="153"/>
      <c r="WJP54" s="267"/>
      <c r="WJQ54" s="267"/>
      <c r="WJR54" s="260"/>
      <c r="WJS54" s="297"/>
      <c r="WJT54" s="297"/>
      <c r="WJU54" s="297"/>
      <c r="WJV54" s="261"/>
      <c r="WJW54" s="261"/>
      <c r="WJX54" s="261"/>
      <c r="WJY54" s="262"/>
      <c r="WJZ54" s="262"/>
      <c r="WKA54" s="261"/>
      <c r="WKB54" s="263"/>
      <c r="WKC54" s="264"/>
      <c r="WKD54" s="295"/>
      <c r="WKE54" s="295"/>
      <c r="WKF54" s="295"/>
      <c r="WKG54" s="295"/>
      <c r="WKH54" s="295"/>
      <c r="WKI54" s="295"/>
      <c r="WKJ54" s="153"/>
      <c r="WKK54" s="153"/>
      <c r="WKL54" s="151"/>
      <c r="WKM54" s="153"/>
      <c r="WKO54" s="267"/>
      <c r="WKP54" s="267"/>
      <c r="WKQ54" s="260"/>
      <c r="WKR54" s="297"/>
      <c r="WKS54" s="297"/>
      <c r="WKT54" s="297"/>
      <c r="WKU54" s="261"/>
      <c r="WKV54" s="261"/>
      <c r="WKW54" s="261"/>
      <c r="WKX54" s="262"/>
      <c r="WKY54" s="262"/>
      <c r="WKZ54" s="261"/>
      <c r="WLA54" s="263"/>
      <c r="WLB54" s="264"/>
      <c r="WLC54" s="295"/>
      <c r="WLD54" s="295"/>
      <c r="WLE54" s="295"/>
      <c r="WLF54" s="295"/>
      <c r="WLG54" s="295"/>
      <c r="WLH54" s="295"/>
      <c r="WLI54" s="153"/>
      <c r="WLJ54" s="153"/>
      <c r="WLK54" s="151"/>
      <c r="WLL54" s="153"/>
      <c r="WLN54" s="267"/>
      <c r="WLO54" s="267"/>
      <c r="WLP54" s="260"/>
      <c r="WLQ54" s="297"/>
      <c r="WLR54" s="297"/>
      <c r="WLS54" s="297"/>
      <c r="WLT54" s="261"/>
      <c r="WLU54" s="261"/>
      <c r="WLV54" s="261"/>
      <c r="WLW54" s="262"/>
      <c r="WLX54" s="262"/>
      <c r="WLY54" s="261"/>
      <c r="WLZ54" s="263"/>
      <c r="WMA54" s="264"/>
      <c r="WMB54" s="295"/>
      <c r="WMC54" s="295"/>
      <c r="WMD54" s="295"/>
      <c r="WME54" s="295"/>
      <c r="WMF54" s="295"/>
      <c r="WMG54" s="295"/>
      <c r="WMH54" s="153"/>
      <c r="WMI54" s="153"/>
      <c r="WMJ54" s="151"/>
      <c r="WMK54" s="153"/>
      <c r="WMM54" s="267"/>
      <c r="WMN54" s="267"/>
      <c r="WMO54" s="260"/>
      <c r="WMP54" s="297"/>
      <c r="WMQ54" s="297"/>
      <c r="WMR54" s="297"/>
      <c r="WMS54" s="261"/>
      <c r="WMT54" s="261"/>
      <c r="WMU54" s="261"/>
      <c r="WMV54" s="262"/>
      <c r="WMW54" s="262"/>
      <c r="WMX54" s="261"/>
      <c r="WMY54" s="263"/>
      <c r="WMZ54" s="264"/>
      <c r="WNA54" s="295"/>
      <c r="WNB54" s="295"/>
      <c r="WNC54" s="295"/>
      <c r="WND54" s="295"/>
      <c r="WNE54" s="295"/>
      <c r="WNF54" s="295"/>
      <c r="WNG54" s="153"/>
      <c r="WNH54" s="153"/>
      <c r="WNI54" s="151"/>
      <c r="WNJ54" s="153"/>
      <c r="WNL54" s="267"/>
      <c r="WNM54" s="267"/>
      <c r="WNN54" s="260"/>
      <c r="WNO54" s="297"/>
      <c r="WNP54" s="297"/>
      <c r="WNQ54" s="297"/>
      <c r="WNR54" s="261"/>
      <c r="WNS54" s="261"/>
      <c r="WNT54" s="261"/>
      <c r="WNU54" s="262"/>
      <c r="WNV54" s="262"/>
      <c r="WNW54" s="261"/>
      <c r="WNX54" s="263"/>
      <c r="WNY54" s="264"/>
      <c r="WNZ54" s="295"/>
      <c r="WOA54" s="295"/>
      <c r="WOB54" s="295"/>
      <c r="WOC54" s="295"/>
      <c r="WOD54" s="295"/>
      <c r="WOE54" s="295"/>
      <c r="WOF54" s="153"/>
      <c r="WOG54" s="153"/>
      <c r="WOH54" s="151"/>
      <c r="WOI54" s="153"/>
      <c r="WOK54" s="267"/>
      <c r="WOL54" s="267"/>
      <c r="WOM54" s="260"/>
      <c r="WON54" s="297"/>
      <c r="WOO54" s="297"/>
      <c r="WOP54" s="297"/>
      <c r="WOQ54" s="261"/>
      <c r="WOR54" s="261"/>
      <c r="WOS54" s="261"/>
      <c r="WOT54" s="262"/>
      <c r="WOU54" s="262"/>
      <c r="WOV54" s="261"/>
      <c r="WOW54" s="263"/>
      <c r="WOX54" s="264"/>
      <c r="WOY54" s="295"/>
      <c r="WOZ54" s="295"/>
      <c r="WPA54" s="295"/>
      <c r="WPB54" s="295"/>
      <c r="WPC54" s="295"/>
      <c r="WPD54" s="295"/>
      <c r="WPE54" s="153"/>
      <c r="WPF54" s="153"/>
      <c r="WPG54" s="151"/>
      <c r="WPH54" s="153"/>
      <c r="WPJ54" s="267"/>
      <c r="WPK54" s="267"/>
      <c r="WPL54" s="260"/>
      <c r="WPM54" s="297"/>
      <c r="WPN54" s="297"/>
      <c r="WPO54" s="297"/>
      <c r="WPP54" s="261"/>
      <c r="WPQ54" s="261"/>
      <c r="WPR54" s="261"/>
      <c r="WPS54" s="262"/>
      <c r="WPT54" s="262"/>
      <c r="WPU54" s="261"/>
      <c r="WPV54" s="263"/>
      <c r="WPW54" s="264"/>
      <c r="WPX54" s="295"/>
      <c r="WPY54" s="295"/>
      <c r="WPZ54" s="295"/>
      <c r="WQA54" s="295"/>
      <c r="WQB54" s="295"/>
      <c r="WQC54" s="295"/>
      <c r="WQD54" s="153"/>
      <c r="WQE54" s="153"/>
      <c r="WQF54" s="151"/>
      <c r="WQG54" s="153"/>
      <c r="WQI54" s="267"/>
      <c r="WQJ54" s="267"/>
      <c r="WQK54" s="260"/>
      <c r="WQL54" s="297"/>
      <c r="WQM54" s="297"/>
      <c r="WQN54" s="297"/>
      <c r="WQO54" s="261"/>
      <c r="WQP54" s="261"/>
      <c r="WQQ54" s="261"/>
      <c r="WQR54" s="262"/>
      <c r="WQS54" s="262"/>
      <c r="WQT54" s="261"/>
      <c r="WQU54" s="263"/>
      <c r="WQV54" s="264"/>
      <c r="WQW54" s="295"/>
      <c r="WQX54" s="295"/>
      <c r="WQY54" s="295"/>
      <c r="WQZ54" s="295"/>
      <c r="WRA54" s="295"/>
      <c r="WRB54" s="295"/>
      <c r="WRC54" s="153"/>
      <c r="WRD54" s="153"/>
      <c r="WRE54" s="151"/>
      <c r="WRF54" s="153"/>
      <c r="WRH54" s="267"/>
      <c r="WRI54" s="267"/>
      <c r="WRJ54" s="260"/>
      <c r="WRK54" s="297"/>
      <c r="WRL54" s="297"/>
      <c r="WRM54" s="297"/>
      <c r="WRN54" s="261"/>
      <c r="WRO54" s="261"/>
      <c r="WRP54" s="261"/>
      <c r="WRQ54" s="262"/>
      <c r="WRR54" s="262"/>
      <c r="WRS54" s="261"/>
      <c r="WRT54" s="263"/>
      <c r="WRU54" s="264"/>
      <c r="WRV54" s="295"/>
      <c r="WRW54" s="295"/>
      <c r="WRX54" s="295"/>
      <c r="WRY54" s="295"/>
      <c r="WRZ54" s="295"/>
      <c r="WSA54" s="295"/>
      <c r="WSB54" s="153"/>
      <c r="WSC54" s="153"/>
      <c r="WSD54" s="151"/>
      <c r="WSE54" s="153"/>
      <c r="WSG54" s="267"/>
      <c r="WSH54" s="267"/>
      <c r="WSI54" s="260"/>
      <c r="WSJ54" s="297"/>
      <c r="WSK54" s="297"/>
      <c r="WSL54" s="297"/>
      <c r="WSM54" s="261"/>
      <c r="WSN54" s="261"/>
      <c r="WSO54" s="261"/>
      <c r="WSP54" s="262"/>
      <c r="WSQ54" s="262"/>
      <c r="WSR54" s="261"/>
      <c r="WSS54" s="263"/>
      <c r="WST54" s="264"/>
      <c r="WSU54" s="295"/>
      <c r="WSV54" s="295"/>
      <c r="WSW54" s="295"/>
      <c r="WSX54" s="295"/>
      <c r="WSY54" s="295"/>
      <c r="WSZ54" s="295"/>
      <c r="WTA54" s="153"/>
      <c r="WTB54" s="153"/>
      <c r="WTC54" s="151"/>
      <c r="WTD54" s="153"/>
      <c r="WTF54" s="267"/>
      <c r="WTG54" s="267"/>
      <c r="WTH54" s="260"/>
      <c r="WTI54" s="297"/>
      <c r="WTJ54" s="297"/>
      <c r="WTK54" s="297"/>
      <c r="WTL54" s="261"/>
      <c r="WTM54" s="261"/>
      <c r="WTN54" s="261"/>
      <c r="WTO54" s="262"/>
      <c r="WTP54" s="262"/>
      <c r="WTQ54" s="261"/>
      <c r="WTR54" s="263"/>
      <c r="WTS54" s="264"/>
      <c r="WTT54" s="295"/>
      <c r="WTU54" s="295"/>
      <c r="WTV54" s="295"/>
      <c r="WTW54" s="295"/>
      <c r="WTX54" s="295"/>
      <c r="WTY54" s="295"/>
      <c r="WTZ54" s="153"/>
      <c r="WUA54" s="153"/>
      <c r="WUB54" s="151"/>
      <c r="WUC54" s="153"/>
      <c r="WUE54" s="267"/>
      <c r="WUF54" s="267"/>
      <c r="WUG54" s="260"/>
      <c r="WUH54" s="297"/>
      <c r="WUI54" s="297"/>
      <c r="WUJ54" s="297"/>
      <c r="WUK54" s="261"/>
      <c r="WUL54" s="261"/>
      <c r="WUM54" s="261"/>
      <c r="WUN54" s="262"/>
      <c r="WUO54" s="262"/>
      <c r="WUP54" s="261"/>
      <c r="WUQ54" s="263"/>
      <c r="WUR54" s="264"/>
      <c r="WUS54" s="295"/>
      <c r="WUT54" s="295"/>
      <c r="WUU54" s="295"/>
      <c r="WUV54" s="295"/>
      <c r="WUW54" s="295"/>
      <c r="WUX54" s="295"/>
      <c r="WUY54" s="153"/>
      <c r="WUZ54" s="153"/>
      <c r="WVA54" s="151"/>
      <c r="WVB54" s="153"/>
      <c r="WVD54" s="267"/>
      <c r="WVE54" s="267"/>
      <c r="WVF54" s="260"/>
      <c r="WVG54" s="297"/>
      <c r="WVH54" s="297"/>
      <c r="WVI54" s="297"/>
      <c r="WVJ54" s="261"/>
      <c r="WVK54" s="261"/>
      <c r="WVL54" s="261"/>
      <c r="WVM54" s="262"/>
      <c r="WVN54" s="262"/>
      <c r="WVO54" s="261"/>
      <c r="WVP54" s="263"/>
      <c r="WVQ54" s="264"/>
      <c r="WVR54" s="295"/>
      <c r="WVS54" s="295"/>
      <c r="WVT54" s="295"/>
      <c r="WVU54" s="295"/>
      <c r="WVV54" s="295"/>
      <c r="WVW54" s="295"/>
      <c r="WVX54" s="153"/>
      <c r="WVY54" s="153"/>
      <c r="WVZ54" s="151"/>
      <c r="WWA54" s="153"/>
      <c r="WWC54" s="267"/>
      <c r="WWD54" s="267"/>
      <c r="WWE54" s="260"/>
      <c r="WWF54" s="297"/>
      <c r="WWG54" s="297"/>
      <c r="WWH54" s="297"/>
      <c r="WWI54" s="261"/>
      <c r="WWJ54" s="261"/>
      <c r="WWK54" s="261"/>
      <c r="WWL54" s="262"/>
      <c r="WWM54" s="262"/>
      <c r="WWN54" s="261"/>
      <c r="WWO54" s="263"/>
      <c r="WWP54" s="264"/>
      <c r="WWQ54" s="295"/>
      <c r="WWR54" s="295"/>
      <c r="WWS54" s="295"/>
      <c r="WWT54" s="295"/>
      <c r="WWU54" s="295"/>
      <c r="WWV54" s="295"/>
      <c r="WWW54" s="153"/>
      <c r="WWX54" s="153"/>
      <c r="WWY54" s="151"/>
      <c r="WWZ54" s="153"/>
      <c r="WXB54" s="267"/>
      <c r="WXC54" s="267"/>
      <c r="WXD54" s="260"/>
      <c r="WXE54" s="297"/>
      <c r="WXF54" s="297"/>
      <c r="WXG54" s="297"/>
      <c r="WXH54" s="261"/>
      <c r="WXI54" s="261"/>
      <c r="WXJ54" s="261"/>
      <c r="WXK54" s="262"/>
      <c r="WXL54" s="262"/>
      <c r="WXM54" s="261"/>
      <c r="WXN54" s="263"/>
      <c r="WXO54" s="264"/>
      <c r="WXP54" s="295"/>
      <c r="WXQ54" s="295"/>
      <c r="WXR54" s="295"/>
      <c r="WXS54" s="295"/>
      <c r="WXT54" s="295"/>
      <c r="WXU54" s="295"/>
      <c r="WXV54" s="153"/>
      <c r="WXW54" s="153"/>
      <c r="WXX54" s="151"/>
      <c r="WXY54" s="153"/>
      <c r="WYA54" s="267"/>
      <c r="WYB54" s="267"/>
      <c r="WYC54" s="260"/>
      <c r="WYD54" s="297"/>
      <c r="WYE54" s="297"/>
      <c r="WYF54" s="297"/>
      <c r="WYG54" s="261"/>
      <c r="WYH54" s="261"/>
      <c r="WYI54" s="261"/>
      <c r="WYJ54" s="262"/>
      <c r="WYK54" s="262"/>
      <c r="WYL54" s="261"/>
      <c r="WYM54" s="263"/>
      <c r="WYN54" s="264"/>
      <c r="WYO54" s="295"/>
      <c r="WYP54" s="295"/>
      <c r="WYQ54" s="295"/>
      <c r="WYR54" s="295"/>
      <c r="WYS54" s="295"/>
      <c r="WYT54" s="295"/>
      <c r="WYU54" s="153"/>
      <c r="WYV54" s="153"/>
      <c r="WYW54" s="151"/>
      <c r="WYX54" s="153"/>
      <c r="WYZ54" s="267"/>
      <c r="WZA54" s="267"/>
      <c r="WZB54" s="260"/>
      <c r="WZC54" s="297"/>
      <c r="WZD54" s="297"/>
      <c r="WZE54" s="297"/>
      <c r="WZF54" s="261"/>
      <c r="WZG54" s="261"/>
      <c r="WZH54" s="261"/>
      <c r="WZI54" s="262"/>
      <c r="WZJ54" s="262"/>
      <c r="WZK54" s="261"/>
      <c r="WZL54" s="263"/>
      <c r="WZM54" s="264"/>
      <c r="WZN54" s="295"/>
      <c r="WZO54" s="295"/>
      <c r="WZP54" s="295"/>
      <c r="WZQ54" s="295"/>
      <c r="WZR54" s="295"/>
      <c r="WZS54" s="295"/>
      <c r="WZT54" s="153"/>
      <c r="WZU54" s="153"/>
      <c r="WZV54" s="151"/>
      <c r="WZW54" s="153"/>
      <c r="WZY54" s="267"/>
      <c r="WZZ54" s="267"/>
      <c r="XAA54" s="260"/>
      <c r="XAB54" s="297"/>
      <c r="XAC54" s="297"/>
      <c r="XAD54" s="297"/>
      <c r="XAE54" s="261"/>
      <c r="XAF54" s="261"/>
      <c r="XAG54" s="261"/>
      <c r="XAH54" s="262"/>
      <c r="XAI54" s="262"/>
      <c r="XAJ54" s="261"/>
      <c r="XAK54" s="263"/>
      <c r="XAL54" s="264"/>
      <c r="XAM54" s="295"/>
      <c r="XAN54" s="295"/>
      <c r="XAO54" s="295"/>
      <c r="XAP54" s="295"/>
      <c r="XAQ54" s="295"/>
      <c r="XAR54" s="295"/>
      <c r="XAS54" s="153"/>
      <c r="XAT54" s="153"/>
      <c r="XAU54" s="151"/>
      <c r="XAV54" s="153"/>
      <c r="XAX54" s="267"/>
      <c r="XAY54" s="267"/>
      <c r="XAZ54" s="260"/>
      <c r="XBA54" s="297"/>
      <c r="XBB54" s="297"/>
      <c r="XBC54" s="297"/>
      <c r="XBD54" s="261"/>
      <c r="XBE54" s="261"/>
      <c r="XBF54" s="261"/>
      <c r="XBG54" s="262"/>
      <c r="XBH54" s="262"/>
      <c r="XBI54" s="261"/>
      <c r="XBJ54" s="263"/>
      <c r="XBK54" s="264"/>
      <c r="XBL54" s="295"/>
      <c r="XBM54" s="295"/>
      <c r="XBN54" s="295"/>
      <c r="XBO54" s="295"/>
      <c r="XBP54" s="295"/>
      <c r="XBQ54" s="295"/>
      <c r="XBR54" s="153"/>
      <c r="XBS54" s="153"/>
      <c r="XBT54" s="151"/>
      <c r="XBU54" s="153"/>
      <c r="XBW54" s="267"/>
      <c r="XBX54" s="267"/>
      <c r="XBY54" s="260"/>
      <c r="XBZ54" s="297"/>
      <c r="XCA54" s="297"/>
      <c r="XCB54" s="297"/>
      <c r="XCC54" s="261"/>
      <c r="XCD54" s="261"/>
      <c r="XCE54" s="261"/>
      <c r="XCF54" s="262"/>
      <c r="XCG54" s="262"/>
      <c r="XCH54" s="261"/>
      <c r="XCI54" s="263"/>
      <c r="XCJ54" s="264"/>
      <c r="XCK54" s="295"/>
      <c r="XCL54" s="295"/>
      <c r="XCM54" s="295"/>
      <c r="XCN54" s="295"/>
      <c r="XCO54" s="295"/>
      <c r="XCP54" s="295"/>
      <c r="XCQ54" s="153"/>
      <c r="XCR54" s="153"/>
      <c r="XCS54" s="151"/>
      <c r="XCT54" s="153"/>
      <c r="XCV54" s="267"/>
      <c r="XCW54" s="267"/>
      <c r="XCX54" s="260"/>
      <c r="XCY54" s="297"/>
      <c r="XCZ54" s="297"/>
      <c r="XDA54" s="297"/>
      <c r="XDB54" s="261"/>
      <c r="XDC54" s="261"/>
      <c r="XDD54" s="261"/>
      <c r="XDE54" s="262"/>
      <c r="XDF54" s="262"/>
      <c r="XDG54" s="261"/>
      <c r="XDH54" s="263"/>
      <c r="XDI54" s="264"/>
      <c r="XDJ54" s="295"/>
      <c r="XDK54" s="295"/>
      <c r="XDL54" s="295"/>
      <c r="XDM54" s="295"/>
      <c r="XDN54" s="295"/>
      <c r="XDO54" s="295"/>
      <c r="XDP54" s="153"/>
      <c r="XDQ54" s="153"/>
      <c r="XDR54" s="151"/>
      <c r="XDS54" s="153"/>
      <c r="XDU54" s="267"/>
      <c r="XDV54" s="267"/>
      <c r="XDW54" s="260"/>
      <c r="XDX54" s="297"/>
      <c r="XDY54" s="297"/>
      <c r="XDZ54" s="297"/>
      <c r="XEA54" s="261"/>
      <c r="XEB54" s="261"/>
      <c r="XEC54" s="261"/>
      <c r="XED54" s="262"/>
      <c r="XEE54" s="262"/>
      <c r="XEF54" s="261"/>
      <c r="XEG54" s="263"/>
      <c r="XEH54" s="264"/>
      <c r="XEI54" s="295"/>
      <c r="XEJ54" s="295"/>
      <c r="XEK54" s="295"/>
      <c r="XEL54" s="295"/>
      <c r="XEM54" s="295"/>
      <c r="XEN54" s="295"/>
      <c r="XEO54" s="153"/>
      <c r="XEP54" s="153"/>
      <c r="XEQ54" s="151"/>
      <c r="XER54" s="153"/>
      <c r="XET54" s="267"/>
      <c r="XEU54" s="267"/>
      <c r="XEV54" s="260"/>
      <c r="XEW54" s="297"/>
      <c r="XEX54" s="297"/>
      <c r="XEY54" s="297"/>
      <c r="XEZ54" s="261"/>
      <c r="XFA54" s="261"/>
      <c r="XFB54" s="261"/>
      <c r="XFC54" s="262"/>
      <c r="XFD54" s="262"/>
    </row>
    <row r="55" spans="1:2047 2049:3072 3074:16384" s="148" customFormat="1" ht="15" customHeight="1" x14ac:dyDescent="0.25">
      <c r="A55" s="260">
        <v>3920</v>
      </c>
      <c r="B55" s="297">
        <v>1197</v>
      </c>
      <c r="C55" s="297">
        <v>1321</v>
      </c>
      <c r="D55" s="297"/>
      <c r="E55" s="261" t="s">
        <v>911</v>
      </c>
      <c r="F55" s="261" t="s">
        <v>247</v>
      </c>
      <c r="G55" s="261">
        <v>1947475438</v>
      </c>
      <c r="H55" s="262">
        <v>43583</v>
      </c>
      <c r="I55" s="262">
        <v>43587</v>
      </c>
      <c r="J55" s="261">
        <v>4</v>
      </c>
      <c r="K55" s="263"/>
      <c r="L55" s="264"/>
      <c r="M55" s="295"/>
      <c r="N55" s="295">
        <v>615</v>
      </c>
      <c r="O55" s="295"/>
      <c r="P55" s="295"/>
      <c r="Q55" s="295"/>
      <c r="R55" s="295">
        <v>205</v>
      </c>
      <c r="S55" s="153">
        <f t="shared" si="0"/>
        <v>820</v>
      </c>
      <c r="T55" s="153">
        <f t="shared" si="1"/>
        <v>0</v>
      </c>
      <c r="U55" s="151">
        <f>IF(J55=0,(S55+T55/EERR!$D$2/1.19),(S55+T55/EERR!$D$2/1.19)/J55)</f>
        <v>205</v>
      </c>
      <c r="V55" s="153">
        <f>T55+S55*EERR!$D$2</f>
        <v>547268</v>
      </c>
      <c r="W55" s="148">
        <f ca="1">SUMIF(Siteminder!$A$5:$L$164,Abr!G55,Siteminder!$P$5:$P$164)</f>
        <v>4</v>
      </c>
      <c r="X55" s="267">
        <f>SUMIF(Transbank!$A$2:$A$470,B55,Transbank!$L$2:$L$470)+SUMIF(Transbank!$A$2:$A$470,C55,Transbank!$L$2:$L$470)+SUMIF(Transbank!$A$2:$A$470,D55,Transbank!$L$2:$L$470)+(K55+O55)+(L55+P55)*EERR!$D$2</f>
        <v>547325.4</v>
      </c>
      <c r="Y55" s="267">
        <f>X55/EERR!$D$2</f>
        <v>820.08600539406655</v>
      </c>
      <c r="Z55" s="277">
        <f t="shared" si="2"/>
        <v>57.400000000023283</v>
      </c>
    </row>
    <row r="56" spans="1:2047 2049:3072 3074:16384" s="148" customFormat="1" ht="15" customHeight="1" x14ac:dyDescent="0.25">
      <c r="A56" s="260">
        <v>2311</v>
      </c>
      <c r="B56" s="297">
        <v>1211</v>
      </c>
      <c r="C56" s="297"/>
      <c r="D56" s="297"/>
      <c r="E56" s="261" t="s">
        <v>912</v>
      </c>
      <c r="F56" s="261" t="s">
        <v>247</v>
      </c>
      <c r="G56" s="261">
        <v>1539202311</v>
      </c>
      <c r="H56" s="262">
        <v>43585</v>
      </c>
      <c r="I56" s="262">
        <v>43586</v>
      </c>
      <c r="J56" s="261">
        <v>2</v>
      </c>
      <c r="K56" s="263"/>
      <c r="L56" s="264"/>
      <c r="M56" s="295">
        <v>331284</v>
      </c>
      <c r="N56" s="295"/>
      <c r="O56" s="295"/>
      <c r="P56" s="295"/>
      <c r="Q56" s="295"/>
      <c r="R56" s="295"/>
      <c r="S56" s="153">
        <f t="shared" si="0"/>
        <v>0</v>
      </c>
      <c r="T56" s="153">
        <f t="shared" si="1"/>
        <v>331284</v>
      </c>
      <c r="U56" s="151">
        <f>IF(J56=0,(S56+T56/EERR!$D$2/1.19),(S56+T56/EERR!$D$2/1.19)/J56)</f>
        <v>208.56301765536904</v>
      </c>
      <c r="V56" s="153">
        <f>T56+S56*EERR!$D$2</f>
        <v>331284</v>
      </c>
      <c r="W56" s="148">
        <f ca="1">SUMIF(Siteminder!$A$5:$L$164,Abr!G56,Siteminder!$P$5:$P$164)</f>
        <v>2</v>
      </c>
      <c r="X56" s="267">
        <f>SUMIF(Transbank!$A$2:$A$470,B56,Transbank!$L$2:$L$470)+SUMIF(Transbank!$A$2:$A$470,C56,Transbank!$L$2:$L$470)+SUMIF(Transbank!$A$2:$A$470,D56,Transbank!$L$2:$L$470)+(K56+O56)+(L56+P56)*EERR!$D$2</f>
        <v>331284</v>
      </c>
      <c r="Y56" s="267">
        <f>X56/EERR!$D$2</f>
        <v>496.37998201977825</v>
      </c>
      <c r="Z56" s="277">
        <f t="shared" si="2"/>
        <v>0</v>
      </c>
    </row>
    <row r="57" spans="1:2047 2049:3072 3074:16384" s="148" customFormat="1" x14ac:dyDescent="0.25">
      <c r="A57" s="260"/>
      <c r="B57" s="297"/>
      <c r="C57" s="297"/>
      <c r="D57" s="297"/>
      <c r="E57" s="261"/>
      <c r="F57" s="261"/>
      <c r="G57" s="261"/>
      <c r="H57" s="262"/>
      <c r="I57" s="262"/>
      <c r="J57" s="261"/>
      <c r="K57" s="263"/>
      <c r="L57" s="264"/>
      <c r="M57" s="263"/>
      <c r="N57" s="263"/>
      <c r="O57" s="263"/>
      <c r="P57" s="263"/>
      <c r="Q57" s="263"/>
      <c r="R57" s="263"/>
      <c r="S57" s="153">
        <f t="shared" si="0"/>
        <v>0</v>
      </c>
      <c r="T57" s="153">
        <f t="shared" si="1"/>
        <v>0</v>
      </c>
      <c r="U57" s="151">
        <f>IF(J57=0,(S57+T57/EERR!$D$2/1.19),(S57+T57/EERR!$D$2/1.19)/J57)</f>
        <v>0</v>
      </c>
      <c r="V57" s="153">
        <f>T57+S57*EERR!$D$2</f>
        <v>0</v>
      </c>
      <c r="W57" s="148">
        <f ca="1">SUMIF(Siteminder!$A$5:$L$164,Abr!G57,Siteminder!$P$5:$P$164)</f>
        <v>0</v>
      </c>
      <c r="X57" s="267">
        <f>SUMIF(Transbank!$A$2:$A$470,B57,Transbank!$L$2:$L$470)+SUMIF(Transbank!$A$2:$A$470,C57,Transbank!$L$2:$L$470)+SUMIF(Transbank!$A$2:$A$470,D57,Transbank!$L$2:$L$470)+(K57+O57)+(L57+P57)*EERR!$D$2</f>
        <v>0</v>
      </c>
      <c r="Y57" s="267">
        <f>X57/EERR!$D$2</f>
        <v>0</v>
      </c>
      <c r="Z57" s="277">
        <f t="shared" si="2"/>
        <v>0</v>
      </c>
    </row>
    <row r="58" spans="1:2047 2049:3072 3074:16384" s="148" customFormat="1" ht="15" customHeight="1" x14ac:dyDescent="0.25">
      <c r="A58" s="260"/>
      <c r="B58" s="297"/>
      <c r="C58" s="297"/>
      <c r="D58" s="297"/>
      <c r="E58" s="261"/>
      <c r="F58" s="261"/>
      <c r="G58" s="261"/>
      <c r="H58" s="262"/>
      <c r="I58" s="262"/>
      <c r="J58" s="261"/>
      <c r="K58" s="263"/>
      <c r="L58" s="278"/>
      <c r="M58" s="279"/>
      <c r="N58" s="279"/>
      <c r="O58" s="279"/>
      <c r="P58" s="279"/>
      <c r="Q58" s="279"/>
      <c r="R58" s="263"/>
      <c r="S58" s="153">
        <f t="shared" si="0"/>
        <v>0</v>
      </c>
      <c r="T58" s="153">
        <f t="shared" si="1"/>
        <v>0</v>
      </c>
      <c r="U58" s="151">
        <f>IF(J58=0,(S58+T58/EERR!$D$2/1.19),(S58+T58/EERR!$D$2/1.19)/J58)</f>
        <v>0</v>
      </c>
      <c r="V58" s="153">
        <f>T58+S58*EERR!$D$2</f>
        <v>0</v>
      </c>
      <c r="W58" s="148">
        <f ca="1">SUMIF(Siteminder!$A$5:$L$164,Abr!G58,Siteminder!$P$5:$P$164)</f>
        <v>0</v>
      </c>
      <c r="X58" s="267">
        <f>SUMIF(Transbank!$A$2:$A$470,B58,Transbank!$L$2:$L$470)+SUMIF(Transbank!$A$2:$A$470,C58,Transbank!$L$2:$L$470)+SUMIF(Transbank!$A$2:$A$470,D58,Transbank!$L$2:$L$470)+(K58+O58)+(L58+P58)*EERR!$D$2</f>
        <v>0</v>
      </c>
      <c r="Y58" s="267">
        <f>X58/EERR!$D$2</f>
        <v>0</v>
      </c>
      <c r="Z58" s="277">
        <f t="shared" si="2"/>
        <v>0</v>
      </c>
    </row>
    <row r="59" spans="1:2047 2049:3072 3074:16384" s="148" customFormat="1" ht="15" customHeight="1" x14ac:dyDescent="0.25">
      <c r="A59" s="260"/>
      <c r="B59" s="297"/>
      <c r="C59" s="297"/>
      <c r="D59" s="297"/>
      <c r="E59" s="261"/>
      <c r="F59" s="261"/>
      <c r="G59" s="261"/>
      <c r="H59" s="262"/>
      <c r="I59" s="262"/>
      <c r="J59" s="261"/>
      <c r="K59" s="263"/>
      <c r="L59" s="264"/>
      <c r="M59" s="263"/>
      <c r="N59" s="263"/>
      <c r="O59" s="263"/>
      <c r="P59" s="263"/>
      <c r="Q59" s="263"/>
      <c r="R59" s="263"/>
      <c r="S59" s="153">
        <f t="shared" si="0"/>
        <v>0</v>
      </c>
      <c r="T59" s="153">
        <f t="shared" si="1"/>
        <v>0</v>
      </c>
      <c r="U59" s="151">
        <f>IF(J59=0,(S59+T59/EERR!$D$2/1.19),(S59+T59/EERR!$D$2/1.19)/J59)</f>
        <v>0</v>
      </c>
      <c r="V59" s="153">
        <f>T59+S59*EERR!$D$2</f>
        <v>0</v>
      </c>
      <c r="W59" s="148">
        <f ca="1">SUMIF(Siteminder!$A$5:$L$164,Abr!G59,Siteminder!$P$5:$P$164)</f>
        <v>0</v>
      </c>
      <c r="X59" s="267">
        <f>SUMIF(Transbank!$A$2:$A$470,B59,Transbank!$L$2:$L$470)+SUMIF(Transbank!$A$2:$A$470,C59,Transbank!$L$2:$L$470)+SUMIF(Transbank!$A$2:$A$470,D59,Transbank!$L$2:$L$470)+(K59+O59)+(L59+P59)*EERR!$D$2</f>
        <v>0</v>
      </c>
      <c r="Y59" s="267">
        <f>X59/EERR!$D$2</f>
        <v>0</v>
      </c>
      <c r="Z59" s="277">
        <f t="shared" si="2"/>
        <v>0</v>
      </c>
    </row>
    <row r="60" spans="1:2047 2049:3072 3074:16384" s="148" customFormat="1" ht="15" customHeight="1" x14ac:dyDescent="0.25">
      <c r="A60" s="260"/>
      <c r="B60" s="297"/>
      <c r="C60" s="297"/>
      <c r="D60" s="297"/>
      <c r="E60" s="261"/>
      <c r="F60" s="261"/>
      <c r="G60" s="261"/>
      <c r="H60" s="262"/>
      <c r="I60" s="262"/>
      <c r="J60" s="261"/>
      <c r="K60" s="263"/>
      <c r="L60" s="264"/>
      <c r="M60" s="263"/>
      <c r="N60" s="263"/>
      <c r="O60" s="263"/>
      <c r="P60" s="263"/>
      <c r="Q60" s="263"/>
      <c r="R60" s="263"/>
      <c r="S60" s="153">
        <f t="shared" si="0"/>
        <v>0</v>
      </c>
      <c r="T60" s="153">
        <f t="shared" si="1"/>
        <v>0</v>
      </c>
      <c r="U60" s="151">
        <f>IF(J60=0,(S60+T60/EERR!$D$2/1.19),(S60+T60/EERR!$D$2/1.19)/J60)</f>
        <v>0</v>
      </c>
      <c r="V60" s="153">
        <f>T60+S60*EERR!$D$2</f>
        <v>0</v>
      </c>
      <c r="W60" s="148">
        <f ca="1">SUMIF(Siteminder!$A$5:$L$164,Abr!G60,Siteminder!$P$5:$P$164)</f>
        <v>0</v>
      </c>
      <c r="X60" s="267">
        <f>SUMIF(Transbank!$A$2:$A$470,B60,Transbank!$L$2:$L$470)+SUMIF(Transbank!$A$2:$A$470,C60,Transbank!$L$2:$L$470)+SUMIF(Transbank!$A$2:$A$470,D60,Transbank!$L$2:$L$470)+(K60+O60)+(L60+P60)*EERR!$D$2</f>
        <v>0</v>
      </c>
      <c r="Y60" s="267">
        <f>X60/EERR!$D$2</f>
        <v>0</v>
      </c>
      <c r="Z60" s="277">
        <f t="shared" si="2"/>
        <v>0</v>
      </c>
    </row>
    <row r="61" spans="1:2047 2049:3072 3074:16384" s="148" customFormat="1" ht="15" customHeight="1" x14ac:dyDescent="0.25">
      <c r="A61" s="260"/>
      <c r="B61" s="297"/>
      <c r="C61" s="297"/>
      <c r="D61" s="297"/>
      <c r="E61" s="261"/>
      <c r="F61" s="261"/>
      <c r="G61" s="261"/>
      <c r="H61" s="262"/>
      <c r="I61" s="262"/>
      <c r="J61" s="261"/>
      <c r="K61" s="263"/>
      <c r="L61" s="264"/>
      <c r="M61" s="263"/>
      <c r="N61" s="263"/>
      <c r="O61" s="263"/>
      <c r="P61" s="263"/>
      <c r="Q61" s="263"/>
      <c r="R61" s="263"/>
      <c r="S61" s="153">
        <f t="shared" si="0"/>
        <v>0</v>
      </c>
      <c r="T61" s="153">
        <f t="shared" si="1"/>
        <v>0</v>
      </c>
      <c r="U61" s="151">
        <f>IF(J61=0,(S61+T61/EERR!$D$2/1.19),(S61+T61/EERR!$D$2/1.19)/J61)</f>
        <v>0</v>
      </c>
      <c r="V61" s="153">
        <f>T61+S61*EERR!$D$2</f>
        <v>0</v>
      </c>
      <c r="W61" s="148">
        <f ca="1">SUMIF(Siteminder!$A$5:$L$164,Abr!G61,Siteminder!$P$5:$P$164)</f>
        <v>0</v>
      </c>
      <c r="X61" s="267">
        <f>SUMIF(Transbank!$A$2:$A$470,B61,Transbank!$L$2:$L$470)+SUMIF(Transbank!$A$2:$A$470,C61,Transbank!$L$2:$L$470)+SUMIF(Transbank!$A$2:$A$470,D61,Transbank!$L$2:$L$470)+(K61+O61)+(L61+P61)*EERR!$D$2</f>
        <v>0</v>
      </c>
      <c r="Y61" s="267">
        <f>X61/EERR!$D$2</f>
        <v>0</v>
      </c>
      <c r="Z61" s="277">
        <f t="shared" si="2"/>
        <v>0</v>
      </c>
    </row>
    <row r="62" spans="1:2047 2049:3072 3074:16384" s="148" customFormat="1" ht="15" customHeight="1" x14ac:dyDescent="0.25">
      <c r="A62" s="260"/>
      <c r="B62" s="297"/>
      <c r="C62" s="297"/>
      <c r="D62" s="297"/>
      <c r="E62" s="261"/>
      <c r="F62" s="261"/>
      <c r="G62" s="261"/>
      <c r="H62" s="262"/>
      <c r="I62" s="262"/>
      <c r="J62" s="261"/>
      <c r="K62" s="263"/>
      <c r="L62" s="264"/>
      <c r="M62" s="263"/>
      <c r="N62" s="263"/>
      <c r="O62" s="263"/>
      <c r="P62" s="263"/>
      <c r="Q62" s="263"/>
      <c r="R62" s="263"/>
      <c r="S62" s="153">
        <f t="shared" si="0"/>
        <v>0</v>
      </c>
      <c r="T62" s="153">
        <f t="shared" si="1"/>
        <v>0</v>
      </c>
      <c r="U62" s="151">
        <f>IF(J62=0,(S62+T62/EERR!$D$2/1.19),(S62+T62/EERR!$D$2/1.19)/J62)</f>
        <v>0</v>
      </c>
      <c r="V62" s="153">
        <f>T62+S62*EERR!$D$2</f>
        <v>0</v>
      </c>
      <c r="W62" s="148">
        <f ca="1">SUMIF(Siteminder!$A$5:$L$164,Abr!G62,Siteminder!$P$5:$P$164)</f>
        <v>0</v>
      </c>
      <c r="X62" s="267">
        <f>SUMIF(Transbank!$A$2:$A$470,B62,Transbank!$L$2:$L$470)+SUMIF(Transbank!$A$2:$A$470,C62,Transbank!$L$2:$L$470)+SUMIF(Transbank!$A$2:$A$470,D62,Transbank!$L$2:$L$470)+(K62+O62)+(L62+P62)*EERR!$D$2</f>
        <v>0</v>
      </c>
      <c r="Y62" s="267">
        <f>X62/EERR!$D$2</f>
        <v>0</v>
      </c>
      <c r="Z62" s="277">
        <f t="shared" si="2"/>
        <v>0</v>
      </c>
    </row>
    <row r="63" spans="1:2047 2049:3072 3074:16384" s="148" customFormat="1" ht="15" customHeight="1" x14ac:dyDescent="0.25">
      <c r="A63" s="260"/>
      <c r="B63" s="297"/>
      <c r="C63" s="297"/>
      <c r="D63" s="297"/>
      <c r="E63" s="261"/>
      <c r="F63" s="261"/>
      <c r="G63" s="261"/>
      <c r="H63" s="262"/>
      <c r="I63" s="262"/>
      <c r="J63" s="261"/>
      <c r="K63" s="263"/>
      <c r="L63" s="264"/>
      <c r="M63" s="263"/>
      <c r="N63" s="263"/>
      <c r="O63" s="263"/>
      <c r="P63" s="263"/>
      <c r="Q63" s="263"/>
      <c r="R63" s="263"/>
      <c r="S63" s="153">
        <f t="shared" ref="S63:S64" si="3">L63+N63+P63+R63</f>
        <v>0</v>
      </c>
      <c r="T63" s="153">
        <f t="shared" ref="T63:T64" si="4">M63+O63+K63+Q63</f>
        <v>0</v>
      </c>
      <c r="U63" s="151">
        <f>IF(J63=0,(S63+T63/EERR!$D$2/1.19),(S63+T63/EERR!$D$2/1.19)/J63)</f>
        <v>0</v>
      </c>
      <c r="V63" s="153">
        <f>T63+S63*EERR!$D$2</f>
        <v>0</v>
      </c>
      <c r="W63" s="148">
        <f ca="1">SUMIF(Siteminder!$A$5:$L$164,Abr!G63,Siteminder!$P$5:$P$164)</f>
        <v>0</v>
      </c>
      <c r="X63" s="267">
        <f>SUMIF(Transbank!$A$2:$A$470,B63,Transbank!$L$2:$L$470)+SUMIF(Transbank!$A$2:$A$470,C63,Transbank!$L$2:$L$470)+SUMIF(Transbank!$A$2:$A$470,D63,Transbank!$L$2:$L$470)+(K63+O63)+(L63+P63)*EERR!$D$2</f>
        <v>0</v>
      </c>
      <c r="Y63" s="267">
        <f>X63/EERR!$D$2</f>
        <v>0</v>
      </c>
      <c r="Z63" s="277">
        <f t="shared" si="2"/>
        <v>0</v>
      </c>
    </row>
    <row r="64" spans="1:2047 2049:3072 3074:16384" s="148" customFormat="1" ht="15" customHeight="1" x14ac:dyDescent="0.25">
      <c r="A64" s="260"/>
      <c r="B64" s="297"/>
      <c r="C64" s="297"/>
      <c r="D64" s="297"/>
      <c r="E64" s="261"/>
      <c r="F64" s="261"/>
      <c r="G64" s="261"/>
      <c r="H64" s="262"/>
      <c r="I64" s="262"/>
      <c r="J64" s="261"/>
      <c r="K64" s="263"/>
      <c r="L64" s="264"/>
      <c r="M64" s="263"/>
      <c r="N64" s="263"/>
      <c r="O64" s="263"/>
      <c r="P64" s="263"/>
      <c r="Q64" s="263"/>
      <c r="R64" s="263"/>
      <c r="S64" s="153">
        <f t="shared" si="3"/>
        <v>0</v>
      </c>
      <c r="T64" s="153">
        <f t="shared" si="4"/>
        <v>0</v>
      </c>
      <c r="U64" s="151">
        <f>IF(J64=0,(S64+T64/EERR!$D$2/1.19),(S64+T64/EERR!$D$2/1.19)/J64)</f>
        <v>0</v>
      </c>
      <c r="V64" s="153">
        <f>T64+S64*EERR!$D$2</f>
        <v>0</v>
      </c>
      <c r="W64" s="148">
        <f ca="1">SUMIF(Siteminder!$A$5:$L$164,Abr!G64,Siteminder!$P$5:$P$164)</f>
        <v>0</v>
      </c>
      <c r="X64" s="267">
        <f>SUMIF(Transbank!$A$2:$A$470,B64,Transbank!$L$2:$L$470)+SUMIF(Transbank!$A$2:$A$470,C64,Transbank!$L$2:$L$470)+SUMIF(Transbank!$A$2:$A$470,D64,Transbank!$L$2:$L$470)+(K64+O64)+(L64+P64)*EERR!$D$2</f>
        <v>0</v>
      </c>
      <c r="Y64" s="267">
        <f>X64/EERR!$D$2</f>
        <v>0</v>
      </c>
      <c r="Z64" s="277">
        <f t="shared" si="2"/>
        <v>0</v>
      </c>
    </row>
    <row r="65" spans="1:26" ht="12.75" x14ac:dyDescent="0.2">
      <c r="A65" s="244"/>
      <c r="B65" s="244"/>
      <c r="C65" s="244"/>
      <c r="D65" s="244"/>
      <c r="E65" s="244"/>
      <c r="F65" s="244"/>
      <c r="G65" s="244"/>
      <c r="H65" s="249"/>
      <c r="I65" s="249"/>
      <c r="J65" s="250">
        <f>SUM(J3:J64)</f>
        <v>156</v>
      </c>
      <c r="K65" s="250">
        <f t="shared" ref="K65:P65" si="5">SUM(K3:K64)</f>
        <v>0</v>
      </c>
      <c r="L65" s="250">
        <f t="shared" si="5"/>
        <v>3250</v>
      </c>
      <c r="M65" s="250">
        <f t="shared" si="5"/>
        <v>1157204</v>
      </c>
      <c r="N65" s="250">
        <f t="shared" si="5"/>
        <v>16955</v>
      </c>
      <c r="O65" s="250">
        <f t="shared" si="5"/>
        <v>316528</v>
      </c>
      <c r="P65" s="250">
        <f t="shared" si="5"/>
        <v>0</v>
      </c>
      <c r="Q65" s="250"/>
      <c r="R65" s="250"/>
      <c r="S65" s="250">
        <f>SUM(S3:S64)</f>
        <v>29720</v>
      </c>
      <c r="T65" s="250">
        <f>SUM(T3:T64)</f>
        <v>2151525</v>
      </c>
      <c r="U65" s="250">
        <f>IF(J65=0,(S65+T65/EERR!$D$2/1.19),(S65+T65/EERR!$D$2/1.19)/J65)</f>
        <v>207.8783741891676</v>
      </c>
      <c r="V65" s="250">
        <f>SUM(V3:V64)</f>
        <v>21986653</v>
      </c>
      <c r="W65" s="250">
        <f ca="1">SUM(W3:W64)</f>
        <v>156</v>
      </c>
      <c r="X65" s="250">
        <f>SUM(X3:X64)</f>
        <v>21989038.599999998</v>
      </c>
      <c r="Y65" s="250"/>
      <c r="Z65" s="277">
        <f t="shared" si="2"/>
        <v>2385.5999999977648</v>
      </c>
    </row>
    <row r="66" spans="1:26" s="148" customFormat="1" x14ac:dyDescent="0.25">
      <c r="A66" s="260">
        <v>3876</v>
      </c>
      <c r="B66" s="297">
        <v>1015</v>
      </c>
      <c r="C66" s="297"/>
      <c r="D66" s="297"/>
      <c r="E66" s="261" t="s">
        <v>795</v>
      </c>
      <c r="F66" s="261" t="s">
        <v>267</v>
      </c>
      <c r="G66" s="276">
        <v>1902224241743</v>
      </c>
      <c r="H66" s="262">
        <v>43532</v>
      </c>
      <c r="I66" s="262">
        <v>43533</v>
      </c>
      <c r="J66" s="261">
        <v>1</v>
      </c>
      <c r="K66" s="263"/>
      <c r="L66" s="264"/>
      <c r="M66" s="263"/>
      <c r="N66" s="263"/>
      <c r="O66" s="263"/>
      <c r="P66" s="263"/>
      <c r="Q66" s="263"/>
      <c r="R66" s="263">
        <v>194.75</v>
      </c>
      <c r="S66" s="153">
        <f t="shared" ref="S66:S83" si="6">L66+N66+P66+R66</f>
        <v>194.75</v>
      </c>
      <c r="T66" s="153">
        <f t="shared" ref="T66:T83" si="7">M66+O66+K66+Q66</f>
        <v>0</v>
      </c>
      <c r="U66" s="151">
        <f>IF(J66=0,(S66+T66/EERR!$D$2/1.19),(S66+T66/EERR!$D$2/1.19)/J66)</f>
        <v>194.75</v>
      </c>
      <c r="V66" s="153">
        <f>T66+S66*EERR!$D$2</f>
        <v>129976.15</v>
      </c>
      <c r="W66" s="148">
        <f ca="1">SUMIF(Siteminder!$A$5:$L$164,Abr!G66,Siteminder!$P$5:$P$164)</f>
        <v>0</v>
      </c>
      <c r="X66" s="267">
        <f>SUMIF(Transbank!$A$2:$A$470,B66,Transbank!$L$2:$L$470)+SUMIF(Transbank!$A$2:$A$470,C66,Transbank!$L$2:$L$470)+SUMIF(Transbank!$A$2:$A$470,D66,Transbank!$L$2:$L$470)+(K66+O66)+(L66+P66)*EERR!$D$2</f>
        <v>0</v>
      </c>
      <c r="Y66" s="268">
        <f>X66/EERR!$D$2</f>
        <v>0</v>
      </c>
      <c r="Z66" s="277">
        <f t="shared" si="2"/>
        <v>-129976.15</v>
      </c>
    </row>
    <row r="67" spans="1:26" s="148" customFormat="1" x14ac:dyDescent="0.25">
      <c r="A67" s="260">
        <v>3857</v>
      </c>
      <c r="B67" s="297">
        <v>1078</v>
      </c>
      <c r="C67" s="297">
        <v>1223</v>
      </c>
      <c r="D67" s="297"/>
      <c r="E67" s="261" t="s">
        <v>913</v>
      </c>
      <c r="F67" s="261" t="s">
        <v>267</v>
      </c>
      <c r="G67" s="276">
        <v>1808013660116</v>
      </c>
      <c r="H67" s="262">
        <v>43558</v>
      </c>
      <c r="I67" s="262">
        <v>43561</v>
      </c>
      <c r="J67" s="261">
        <v>3</v>
      </c>
      <c r="K67" s="263"/>
      <c r="L67" s="264"/>
      <c r="M67" s="263"/>
      <c r="N67" s="263">
        <v>389.75</v>
      </c>
      <c r="O67" s="263"/>
      <c r="P67" s="263"/>
      <c r="Q67" s="263"/>
      <c r="R67" s="263">
        <v>194.75</v>
      </c>
      <c r="S67" s="153">
        <f t="shared" si="6"/>
        <v>584.5</v>
      </c>
      <c r="T67" s="153">
        <f t="shared" si="7"/>
        <v>0</v>
      </c>
      <c r="U67" s="151">
        <f>IF(J67=0,(S67+T67/EERR!$D$2/1.19),(S67+T67/EERR!$D$2/1.19)/J67)</f>
        <v>194.83333333333334</v>
      </c>
      <c r="V67" s="153">
        <f>T67+S67*EERR!$D$2</f>
        <v>390095.3</v>
      </c>
      <c r="W67" s="148">
        <f ca="1">SUMIF(Siteminder!$A$5:$L$164,Abr!G67,Siteminder!$P$5:$P$164)</f>
        <v>3</v>
      </c>
      <c r="X67" s="267">
        <f>SUMIF(Transbank!$A$2:$A$470,B67,Transbank!$L$2:$L$470)+SUMIF(Transbank!$A$2:$A$470,C67,Transbank!$L$2:$L$470)+SUMIF(Transbank!$A$2:$A$470,D67,Transbank!$L$2:$L$470)+(K67+O67)+(L67+P67)*EERR!$D$2</f>
        <v>389649.27999999997</v>
      </c>
      <c r="Y67" s="268">
        <f>X67/EERR!$D$2</f>
        <v>583.83170512436322</v>
      </c>
      <c r="Z67" s="277">
        <f t="shared" si="2"/>
        <v>-446.02000000001863</v>
      </c>
    </row>
    <row r="68" spans="1:26" s="148" customFormat="1" x14ac:dyDescent="0.25">
      <c r="A68" s="260">
        <v>207314</v>
      </c>
      <c r="B68" s="297">
        <v>1082</v>
      </c>
      <c r="C68" s="297">
        <v>1231</v>
      </c>
      <c r="D68" s="297"/>
      <c r="E68" s="261" t="s">
        <v>914</v>
      </c>
      <c r="F68" s="261" t="s">
        <v>267</v>
      </c>
      <c r="G68" s="276">
        <v>1902124207314</v>
      </c>
      <c r="H68" s="262">
        <v>43560</v>
      </c>
      <c r="I68" s="262">
        <v>43562</v>
      </c>
      <c r="J68" s="261">
        <v>4</v>
      </c>
      <c r="K68" s="263"/>
      <c r="L68" s="264"/>
      <c r="M68" s="263">
        <v>309621</v>
      </c>
      <c r="N68" s="263"/>
      <c r="O68" s="263"/>
      <c r="P68" s="263"/>
      <c r="Q68" s="263">
        <v>304986</v>
      </c>
      <c r="R68" s="263"/>
      <c r="S68" s="153">
        <f t="shared" si="6"/>
        <v>0</v>
      </c>
      <c r="T68" s="153">
        <f t="shared" si="7"/>
        <v>614607</v>
      </c>
      <c r="U68" s="151">
        <f>IF(J68=0,(S68+T68/EERR!$D$2/1.19),(S68+T68/EERR!$D$2/1.19)/J68)</f>
        <v>193.46586402016607</v>
      </c>
      <c r="V68" s="153">
        <f>T68+S68*EERR!$D$2</f>
        <v>614607</v>
      </c>
      <c r="W68" s="148">
        <f ca="1">SUMIF(Siteminder!$A$5:$L$164,Abr!G68,Siteminder!$P$5:$P$164)</f>
        <v>4</v>
      </c>
      <c r="X68" s="267">
        <f>SUMIF(Transbank!$A$2:$A$470,B68,Transbank!$L$2:$L$470)+SUMIF(Transbank!$A$2:$A$470,C68,Transbank!$L$2:$L$470)+SUMIF(Transbank!$A$2:$A$470,D68,Transbank!$L$2:$L$470)+(K68+O68)+(L68+P68)*EERR!$D$2</f>
        <v>614607</v>
      </c>
      <c r="Y68" s="268">
        <f>X68/EERR!$D$2</f>
        <v>920.8975127359904</v>
      </c>
      <c r="Z68" s="277">
        <f t="shared" ref="Z68:Z83" si="8">+X68-V68</f>
        <v>0</v>
      </c>
    </row>
    <row r="69" spans="1:26" s="148" customFormat="1" x14ac:dyDescent="0.25">
      <c r="A69" s="260">
        <v>3860</v>
      </c>
      <c r="B69" s="297">
        <v>1230</v>
      </c>
      <c r="C69" s="297"/>
      <c r="D69" s="297"/>
      <c r="E69" s="261" t="s">
        <v>871</v>
      </c>
      <c r="F69" s="261" t="s">
        <v>267</v>
      </c>
      <c r="G69" s="276">
        <v>1904054393186</v>
      </c>
      <c r="H69" s="262">
        <v>43561</v>
      </c>
      <c r="I69" s="262">
        <v>43562</v>
      </c>
      <c r="J69" s="261">
        <v>1</v>
      </c>
      <c r="K69" s="263"/>
      <c r="L69" s="264"/>
      <c r="M69" s="263"/>
      <c r="N69" s="263"/>
      <c r="O69" s="263"/>
      <c r="P69" s="263"/>
      <c r="Q69" s="263"/>
      <c r="R69" s="263">
        <v>185.25</v>
      </c>
      <c r="S69" s="153">
        <f t="shared" si="6"/>
        <v>185.25</v>
      </c>
      <c r="T69" s="153">
        <f t="shared" si="7"/>
        <v>0</v>
      </c>
      <c r="U69" s="151">
        <f>IF(J69=0,(S69+T69/EERR!$D$2/1.19),(S69+T69/EERR!$D$2/1.19)/J69)</f>
        <v>185.25</v>
      </c>
      <c r="V69" s="153">
        <f>T69+S69*EERR!$D$2</f>
        <v>123635.84999999999</v>
      </c>
      <c r="W69" s="148">
        <f ca="1">SUMIF(Siteminder!$A$5:$L$164,Abr!G69,Siteminder!$P$5:$P$164)</f>
        <v>1</v>
      </c>
      <c r="X69" s="267">
        <f>SUMIF(Transbank!$A$2:$A$470,B69,Transbank!$L$2:$L$470)+SUMIF(Transbank!$A$2:$A$470,C69,Transbank!$L$2:$L$470)+SUMIF(Transbank!$A$2:$A$470,D69,Transbank!$L$2:$L$470)+(K69+O69)+(L69+P69)*EERR!$D$2</f>
        <v>123635.84999999999</v>
      </c>
      <c r="Y69" s="268">
        <f>X69/EERR!$D$2</f>
        <v>185.25</v>
      </c>
      <c r="Z69" s="277">
        <f t="shared" si="8"/>
        <v>0</v>
      </c>
    </row>
    <row r="70" spans="1:26" s="148" customFormat="1" x14ac:dyDescent="0.25">
      <c r="A70" s="260">
        <v>3878</v>
      </c>
      <c r="B70" s="297">
        <v>1118</v>
      </c>
      <c r="C70" s="297">
        <v>1252</v>
      </c>
      <c r="D70" s="297"/>
      <c r="E70" s="261" t="s">
        <v>884</v>
      </c>
      <c r="F70" s="261" t="s">
        <v>267</v>
      </c>
      <c r="G70" s="276">
        <v>1901264144824</v>
      </c>
      <c r="H70" s="262">
        <v>43568</v>
      </c>
      <c r="I70" s="262">
        <v>43572</v>
      </c>
      <c r="J70" s="261">
        <v>4</v>
      </c>
      <c r="K70" s="263"/>
      <c r="L70" s="264"/>
      <c r="M70" s="263"/>
      <c r="N70" s="263">
        <v>584.25</v>
      </c>
      <c r="O70" s="263"/>
      <c r="P70" s="263"/>
      <c r="Q70" s="263"/>
      <c r="R70" s="263">
        <v>194.75</v>
      </c>
      <c r="S70" s="153">
        <f t="shared" si="6"/>
        <v>779</v>
      </c>
      <c r="T70" s="153">
        <f t="shared" si="7"/>
        <v>0</v>
      </c>
      <c r="U70" s="151">
        <f>IF(J70=0,(S70+T70/EERR!$D$2/1.19),(S70+T70/EERR!$D$2/1.19)/J70)</f>
        <v>194.75</v>
      </c>
      <c r="V70" s="153">
        <f>T70+S70*EERR!$D$2</f>
        <v>519904.6</v>
      </c>
      <c r="W70" s="148">
        <f ca="1">SUMIF(Siteminder!$A$5:$L$164,Abr!G70,Siteminder!$P$5:$P$164)</f>
        <v>4</v>
      </c>
      <c r="X70" s="267">
        <f>SUMIF(Transbank!$A$2:$A$470,B70,Transbank!$L$2:$L$470)+SUMIF(Transbank!$A$2:$A$470,C70,Transbank!$L$2:$L$470)+SUMIF(Transbank!$A$2:$A$470,D70,Transbank!$L$2:$L$470)+(K70+O70)+(L70+P70)*EERR!$D$2</f>
        <v>519959.13</v>
      </c>
      <c r="Y70" s="268">
        <f>X70/EERR!$D$2</f>
        <v>779.08170512436322</v>
      </c>
      <c r="Z70" s="277">
        <f t="shared" si="8"/>
        <v>54.53000000002794</v>
      </c>
    </row>
    <row r="71" spans="1:26" s="148" customFormat="1" x14ac:dyDescent="0.25">
      <c r="A71" s="260">
        <v>3880</v>
      </c>
      <c r="B71" s="297"/>
      <c r="C71" s="297"/>
      <c r="D71" s="297"/>
      <c r="E71" s="261" t="s">
        <v>915</v>
      </c>
      <c r="F71" s="261" t="s">
        <v>267</v>
      </c>
      <c r="G71" s="276">
        <v>1901234135180</v>
      </c>
      <c r="H71" s="262">
        <v>43568</v>
      </c>
      <c r="I71" s="262">
        <v>43571</v>
      </c>
      <c r="J71" s="261">
        <v>3</v>
      </c>
      <c r="K71" s="263"/>
      <c r="L71" s="264">
        <v>70</v>
      </c>
      <c r="M71" s="263"/>
      <c r="N71" s="263">
        <v>101</v>
      </c>
      <c r="O71" s="263"/>
      <c r="P71" s="263">
        <v>3919</v>
      </c>
      <c r="Q71" s="263"/>
      <c r="R71" s="263"/>
      <c r="S71" s="153">
        <f t="shared" si="6"/>
        <v>4090</v>
      </c>
      <c r="T71" s="153">
        <f t="shared" si="7"/>
        <v>0</v>
      </c>
      <c r="U71" s="151">
        <f>IF(J71=0,(S71+T71/EERR!$D$2/1.19),(S71+T71/EERR!$D$2/1.19)/J71)</f>
        <v>1363.3333333333333</v>
      </c>
      <c r="V71" s="153">
        <f>T71+S71*EERR!$D$2</f>
        <v>2729666</v>
      </c>
      <c r="W71" s="148">
        <f ca="1">SUMIF(Siteminder!$A$5:$L$164,Abr!G71,Siteminder!$P$5:$P$164)</f>
        <v>3</v>
      </c>
      <c r="X71" s="337">
        <f>SUMIF(Transbank!$A$2:$A$470,B71,Transbank!$L$2:$L$470)+SUMIF(Transbank!$A$2:$A$470,C71,Transbank!$L$2:$L$470)+SUMIF(Transbank!$A$2:$A$470,D71,Transbank!$L$2:$L$470)+(K71+O71)+(L71+P71)*EERR!$D$2</f>
        <v>2662258.6</v>
      </c>
      <c r="Y71" s="268">
        <f>X71/EERR!$D$2</f>
        <v>3989.0000000000005</v>
      </c>
      <c r="Z71" s="277">
        <f t="shared" si="8"/>
        <v>-67407.399999999907</v>
      </c>
    </row>
    <row r="72" spans="1:26" s="148" customFormat="1" x14ac:dyDescent="0.25">
      <c r="A72" s="260">
        <v>3881</v>
      </c>
      <c r="B72" s="297"/>
      <c r="C72" s="297"/>
      <c r="D72" s="297"/>
      <c r="E72" s="261" t="s">
        <v>915</v>
      </c>
      <c r="F72" s="261" t="s">
        <v>267</v>
      </c>
      <c r="G72" s="276">
        <v>1901234135203</v>
      </c>
      <c r="H72" s="262">
        <v>43568</v>
      </c>
      <c r="I72" s="262">
        <v>43571</v>
      </c>
      <c r="J72" s="261">
        <v>6</v>
      </c>
      <c r="K72" s="263"/>
      <c r="L72" s="264"/>
      <c r="M72" s="263"/>
      <c r="N72" s="263"/>
      <c r="O72" s="263"/>
      <c r="P72" s="263"/>
      <c r="Q72" s="263"/>
      <c r="R72" s="263"/>
      <c r="S72" s="153">
        <f t="shared" ref="S72:S75" si="9">L72+N72+P72+R72</f>
        <v>0</v>
      </c>
      <c r="T72" s="153">
        <f t="shared" ref="T72:T75" si="10">M72+O72+K72+Q72</f>
        <v>0</v>
      </c>
      <c r="U72" s="151">
        <f>IF(J72=0,(S72+T72/EERR!$D$2/1.19),(S72+T72/EERR!$D$2/1.19)/J72)</f>
        <v>0</v>
      </c>
      <c r="V72" s="153">
        <f>T72+S72*EERR!$D$2</f>
        <v>0</v>
      </c>
      <c r="W72" s="148">
        <f ca="1">SUMIF(Siteminder!$A$5:$L$164,Abr!G72,Siteminder!$P$5:$P$164)</f>
        <v>6</v>
      </c>
      <c r="X72" s="267">
        <f>SUMIF(Transbank!$A$2:$A$470,B72,Transbank!$L$2:$L$470)+SUMIF(Transbank!$A$2:$A$470,C72,Transbank!$L$2:$L$470)+SUMIF(Transbank!$A$2:$A$470,D72,Transbank!$L$2:$L$470)+(K72+O72)+(L72+P72)*EERR!$D$2</f>
        <v>0</v>
      </c>
      <c r="Y72" s="268">
        <f>X72/EERR!$D$2</f>
        <v>0</v>
      </c>
      <c r="Z72" s="277">
        <f t="shared" si="8"/>
        <v>0</v>
      </c>
    </row>
    <row r="73" spans="1:26" s="148" customFormat="1" x14ac:dyDescent="0.25">
      <c r="A73" s="260">
        <v>3882</v>
      </c>
      <c r="B73" s="297"/>
      <c r="C73" s="297"/>
      <c r="D73" s="297"/>
      <c r="E73" s="261" t="s">
        <v>915</v>
      </c>
      <c r="F73" s="261" t="s">
        <v>267</v>
      </c>
      <c r="G73" s="276">
        <v>1901234135116</v>
      </c>
      <c r="H73" s="262">
        <v>43568</v>
      </c>
      <c r="I73" s="262">
        <v>43571</v>
      </c>
      <c r="J73" s="261">
        <v>3</v>
      </c>
      <c r="K73" s="263"/>
      <c r="L73" s="264"/>
      <c r="M73" s="263"/>
      <c r="N73" s="263"/>
      <c r="O73" s="263"/>
      <c r="P73" s="263"/>
      <c r="Q73" s="263"/>
      <c r="R73" s="263"/>
      <c r="S73" s="153">
        <f t="shared" si="9"/>
        <v>0</v>
      </c>
      <c r="T73" s="153">
        <f t="shared" si="10"/>
        <v>0</v>
      </c>
      <c r="U73" s="151">
        <f>IF(J73=0,(S73+T73/EERR!$D$2/1.19),(S73+T73/EERR!$D$2/1.19)/J73)</f>
        <v>0</v>
      </c>
      <c r="V73" s="153">
        <f>T73+S73*EERR!$D$2</f>
        <v>0</v>
      </c>
      <c r="W73" s="148">
        <f ca="1">SUMIF(Siteminder!$A$5:$L$164,Abr!G73,Siteminder!$P$5:$P$164)</f>
        <v>3</v>
      </c>
      <c r="X73" s="267">
        <f>SUMIF(Transbank!$A$2:$A$470,B73,Transbank!$L$2:$L$470)+SUMIF(Transbank!$A$2:$A$470,C73,Transbank!$L$2:$L$470)+SUMIF(Transbank!$A$2:$A$470,D73,Transbank!$L$2:$L$470)+(K73+O73)+(L73+P73)*EERR!$D$2</f>
        <v>0</v>
      </c>
      <c r="Y73" s="268">
        <f>X73/EERR!$D$2</f>
        <v>0</v>
      </c>
      <c r="Z73" s="277">
        <f t="shared" si="8"/>
        <v>0</v>
      </c>
    </row>
    <row r="74" spans="1:26" s="148" customFormat="1" x14ac:dyDescent="0.25">
      <c r="A74" s="260">
        <v>3883</v>
      </c>
      <c r="B74" s="297"/>
      <c r="C74" s="297"/>
      <c r="D74" s="297"/>
      <c r="E74" s="261" t="s">
        <v>915</v>
      </c>
      <c r="F74" s="261" t="s">
        <v>267</v>
      </c>
      <c r="G74" s="276">
        <v>1901234135215</v>
      </c>
      <c r="H74" s="262">
        <v>43568</v>
      </c>
      <c r="I74" s="262">
        <v>43571</v>
      </c>
      <c r="J74" s="261">
        <v>3</v>
      </c>
      <c r="K74" s="263"/>
      <c r="L74" s="264"/>
      <c r="M74" s="263"/>
      <c r="N74" s="263"/>
      <c r="O74" s="263"/>
      <c r="P74" s="263"/>
      <c r="Q74" s="263"/>
      <c r="R74" s="263"/>
      <c r="S74" s="153">
        <f t="shared" si="9"/>
        <v>0</v>
      </c>
      <c r="T74" s="153">
        <f t="shared" si="10"/>
        <v>0</v>
      </c>
      <c r="U74" s="151">
        <f>IF(J74=0,(S74+T74/EERR!$D$2/1.19),(S74+T74/EERR!$D$2/1.19)/J74)</f>
        <v>0</v>
      </c>
      <c r="V74" s="153">
        <f>T74+S74*EERR!$D$2</f>
        <v>0</v>
      </c>
      <c r="W74" s="148">
        <f ca="1">SUMIF(Siteminder!$A$5:$L$164,Abr!G74,Siteminder!$P$5:$P$164)</f>
        <v>3</v>
      </c>
      <c r="X74" s="267">
        <f>SUMIF(Transbank!$A$2:$A$470,B74,Transbank!$L$2:$L$470)+SUMIF(Transbank!$A$2:$A$470,C74,Transbank!$L$2:$L$470)+SUMIF(Transbank!$A$2:$A$470,D74,Transbank!$L$2:$L$470)+(K74+O74)+(L74+P74)*EERR!$D$2</f>
        <v>0</v>
      </c>
      <c r="Y74" s="268">
        <f>X74/EERR!$D$2</f>
        <v>0</v>
      </c>
      <c r="Z74" s="277">
        <f t="shared" si="8"/>
        <v>0</v>
      </c>
    </row>
    <row r="75" spans="1:26" s="148" customFormat="1" x14ac:dyDescent="0.25">
      <c r="A75" s="260">
        <v>3884</v>
      </c>
      <c r="B75" s="297"/>
      <c r="C75" s="297"/>
      <c r="D75" s="297"/>
      <c r="E75" s="261" t="s">
        <v>915</v>
      </c>
      <c r="F75" s="261" t="s">
        <v>267</v>
      </c>
      <c r="G75" s="276">
        <v>1901234135148</v>
      </c>
      <c r="H75" s="262">
        <v>43568</v>
      </c>
      <c r="I75" s="262">
        <v>43571</v>
      </c>
      <c r="J75" s="261">
        <v>3</v>
      </c>
      <c r="K75" s="263"/>
      <c r="L75" s="264"/>
      <c r="M75" s="263"/>
      <c r="N75" s="263"/>
      <c r="O75" s="263"/>
      <c r="P75" s="263"/>
      <c r="Q75" s="263"/>
      <c r="R75" s="263"/>
      <c r="S75" s="153">
        <f t="shared" si="9"/>
        <v>0</v>
      </c>
      <c r="T75" s="153">
        <f t="shared" si="10"/>
        <v>0</v>
      </c>
      <c r="U75" s="151">
        <f>IF(J75=0,(S75+T75/EERR!$D$2/1.19),(S75+T75/EERR!$D$2/1.19)/J75)</f>
        <v>0</v>
      </c>
      <c r="V75" s="153">
        <f>T75+S75*EERR!$D$2</f>
        <v>0</v>
      </c>
      <c r="W75" s="148">
        <f ca="1">SUMIF(Siteminder!$A$5:$L$164,Abr!G75,Siteminder!$P$5:$P$164)</f>
        <v>3</v>
      </c>
      <c r="X75" s="267">
        <f>SUMIF(Transbank!$A$2:$A$470,B75,Transbank!$L$2:$L$470)+SUMIF(Transbank!$A$2:$A$470,C75,Transbank!$L$2:$L$470)+SUMIF(Transbank!$A$2:$A$470,D75,Transbank!$L$2:$L$470)+(K75+O75)+(L75+P75)*EERR!$D$2</f>
        <v>0</v>
      </c>
      <c r="Y75" s="268">
        <f>X75/EERR!$D$2</f>
        <v>0</v>
      </c>
      <c r="Z75" s="277">
        <f t="shared" si="8"/>
        <v>0</v>
      </c>
    </row>
    <row r="76" spans="1:26" s="148" customFormat="1" x14ac:dyDescent="0.25">
      <c r="A76" s="260">
        <v>32721</v>
      </c>
      <c r="B76" s="297">
        <v>1262</v>
      </c>
      <c r="C76" s="297"/>
      <c r="D76" s="297"/>
      <c r="E76" s="261" t="s">
        <v>916</v>
      </c>
      <c r="F76" s="261" t="s">
        <v>267</v>
      </c>
      <c r="G76" s="276">
        <v>1904164432721</v>
      </c>
      <c r="H76" s="262">
        <v>43572</v>
      </c>
      <c r="I76" s="262">
        <v>43573</v>
      </c>
      <c r="J76" s="261">
        <v>1</v>
      </c>
      <c r="K76" s="263"/>
      <c r="L76" s="264"/>
      <c r="M76" s="263">
        <v>146156</v>
      </c>
      <c r="N76" s="263"/>
      <c r="O76" s="263"/>
      <c r="P76" s="263"/>
      <c r="Q76" s="263"/>
      <c r="R76" s="263"/>
      <c r="S76" s="153">
        <f t="shared" si="6"/>
        <v>0</v>
      </c>
      <c r="T76" s="153">
        <f t="shared" si="7"/>
        <v>146156</v>
      </c>
      <c r="U76" s="151">
        <f>IF(J76=0,(S76+T76/EERR!$D$2/1.19),(S76+T76/EERR!$D$2/1.19)/J76)</f>
        <v>184.02782149719343</v>
      </c>
      <c r="V76" s="153">
        <f>T76+S76*EERR!$D$2</f>
        <v>146156</v>
      </c>
      <c r="W76" s="148">
        <f ca="1">SUMIF(Siteminder!$A$5:$L$164,Abr!G76,Siteminder!$P$5:$P$164)</f>
        <v>1</v>
      </c>
      <c r="X76" s="267">
        <f>SUMIF(Transbank!$A$2:$A$470,B76,Transbank!$L$2:$L$470)+SUMIF(Transbank!$A$2:$A$470,C76,Transbank!$L$2:$L$470)+SUMIF(Transbank!$A$2:$A$470,D76,Transbank!$L$2:$L$470)+(K76+O76)+(L76+P76)*EERR!$D$2</f>
        <v>146156</v>
      </c>
      <c r="Y76" s="268">
        <f>X76/EERR!$D$2</f>
        <v>218.99310758166018</v>
      </c>
      <c r="Z76" s="277">
        <f t="shared" si="8"/>
        <v>0</v>
      </c>
    </row>
    <row r="77" spans="1:26" s="148" customFormat="1" x14ac:dyDescent="0.25">
      <c r="A77" s="260">
        <v>67551</v>
      </c>
      <c r="B77" s="297">
        <v>1193</v>
      </c>
      <c r="C77" s="297"/>
      <c r="D77" s="297"/>
      <c r="E77" s="261" t="s">
        <v>917</v>
      </c>
      <c r="F77" s="261" t="s">
        <v>267</v>
      </c>
      <c r="G77" s="276">
        <v>1903294367551</v>
      </c>
      <c r="H77" s="262">
        <v>43573</v>
      </c>
      <c r="I77" s="262">
        <v>43574</v>
      </c>
      <c r="J77" s="261">
        <v>1</v>
      </c>
      <c r="K77" s="263"/>
      <c r="L77" s="264"/>
      <c r="M77" s="263"/>
      <c r="N77" s="263"/>
      <c r="O77" s="263"/>
      <c r="P77" s="263"/>
      <c r="Q77" s="263">
        <v>150125</v>
      </c>
      <c r="R77" s="263"/>
      <c r="S77" s="153">
        <f t="shared" si="6"/>
        <v>0</v>
      </c>
      <c r="T77" s="153">
        <f t="shared" si="7"/>
        <v>150125</v>
      </c>
      <c r="U77" s="151">
        <f>IF(J77=0,(S77+T77/EERR!$D$2/1.19),(S77+T77/EERR!$D$2/1.19)/J77)</f>
        <v>189.02526548527715</v>
      </c>
      <c r="V77" s="153">
        <f>T77+S77*EERR!$D$2</f>
        <v>150125</v>
      </c>
      <c r="W77" s="148">
        <f ca="1">SUMIF(Siteminder!$A$5:$L$164,Abr!G77,Siteminder!$P$5:$P$164)</f>
        <v>1</v>
      </c>
      <c r="X77" s="267">
        <f>SUMIF(Transbank!$A$2:$A$470,B77,Transbank!$L$2:$L$470)+SUMIF(Transbank!$A$2:$A$470,C77,Transbank!$L$2:$L$470)+SUMIF(Transbank!$A$2:$A$470,D77,Transbank!$L$2:$L$470)+(K77+O77)+(L77+P77)*EERR!$D$2</f>
        <v>150125</v>
      </c>
      <c r="Y77" s="268">
        <f>X77/EERR!$D$2</f>
        <v>224.94006592747979</v>
      </c>
      <c r="Z77" s="277">
        <f t="shared" si="8"/>
        <v>0</v>
      </c>
    </row>
    <row r="78" spans="1:26" s="148" customFormat="1" x14ac:dyDescent="0.25">
      <c r="A78" s="260">
        <v>53937</v>
      </c>
      <c r="B78" s="297">
        <v>1295</v>
      </c>
      <c r="C78" s="297"/>
      <c r="D78" s="297"/>
      <c r="E78" s="261" t="s">
        <v>918</v>
      </c>
      <c r="F78" s="261" t="s">
        <v>267</v>
      </c>
      <c r="G78" s="276">
        <v>1904234453937</v>
      </c>
      <c r="H78" s="262">
        <v>43578</v>
      </c>
      <c r="I78" s="262">
        <v>43579</v>
      </c>
      <c r="J78" s="261">
        <v>1</v>
      </c>
      <c r="K78" s="263"/>
      <c r="L78" s="264"/>
      <c r="M78" s="263">
        <v>153883</v>
      </c>
      <c r="N78" s="263"/>
      <c r="O78" s="263"/>
      <c r="P78" s="263"/>
      <c r="Q78" s="263"/>
      <c r="R78" s="263"/>
      <c r="S78" s="153">
        <f t="shared" ref="S78:S82" si="11">L78+N78+P78+R78</f>
        <v>0</v>
      </c>
      <c r="T78" s="153">
        <f t="shared" ref="T78:T82" si="12">M78+O78+K78+Q78</f>
        <v>153883</v>
      </c>
      <c r="U78" s="151">
        <f>IF(J78=0,(S78+T78/EERR!$D$2/1.19),(S78+T78/EERR!$D$2/1.19)/J78)</f>
        <v>193.7570353283657</v>
      </c>
      <c r="V78" s="153">
        <f>T78+S78*EERR!$D$2</f>
        <v>153883</v>
      </c>
      <c r="W78" s="148">
        <f ca="1">SUMIF(Siteminder!$A$5:$L$164,Abr!G78,Siteminder!$P$5:$P$164)</f>
        <v>1</v>
      </c>
      <c r="X78" s="267">
        <f>SUMIF(Transbank!$A$2:$A$470,B78,Transbank!$L$2:$L$470)+SUMIF(Transbank!$A$2:$A$470,C78,Transbank!$L$2:$L$470)+SUMIF(Transbank!$A$2:$A$470,D78,Transbank!$L$2:$L$470)+(K78+O78)+(L78+P78)*EERR!$D$2</f>
        <v>153883</v>
      </c>
      <c r="Y78" s="268">
        <f>X78/EERR!$D$2</f>
        <v>230.57087204075518</v>
      </c>
      <c r="Z78" s="277">
        <f t="shared" si="8"/>
        <v>0</v>
      </c>
    </row>
    <row r="79" spans="1:26" s="148" customFormat="1" x14ac:dyDescent="0.25">
      <c r="A79" s="260">
        <v>3905</v>
      </c>
      <c r="B79" s="297">
        <v>1269</v>
      </c>
      <c r="C79" s="297">
        <v>1297</v>
      </c>
      <c r="D79" s="297"/>
      <c r="E79" s="261" t="s">
        <v>919</v>
      </c>
      <c r="F79" s="261" t="s">
        <v>267</v>
      </c>
      <c r="G79" s="276">
        <v>1904174436717</v>
      </c>
      <c r="H79" s="262">
        <v>43579</v>
      </c>
      <c r="I79" s="262">
        <v>43584</v>
      </c>
      <c r="J79" s="261">
        <v>5</v>
      </c>
      <c r="K79" s="263"/>
      <c r="L79" s="264"/>
      <c r="M79" s="263"/>
      <c r="N79" s="263">
        <v>760</v>
      </c>
      <c r="O79" s="263"/>
      <c r="P79" s="263"/>
      <c r="Q79" s="263"/>
      <c r="R79" s="263">
        <v>185.25</v>
      </c>
      <c r="S79" s="153">
        <f t="shared" si="11"/>
        <v>945.25</v>
      </c>
      <c r="T79" s="153">
        <f t="shared" si="12"/>
        <v>0</v>
      </c>
      <c r="U79" s="151">
        <f>IF(J79=0,(S79+T79/EERR!$D$2/1.19),(S79+T79/EERR!$D$2/1.19)/J79)</f>
        <v>189.05</v>
      </c>
      <c r="V79" s="153">
        <f>T79+S79*EERR!$D$2</f>
        <v>630859.85</v>
      </c>
      <c r="W79" s="148">
        <f ca="1">SUMIF(Siteminder!$A$5:$L$164,Abr!G79,Siteminder!$P$5:$P$164)</f>
        <v>5</v>
      </c>
      <c r="X79" s="267">
        <f>SUMIF(Transbank!$A$2:$A$470,B79,Transbank!$L$2:$L$470)+SUMIF(Transbank!$A$2:$A$470,C79,Transbank!$L$2:$L$470)+SUMIF(Transbank!$A$2:$A$470,D79,Transbank!$L$2:$L$470)+(K79+O79)+(L79+P79)*EERR!$D$2</f>
        <v>630859.85</v>
      </c>
      <c r="Y79" s="268">
        <f>X79/EERR!$D$2</f>
        <v>945.25</v>
      </c>
      <c r="Z79" s="277">
        <f t="shared" si="8"/>
        <v>0</v>
      </c>
    </row>
    <row r="80" spans="1:26" s="148" customFormat="1" x14ac:dyDescent="0.25">
      <c r="A80" s="260">
        <v>84973</v>
      </c>
      <c r="B80" s="297">
        <v>1194</v>
      </c>
      <c r="C80" s="297">
        <v>1316</v>
      </c>
      <c r="D80" s="297"/>
      <c r="E80" s="261" t="s">
        <v>920</v>
      </c>
      <c r="F80" s="261" t="s">
        <v>267</v>
      </c>
      <c r="G80" s="276">
        <v>1902064184973</v>
      </c>
      <c r="H80" s="262">
        <v>43582</v>
      </c>
      <c r="I80" s="262">
        <v>43588</v>
      </c>
      <c r="J80" s="261">
        <v>6</v>
      </c>
      <c r="K80" s="263"/>
      <c r="L80" s="264"/>
      <c r="M80" s="263">
        <v>783323</v>
      </c>
      <c r="N80" s="263"/>
      <c r="O80" s="263"/>
      <c r="P80" s="263"/>
      <c r="Q80" s="263">
        <v>157823</v>
      </c>
      <c r="R80" s="263"/>
      <c r="S80" s="153">
        <f t="shared" si="11"/>
        <v>0</v>
      </c>
      <c r="T80" s="153">
        <f t="shared" si="12"/>
        <v>941146</v>
      </c>
      <c r="U80" s="151">
        <f>IF(J80=0,(S80+T80/EERR!$D$2/1.19),(S80+T80/EERR!$D$2/1.19)/J80)</f>
        <v>197.50249515448976</v>
      </c>
      <c r="V80" s="153">
        <f>T80+S80*EERR!$D$2</f>
        <v>941146</v>
      </c>
      <c r="W80" s="148">
        <f ca="1">SUMIF(Siteminder!$A$5:$L$164,Abr!G80,Siteminder!$P$5:$P$164)</f>
        <v>6</v>
      </c>
      <c r="X80" s="267">
        <f>SUMIF(Transbank!$A$2:$A$470,B80,Transbank!$L$2:$L$470)+SUMIF(Transbank!$A$2:$A$470,C80,Transbank!$L$2:$L$470)+SUMIF(Transbank!$A$2:$A$470,D80,Transbank!$L$2:$L$470)+(K80+O80)+(L80+P80)*EERR!$D$2</f>
        <v>941146</v>
      </c>
      <c r="Y80" s="268">
        <f>X80/EERR!$D$2</f>
        <v>1410.1678154030567</v>
      </c>
      <c r="Z80" s="277">
        <f t="shared" si="8"/>
        <v>0</v>
      </c>
    </row>
    <row r="81" spans="1:26" s="148" customFormat="1" x14ac:dyDescent="0.25">
      <c r="A81" s="260"/>
      <c r="B81" s="297"/>
      <c r="C81" s="297"/>
      <c r="D81" s="297"/>
      <c r="E81" s="261"/>
      <c r="F81" s="261"/>
      <c r="G81" s="276"/>
      <c r="H81" s="262"/>
      <c r="I81" s="262"/>
      <c r="J81" s="261"/>
      <c r="K81" s="263"/>
      <c r="L81" s="264"/>
      <c r="M81" s="263"/>
      <c r="N81" s="263"/>
      <c r="O81" s="263"/>
      <c r="P81" s="263"/>
      <c r="Q81" s="263"/>
      <c r="R81" s="263"/>
      <c r="S81" s="153">
        <f t="shared" si="11"/>
        <v>0</v>
      </c>
      <c r="T81" s="153">
        <f t="shared" si="12"/>
        <v>0</v>
      </c>
      <c r="U81" s="151">
        <f>IF(J81=0,(S81+T81/EERR!$D$2/1.19),(S81+T81/EERR!$D$2/1.19)/J81)</f>
        <v>0</v>
      </c>
      <c r="V81" s="153">
        <f>T81+S81*EERR!$D$2</f>
        <v>0</v>
      </c>
      <c r="W81" s="148">
        <f ca="1">SUMIF(Siteminder!$A$5:$L$164,Abr!G81,Siteminder!$P$5:$P$164)</f>
        <v>0</v>
      </c>
      <c r="X81" s="267">
        <f>SUMIF(Transbank!$A$2:$A$470,B81,Transbank!$L$2:$L$470)+SUMIF(Transbank!$A$2:$A$470,C81,Transbank!$L$2:$L$470)+SUMIF(Transbank!$A$2:$A$470,D81,Transbank!$L$2:$L$470)+(K81+O81)+(L81+P81)*EERR!$D$2</f>
        <v>0</v>
      </c>
      <c r="Y81" s="268">
        <f>X81/EERR!$D$2</f>
        <v>0</v>
      </c>
      <c r="Z81" s="277">
        <f t="shared" si="8"/>
        <v>0</v>
      </c>
    </row>
    <row r="82" spans="1:26" s="148" customFormat="1" x14ac:dyDescent="0.25">
      <c r="A82" s="260"/>
      <c r="B82" s="297"/>
      <c r="C82" s="297"/>
      <c r="D82" s="297"/>
      <c r="E82" s="261"/>
      <c r="F82" s="261"/>
      <c r="G82" s="276"/>
      <c r="H82" s="262"/>
      <c r="I82" s="262"/>
      <c r="J82" s="261"/>
      <c r="K82" s="263"/>
      <c r="L82" s="264"/>
      <c r="M82" s="263"/>
      <c r="N82" s="263"/>
      <c r="O82" s="263"/>
      <c r="P82" s="263"/>
      <c r="Q82" s="263"/>
      <c r="R82" s="263"/>
      <c r="S82" s="153">
        <f t="shared" si="11"/>
        <v>0</v>
      </c>
      <c r="T82" s="153">
        <f t="shared" si="12"/>
        <v>0</v>
      </c>
      <c r="U82" s="151">
        <f>IF(J82=0,(S82+T82/EERR!$D$2/1.19),(S82+T82/EERR!$D$2/1.19)/J82)</f>
        <v>0</v>
      </c>
      <c r="V82" s="153">
        <f>T82+S82*EERR!$D$2</f>
        <v>0</v>
      </c>
      <c r="W82" s="148">
        <f ca="1">SUMIF(Siteminder!$A$5:$L$164,Abr!G82,Siteminder!$P$5:$P$164)</f>
        <v>0</v>
      </c>
      <c r="X82" s="267">
        <f>SUMIF(Transbank!$A$2:$A$470,B82,Transbank!$L$2:$L$470)+SUMIF(Transbank!$A$2:$A$470,C82,Transbank!$L$2:$L$470)+SUMIF(Transbank!$A$2:$A$470,D82,Transbank!$L$2:$L$470)+(K82+O82)+(L82+P82)*EERR!$D$2</f>
        <v>0</v>
      </c>
      <c r="Y82" s="268">
        <f>X82/EERR!$D$2</f>
        <v>0</v>
      </c>
      <c r="Z82" s="277">
        <f t="shared" si="8"/>
        <v>0</v>
      </c>
    </row>
    <row r="83" spans="1:26" s="148" customFormat="1" x14ac:dyDescent="0.25">
      <c r="A83" s="260"/>
      <c r="B83" s="297"/>
      <c r="C83" s="297"/>
      <c r="D83" s="297"/>
      <c r="E83" s="261"/>
      <c r="F83" s="261"/>
      <c r="G83" s="261"/>
      <c r="H83" s="262"/>
      <c r="I83" s="262"/>
      <c r="J83" s="261"/>
      <c r="K83" s="263"/>
      <c r="L83" s="264"/>
      <c r="M83" s="263"/>
      <c r="N83" s="263"/>
      <c r="O83" s="263"/>
      <c r="P83" s="263"/>
      <c r="Q83" s="263"/>
      <c r="R83" s="263"/>
      <c r="S83" s="153">
        <f t="shared" si="6"/>
        <v>0</v>
      </c>
      <c r="T83" s="153">
        <f t="shared" si="7"/>
        <v>0</v>
      </c>
      <c r="U83" s="151">
        <f>IF(J83=0,(S83+T83/EERR!$D$2/1.19),(S83+T83/EERR!$D$2/1.19)/J83)</f>
        <v>0</v>
      </c>
      <c r="V83" s="153">
        <f>T83+S83*EERR!$D$2</f>
        <v>0</v>
      </c>
      <c r="W83" s="148">
        <f ca="1">SUMIF(Siteminder!$A$5:$L$164,Abr!G83,Siteminder!$P$5:$P$164)</f>
        <v>0</v>
      </c>
      <c r="X83" s="267">
        <f>SUMIF(Transbank!$A$2:$A$470,B83,Transbank!$L$2:$L$470)+SUMIF(Transbank!$A$2:$A$470,C83,Transbank!$L$2:$L$470)+SUMIF(Transbank!$A$2:$A$470,D83,Transbank!$L$2:$L$470)+(K83+O83)+(L83+P83)*EERR!$D$2</f>
        <v>0</v>
      </c>
      <c r="Y83" s="268">
        <f>X83/EERR!$D$2</f>
        <v>0</v>
      </c>
      <c r="Z83" s="277">
        <f t="shared" si="8"/>
        <v>0</v>
      </c>
    </row>
    <row r="84" spans="1:26" ht="12.75" x14ac:dyDescent="0.2">
      <c r="A84" s="244"/>
      <c r="B84" s="244"/>
      <c r="C84" s="244"/>
      <c r="D84" s="244"/>
      <c r="E84" s="244"/>
      <c r="F84" s="244"/>
      <c r="G84" s="244"/>
      <c r="H84" s="249"/>
      <c r="I84" s="249"/>
      <c r="J84" s="250">
        <f>SUM(J66:J83)</f>
        <v>45</v>
      </c>
      <c r="K84" s="250">
        <f t="shared" ref="K84:T84" si="13">SUM(K66:K83)</f>
        <v>0</v>
      </c>
      <c r="L84" s="250">
        <f t="shared" si="13"/>
        <v>70</v>
      </c>
      <c r="M84" s="250">
        <f t="shared" si="13"/>
        <v>1392983</v>
      </c>
      <c r="N84" s="250">
        <f t="shared" si="13"/>
        <v>1835</v>
      </c>
      <c r="O84" s="250">
        <f t="shared" si="13"/>
        <v>0</v>
      </c>
      <c r="P84" s="250">
        <f t="shared" si="13"/>
        <v>3919</v>
      </c>
      <c r="Q84" s="250">
        <f t="shared" si="13"/>
        <v>612934</v>
      </c>
      <c r="R84" s="250">
        <f t="shared" si="13"/>
        <v>954.75</v>
      </c>
      <c r="S84" s="250">
        <f t="shared" si="13"/>
        <v>6778.75</v>
      </c>
      <c r="T84" s="250">
        <f t="shared" si="13"/>
        <v>2005917</v>
      </c>
      <c r="U84" s="250">
        <f>IF(J84=0,(S84+T84/EERR!$D$2/1.19),(S84+T84/EERR!$D$2/1.19)/J84)</f>
        <v>206.7653010959653</v>
      </c>
      <c r="V84" s="250">
        <f>SUM(V66:V83)</f>
        <v>6530054.75</v>
      </c>
      <c r="W84" s="250">
        <f ca="1">SUM(W66:W83)</f>
        <v>44</v>
      </c>
      <c r="X84" s="250">
        <f>SUM(X66:X83)</f>
        <v>6332279.71</v>
      </c>
      <c r="Y84" s="250"/>
      <c r="Z84" s="277">
        <f t="shared" ref="Z84:Z107" si="14">+X84-V84</f>
        <v>-197775.04000000004</v>
      </c>
    </row>
    <row r="85" spans="1:26" x14ac:dyDescent="0.25">
      <c r="A85" s="260">
        <v>3849</v>
      </c>
      <c r="B85" s="297">
        <v>1116</v>
      </c>
      <c r="C85" s="297"/>
      <c r="D85" s="297"/>
      <c r="E85" s="261" t="s">
        <v>921</v>
      </c>
      <c r="F85" s="261" t="s">
        <v>230</v>
      </c>
      <c r="G85" s="261">
        <v>1217527081</v>
      </c>
      <c r="H85" s="262">
        <v>43556</v>
      </c>
      <c r="I85" s="262">
        <v>43557</v>
      </c>
      <c r="J85" s="261">
        <v>1</v>
      </c>
      <c r="K85" s="263"/>
      <c r="L85" s="264"/>
      <c r="M85" s="263"/>
      <c r="N85" s="263"/>
      <c r="O85" s="263"/>
      <c r="P85" s="263"/>
      <c r="Q85" s="263"/>
      <c r="R85" s="263">
        <v>205</v>
      </c>
      <c r="S85" s="153">
        <f t="shared" ref="S85" si="15">L85+N85+P85+R85</f>
        <v>205</v>
      </c>
      <c r="T85" s="153">
        <f t="shared" ref="T85" si="16">M85+O85+K85+Q85</f>
        <v>0</v>
      </c>
      <c r="U85" s="151">
        <f>IF(J85=0,(S85+T85/EERR!$D$2/1.19),(S85+T85/EERR!$D$2/1.19)/J85)</f>
        <v>205</v>
      </c>
      <c r="V85" s="153">
        <f>T85+S85*EERR!$D$2</f>
        <v>136817</v>
      </c>
      <c r="W85" s="148">
        <f ca="1">SUMIF(Siteminder!$A$5:$L$164,Abr!G85,Siteminder!$P$5:$P$164)</f>
        <v>1</v>
      </c>
      <c r="X85" s="267">
        <f>SUMIF(Transbank!$A$2:$A$470,B85,Transbank!$L$2:$L$470)+SUMIF(Transbank!$A$2:$A$470,C85,Transbank!$L$2:$L$470)+SUMIF(Transbank!$A$2:$A$470,D85,Transbank!$L$2:$L$470)+(K85+O85)+(L85+P85)*EERR!$D$2</f>
        <v>136874.4</v>
      </c>
      <c r="Y85" s="269">
        <f>X85/EERR!$D$2</f>
        <v>205.08600539406652</v>
      </c>
      <c r="Z85" s="277">
        <f t="shared" si="14"/>
        <v>57.399999999994179</v>
      </c>
    </row>
    <row r="86" spans="1:26" s="148" customFormat="1" x14ac:dyDescent="0.25">
      <c r="A86" s="260">
        <v>3850</v>
      </c>
      <c r="B86" s="297">
        <v>1074</v>
      </c>
      <c r="C86" s="297"/>
      <c r="D86" s="297"/>
      <c r="E86" s="261" t="s">
        <v>922</v>
      </c>
      <c r="F86" s="261" t="s">
        <v>230</v>
      </c>
      <c r="G86" s="261">
        <v>1191610142</v>
      </c>
      <c r="H86" s="262">
        <v>43556</v>
      </c>
      <c r="I86" s="262">
        <v>43557</v>
      </c>
      <c r="J86" s="261">
        <v>1</v>
      </c>
      <c r="K86" s="263"/>
      <c r="L86" s="264"/>
      <c r="M86" s="263"/>
      <c r="N86" s="263"/>
      <c r="O86" s="263"/>
      <c r="P86" s="263"/>
      <c r="Q86" s="263"/>
      <c r="R86" s="263">
        <v>205</v>
      </c>
      <c r="S86" s="153">
        <f t="shared" ref="S86:S107" si="17">L86+N86+P86+R86</f>
        <v>205</v>
      </c>
      <c r="T86" s="153">
        <f t="shared" ref="T86:T107" si="18">M86+O86+K86+Q86</f>
        <v>0</v>
      </c>
      <c r="U86" s="151">
        <f>IF(J86=0,(S86+T86/EERR!$D$2/1.19),(S86+T86/EERR!$D$2/1.19)/J86)</f>
        <v>205</v>
      </c>
      <c r="V86" s="153">
        <f>T86+S86*EERR!$D$2</f>
        <v>136817</v>
      </c>
      <c r="W86" s="148">
        <f ca="1">SUMIF(Siteminder!$A$5:$L$164,Abr!G86,Siteminder!$P$5:$P$164)</f>
        <v>1</v>
      </c>
      <c r="X86" s="267">
        <f>SUMIF(Transbank!$A$2:$A$470,B86,Transbank!$L$2:$L$470)+SUMIF(Transbank!$A$2:$A$470,C86,Transbank!$L$2:$L$470)+SUMIF(Transbank!$A$2:$A$470,D86,Transbank!$L$2:$L$470)+(K86+O86)+(L86+P86)*EERR!$D$2</f>
        <v>136874.4</v>
      </c>
      <c r="Y86" s="269">
        <f>X86/EERR!$D$2</f>
        <v>205.08600539406652</v>
      </c>
      <c r="Z86" s="277">
        <f t="shared" si="14"/>
        <v>57.399999999994179</v>
      </c>
    </row>
    <row r="87" spans="1:26" s="148" customFormat="1" x14ac:dyDescent="0.25">
      <c r="A87" s="260">
        <v>3851</v>
      </c>
      <c r="B87" s="297">
        <v>1101</v>
      </c>
      <c r="C87" s="297"/>
      <c r="D87" s="297"/>
      <c r="E87" s="261" t="s">
        <v>923</v>
      </c>
      <c r="F87" s="261" t="s">
        <v>230</v>
      </c>
      <c r="G87" s="261">
        <v>1209385973</v>
      </c>
      <c r="H87" s="262">
        <v>43556</v>
      </c>
      <c r="I87" s="262">
        <v>43557</v>
      </c>
      <c r="J87" s="261">
        <v>1</v>
      </c>
      <c r="K87" s="263"/>
      <c r="L87" s="264"/>
      <c r="M87" s="263"/>
      <c r="N87" s="263"/>
      <c r="O87" s="263"/>
      <c r="P87" s="263"/>
      <c r="Q87" s="263"/>
      <c r="R87" s="263">
        <v>205</v>
      </c>
      <c r="S87" s="153">
        <f t="shared" si="17"/>
        <v>205</v>
      </c>
      <c r="T87" s="153">
        <f t="shared" si="18"/>
        <v>0</v>
      </c>
      <c r="U87" s="151">
        <f>IF(J87=0,(S87+T87/EERR!$D$2/1.19),(S87+T87/EERR!$D$2/1.19)/J87)</f>
        <v>205</v>
      </c>
      <c r="V87" s="153">
        <f>T87+S87*EERR!$D$2</f>
        <v>136817</v>
      </c>
      <c r="W87" s="148">
        <f ca="1">SUMIF(Siteminder!$A$5:$L$164,Abr!G87,Siteminder!$P$5:$P$164)</f>
        <v>1</v>
      </c>
      <c r="X87" s="267">
        <f>SUMIF(Transbank!$A$2:$A$470,B87,Transbank!$L$2:$L$470)+SUMIF(Transbank!$A$2:$A$470,C87,Transbank!$L$2:$L$470)+SUMIF(Transbank!$A$2:$A$470,D87,Transbank!$L$2:$L$470)+(K87+O87)+(L87+P87)*EERR!$D$2</f>
        <v>136874.4</v>
      </c>
      <c r="Y87" s="269">
        <f>X87/EERR!$D$2</f>
        <v>205.08600539406652</v>
      </c>
      <c r="Z87" s="277">
        <f t="shared" si="14"/>
        <v>57.399999999994179</v>
      </c>
    </row>
    <row r="88" spans="1:26" s="148" customFormat="1" x14ac:dyDescent="0.25">
      <c r="A88" s="260">
        <v>3867</v>
      </c>
      <c r="B88" s="297">
        <v>1088</v>
      </c>
      <c r="C88" s="297">
        <v>1241</v>
      </c>
      <c r="D88" s="297"/>
      <c r="E88" s="261" t="s">
        <v>924</v>
      </c>
      <c r="F88" s="261" t="s">
        <v>230</v>
      </c>
      <c r="G88" s="261">
        <v>1145383996</v>
      </c>
      <c r="H88" s="262">
        <v>43562</v>
      </c>
      <c r="I88" s="262">
        <v>43568</v>
      </c>
      <c r="J88" s="261">
        <v>6</v>
      </c>
      <c r="K88" s="263"/>
      <c r="L88" s="264">
        <v>1000</v>
      </c>
      <c r="M88" s="263"/>
      <c r="N88" s="263">
        <v>25</v>
      </c>
      <c r="O88" s="263"/>
      <c r="P88" s="263"/>
      <c r="Q88" s="263"/>
      <c r="R88" s="263">
        <v>205</v>
      </c>
      <c r="S88" s="153">
        <f t="shared" si="17"/>
        <v>1230</v>
      </c>
      <c r="T88" s="153">
        <f t="shared" si="18"/>
        <v>0</v>
      </c>
      <c r="U88" s="151">
        <f>IF(J88=0,(S88+T88/EERR!$D$2/1.19),(S88+T88/EERR!$D$2/1.19)/J88)</f>
        <v>205</v>
      </c>
      <c r="V88" s="153">
        <f>T88+S88*EERR!$D$2</f>
        <v>820902</v>
      </c>
      <c r="W88" s="148">
        <f ca="1">SUMIF(Siteminder!$A$5:$L$164,Abr!G88,Siteminder!$P$5:$P$164)</f>
        <v>6</v>
      </c>
      <c r="X88" s="267">
        <f>SUMIF(Transbank!$A$2:$A$470,B88,Transbank!$L$2:$L$470)+SUMIF(Transbank!$A$2:$A$470,C88,Transbank!$L$2:$L$470)+SUMIF(Transbank!$A$2:$A$470,D88,Transbank!$L$2:$L$470)+(K88+O88)+(L88+P88)*EERR!$D$2</f>
        <v>820959.4</v>
      </c>
      <c r="Y88" s="269">
        <f>X88/EERR!$D$2</f>
        <v>1230.0860053940667</v>
      </c>
      <c r="Z88" s="277">
        <f t="shared" si="14"/>
        <v>57.400000000023283</v>
      </c>
    </row>
    <row r="89" spans="1:26" s="148" customFormat="1" x14ac:dyDescent="0.25">
      <c r="A89" s="260">
        <v>3868</v>
      </c>
      <c r="B89" s="297">
        <v>1093</v>
      </c>
      <c r="C89" s="297">
        <v>1243</v>
      </c>
      <c r="D89" s="297"/>
      <c r="E89" s="261" t="s">
        <v>925</v>
      </c>
      <c r="F89" s="261" t="s">
        <v>230</v>
      </c>
      <c r="G89" s="261">
        <v>1165655652</v>
      </c>
      <c r="H89" s="262">
        <v>43563</v>
      </c>
      <c r="I89" s="262">
        <v>43567</v>
      </c>
      <c r="J89" s="261">
        <v>4</v>
      </c>
      <c r="K89" s="263"/>
      <c r="L89" s="264"/>
      <c r="M89" s="263"/>
      <c r="N89" s="263">
        <v>615</v>
      </c>
      <c r="O89" s="263"/>
      <c r="P89" s="263"/>
      <c r="Q89" s="263"/>
      <c r="R89" s="263">
        <v>205</v>
      </c>
      <c r="S89" s="153">
        <f t="shared" si="17"/>
        <v>820</v>
      </c>
      <c r="T89" s="153">
        <f t="shared" si="18"/>
        <v>0</v>
      </c>
      <c r="U89" s="151">
        <f>IF(J89=0,(S89+T89/EERR!$D$2/1.19),(S89+T89/EERR!$D$2/1.19)/J89)</f>
        <v>205</v>
      </c>
      <c r="V89" s="153">
        <f>T89+S89*EERR!$D$2</f>
        <v>547268</v>
      </c>
      <c r="W89" s="148">
        <f ca="1">SUMIF(Siteminder!$A$5:$L$164,Abr!G89,Siteminder!$P$5:$P$164)</f>
        <v>4</v>
      </c>
      <c r="X89" s="267">
        <f>SUMIF(Transbank!$A$2:$A$470,B89,Transbank!$L$2:$L$470)+SUMIF(Transbank!$A$2:$A$470,C89,Transbank!$L$2:$L$470)+SUMIF(Transbank!$A$2:$A$470,D89,Transbank!$L$2:$L$470)+(K89+O89)+(L89+P89)*EERR!$D$2</f>
        <v>547325.4</v>
      </c>
      <c r="Y89" s="269">
        <f>X89/EERR!$D$2</f>
        <v>820.08600539406655</v>
      </c>
      <c r="Z89" s="277">
        <f t="shared" si="14"/>
        <v>57.400000000023283</v>
      </c>
    </row>
    <row r="90" spans="1:26" s="148" customFormat="1" x14ac:dyDescent="0.25">
      <c r="A90" s="260">
        <v>3872</v>
      </c>
      <c r="B90" s="297">
        <v>1109</v>
      </c>
      <c r="C90" s="297">
        <v>1248</v>
      </c>
      <c r="D90" s="297"/>
      <c r="E90" s="261" t="s">
        <v>926</v>
      </c>
      <c r="F90" s="261" t="s">
        <v>230</v>
      </c>
      <c r="G90" s="261">
        <v>1169945205</v>
      </c>
      <c r="H90" s="262">
        <v>43566</v>
      </c>
      <c r="I90" s="262">
        <v>43568</v>
      </c>
      <c r="J90" s="261">
        <v>2</v>
      </c>
      <c r="K90" s="263"/>
      <c r="L90" s="264"/>
      <c r="M90" s="263"/>
      <c r="N90" s="263">
        <v>205</v>
      </c>
      <c r="O90" s="263"/>
      <c r="P90" s="263"/>
      <c r="Q90" s="263"/>
      <c r="R90" s="263">
        <v>205</v>
      </c>
      <c r="S90" s="153">
        <f t="shared" si="17"/>
        <v>410</v>
      </c>
      <c r="T90" s="153">
        <f t="shared" si="18"/>
        <v>0</v>
      </c>
      <c r="U90" s="151">
        <f>IF(J90=0,(S90+T90/EERR!$D$2/1.19),(S90+T90/EERR!$D$2/1.19)/J90)</f>
        <v>205</v>
      </c>
      <c r="V90" s="153">
        <f>T90+S90*EERR!$D$2</f>
        <v>273634</v>
      </c>
      <c r="W90" s="148">
        <f ca="1">SUMIF(Siteminder!$A$5:$L$164,Abr!G90,Siteminder!$P$5:$P$164)</f>
        <v>2</v>
      </c>
      <c r="X90" s="267">
        <f>SUMIF(Transbank!$A$2:$A$470,B90,Transbank!$L$2:$L$470)+SUMIF(Transbank!$A$2:$A$470,C90,Transbank!$L$2:$L$470)+SUMIF(Transbank!$A$2:$A$470,D90,Transbank!$L$2:$L$470)+(K90+O90)+(L90+P90)*EERR!$D$2</f>
        <v>273691.40000000002</v>
      </c>
      <c r="Y90" s="269">
        <f>X90/EERR!$D$2</f>
        <v>410.0860053940666</v>
      </c>
      <c r="Z90" s="277">
        <f t="shared" si="14"/>
        <v>57.400000000023283</v>
      </c>
    </row>
    <row r="91" spans="1:26" s="148" customFormat="1" x14ac:dyDescent="0.25">
      <c r="A91" s="260">
        <v>3874</v>
      </c>
      <c r="B91" s="297">
        <v>1122</v>
      </c>
      <c r="C91" s="297"/>
      <c r="D91" s="297"/>
      <c r="E91" s="261" t="s">
        <v>927</v>
      </c>
      <c r="F91" s="261" t="s">
        <v>230</v>
      </c>
      <c r="G91" s="261">
        <v>1218251540</v>
      </c>
      <c r="H91" s="262">
        <v>43567</v>
      </c>
      <c r="I91" s="262">
        <v>43568</v>
      </c>
      <c r="J91" s="261">
        <v>1</v>
      </c>
      <c r="K91" s="263"/>
      <c r="L91" s="264"/>
      <c r="M91" s="263"/>
      <c r="N91" s="263"/>
      <c r="O91" s="263"/>
      <c r="P91" s="263"/>
      <c r="Q91" s="263"/>
      <c r="R91" s="263">
        <v>195</v>
      </c>
      <c r="S91" s="153">
        <f t="shared" si="17"/>
        <v>195</v>
      </c>
      <c r="T91" s="153">
        <f t="shared" si="18"/>
        <v>0</v>
      </c>
      <c r="U91" s="151">
        <f>IF(J91=0,(S91+T91/EERR!$D$2/1.19),(S91+T91/EERR!$D$2/1.19)/J91)</f>
        <v>195</v>
      </c>
      <c r="V91" s="153">
        <f>T91+S91*EERR!$D$2</f>
        <v>130143</v>
      </c>
      <c r="W91" s="148">
        <f ca="1">SUMIF(Siteminder!$A$5:$L$164,Abr!G91,Siteminder!$P$5:$P$164)</f>
        <v>1</v>
      </c>
      <c r="X91" s="267">
        <f>SUMIF(Transbank!$A$2:$A$470,B91,Transbank!$L$2:$L$470)+SUMIF(Transbank!$A$2:$A$470,C91,Transbank!$L$2:$L$470)+SUMIF(Transbank!$A$2:$A$470,D91,Transbank!$L$2:$L$470)+(K91+O91)+(L91+P91)*EERR!$D$2</f>
        <v>130197.59999999999</v>
      </c>
      <c r="Y91" s="269">
        <f>X91/EERR!$D$2</f>
        <v>195.08181000899012</v>
      </c>
      <c r="Z91" s="277">
        <f t="shared" si="14"/>
        <v>54.599999999991269</v>
      </c>
    </row>
    <row r="92" spans="1:26" s="148" customFormat="1" x14ac:dyDescent="0.25">
      <c r="A92" s="260">
        <v>3885</v>
      </c>
      <c r="B92" s="297">
        <v>1261</v>
      </c>
      <c r="C92" s="297"/>
      <c r="D92" s="297"/>
      <c r="E92" s="261" t="s">
        <v>928</v>
      </c>
      <c r="F92" s="261" t="s">
        <v>230</v>
      </c>
      <c r="G92" s="261">
        <v>1239166567</v>
      </c>
      <c r="H92" s="262">
        <v>43571</v>
      </c>
      <c r="I92" s="262">
        <v>43572</v>
      </c>
      <c r="J92" s="261">
        <v>1</v>
      </c>
      <c r="K92" s="263"/>
      <c r="L92" s="264"/>
      <c r="M92" s="263"/>
      <c r="N92" s="263"/>
      <c r="O92" s="263"/>
      <c r="P92" s="263"/>
      <c r="Q92" s="263"/>
      <c r="R92" s="263">
        <v>195</v>
      </c>
      <c r="S92" s="153">
        <f t="shared" si="17"/>
        <v>195</v>
      </c>
      <c r="T92" s="153">
        <f t="shared" si="18"/>
        <v>0</v>
      </c>
      <c r="U92" s="151">
        <f>IF(J92=0,(S92+T92/EERR!$D$2/1.19),(S92+T92/EERR!$D$2/1.19)/J92)</f>
        <v>195</v>
      </c>
      <c r="V92" s="153">
        <f>T92+S92*EERR!$D$2</f>
        <v>130143</v>
      </c>
      <c r="W92" s="148">
        <f ca="1">SUMIF(Siteminder!$A$5:$L$164,Abr!G92,Siteminder!$P$5:$P$164)</f>
        <v>1</v>
      </c>
      <c r="X92" s="267">
        <f>SUMIF(Transbank!$A$2:$A$470,B92,Transbank!$L$2:$L$470)+SUMIF(Transbank!$A$2:$A$470,C92,Transbank!$L$2:$L$470)+SUMIF(Transbank!$A$2:$A$470,D92,Transbank!$L$2:$L$470)+(K92+O92)+(L92+P92)*EERR!$D$2</f>
        <v>130143</v>
      </c>
      <c r="Y92" s="269">
        <f>X92/EERR!$D$2</f>
        <v>195</v>
      </c>
      <c r="Z92" s="277">
        <f t="shared" si="14"/>
        <v>0</v>
      </c>
    </row>
    <row r="93" spans="1:26" s="148" customFormat="1" x14ac:dyDescent="0.25">
      <c r="A93" s="260">
        <v>3887</v>
      </c>
      <c r="B93" s="297">
        <v>1253</v>
      </c>
      <c r="C93" s="297">
        <v>1264</v>
      </c>
      <c r="D93" s="297"/>
      <c r="E93" s="261" t="s">
        <v>929</v>
      </c>
      <c r="F93" s="261" t="s">
        <v>230</v>
      </c>
      <c r="G93" s="261">
        <v>1237452458</v>
      </c>
      <c r="H93" s="262">
        <v>43573</v>
      </c>
      <c r="I93" s="262">
        <v>43575</v>
      </c>
      <c r="J93" s="261">
        <v>2</v>
      </c>
      <c r="K93" s="263"/>
      <c r="L93" s="264"/>
      <c r="M93" s="263"/>
      <c r="N93" s="263">
        <v>205</v>
      </c>
      <c r="O93" s="263"/>
      <c r="P93" s="263"/>
      <c r="Q93" s="263"/>
      <c r="R93" s="263">
        <v>195</v>
      </c>
      <c r="S93" s="153">
        <f t="shared" si="17"/>
        <v>400</v>
      </c>
      <c r="T93" s="153">
        <f t="shared" si="18"/>
        <v>0</v>
      </c>
      <c r="U93" s="151">
        <f>IF(J93=0,(S93+T93/EERR!$D$2/1.19),(S93+T93/EERR!$D$2/1.19)/J93)</f>
        <v>200</v>
      </c>
      <c r="V93" s="153">
        <f>T93+S93*EERR!$D$2</f>
        <v>266960</v>
      </c>
      <c r="W93" s="148">
        <f ca="1">SUMIF(Siteminder!$A$5:$L$164,Abr!G93,Siteminder!$P$5:$P$164)</f>
        <v>2</v>
      </c>
      <c r="X93" s="267">
        <f>SUMIF(Transbank!$A$2:$A$470,B93,Transbank!$L$2:$L$470)+SUMIF(Transbank!$A$2:$A$470,C93,Transbank!$L$2:$L$470)+SUMIF(Transbank!$A$2:$A$470,D93,Transbank!$L$2:$L$470)+(K93+O93)+(L93+P93)*EERR!$D$2</f>
        <v>266960</v>
      </c>
      <c r="Y93" s="269">
        <f>X93/EERR!$D$2</f>
        <v>400</v>
      </c>
      <c r="Z93" s="277">
        <f t="shared" si="14"/>
        <v>0</v>
      </c>
    </row>
    <row r="94" spans="1:26" s="148" customFormat="1" x14ac:dyDescent="0.25">
      <c r="A94" s="260">
        <v>3890</v>
      </c>
      <c r="B94" s="297">
        <v>1147</v>
      </c>
      <c r="C94" s="297"/>
      <c r="D94" s="297"/>
      <c r="E94" s="261" t="s">
        <v>930</v>
      </c>
      <c r="F94" s="261" t="s">
        <v>230</v>
      </c>
      <c r="G94" s="261">
        <v>1208619161</v>
      </c>
      <c r="H94" s="262">
        <v>43573</v>
      </c>
      <c r="I94" s="262">
        <v>43574</v>
      </c>
      <c r="J94" s="261">
        <v>1</v>
      </c>
      <c r="K94" s="263"/>
      <c r="L94" s="264"/>
      <c r="M94" s="263"/>
      <c r="N94" s="263"/>
      <c r="O94" s="263"/>
      <c r="P94" s="263"/>
      <c r="Q94" s="263"/>
      <c r="R94" s="263">
        <v>205</v>
      </c>
      <c r="S94" s="153">
        <f t="shared" si="17"/>
        <v>205</v>
      </c>
      <c r="T94" s="153">
        <f t="shared" si="18"/>
        <v>0</v>
      </c>
      <c r="U94" s="151">
        <f>IF(J94=0,(S94+T94/EERR!$D$2/1.19),(S94+T94/EERR!$D$2/1.19)/J94)</f>
        <v>205</v>
      </c>
      <c r="V94" s="153">
        <f>T94+S94*EERR!$D$2</f>
        <v>136817</v>
      </c>
      <c r="W94" s="148">
        <f ca="1">SUMIF(Siteminder!$A$5:$L$164,Abr!G94,Siteminder!$P$5:$P$164)</f>
        <v>1</v>
      </c>
      <c r="X94" s="267">
        <f>SUMIF(Transbank!$A$2:$A$470,B94,Transbank!$L$2:$L$470)+SUMIF(Transbank!$A$2:$A$470,C94,Transbank!$L$2:$L$470)+SUMIF(Transbank!$A$2:$A$470,D94,Transbank!$L$2:$L$470)+(K94+O94)+(L94+P94)*EERR!$D$2</f>
        <v>136874.4</v>
      </c>
      <c r="Y94" s="269">
        <f>X94/EERR!$D$2</f>
        <v>205.08600539406652</v>
      </c>
      <c r="Z94" s="277">
        <f t="shared" si="14"/>
        <v>57.399999999994179</v>
      </c>
    </row>
    <row r="95" spans="1:26" s="148" customFormat="1" x14ac:dyDescent="0.25">
      <c r="A95" s="260">
        <v>3891</v>
      </c>
      <c r="B95" s="297">
        <v>1148</v>
      </c>
      <c r="C95" s="297">
        <v>1266</v>
      </c>
      <c r="D95" s="297"/>
      <c r="E95" s="261" t="s">
        <v>930</v>
      </c>
      <c r="F95" s="261" t="s">
        <v>230</v>
      </c>
      <c r="G95" s="261">
        <v>1177741958</v>
      </c>
      <c r="H95" s="262">
        <v>43574</v>
      </c>
      <c r="I95" s="262">
        <v>43577</v>
      </c>
      <c r="J95" s="261">
        <v>3</v>
      </c>
      <c r="K95" s="263"/>
      <c r="L95" s="264"/>
      <c r="M95" s="263"/>
      <c r="N95" s="263">
        <v>460</v>
      </c>
      <c r="O95" s="263"/>
      <c r="P95" s="263"/>
      <c r="Q95" s="263"/>
      <c r="R95" s="263">
        <v>230</v>
      </c>
      <c r="S95" s="153">
        <f t="shared" si="17"/>
        <v>690</v>
      </c>
      <c r="T95" s="153">
        <f t="shared" si="18"/>
        <v>0</v>
      </c>
      <c r="U95" s="151">
        <f>IF(J95=0,(S95+T95/EERR!$D$2/1.19),(S95+T95/EERR!$D$2/1.19)/J95)</f>
        <v>230</v>
      </c>
      <c r="V95" s="153">
        <f>T95+S95*EERR!$D$2</f>
        <v>460506</v>
      </c>
      <c r="W95" s="148">
        <f ca="1">SUMIF(Siteminder!$A$5:$L$164,Abr!G95,Siteminder!$P$5:$P$164)</f>
        <v>3</v>
      </c>
      <c r="X95" s="267">
        <f>SUMIF(Transbank!$A$2:$A$470,B95,Transbank!$L$2:$L$470)+SUMIF(Transbank!$A$2:$A$470,C95,Transbank!$L$2:$L$470)+SUMIF(Transbank!$A$2:$A$470,D95,Transbank!$L$2:$L$470)+(K95+O95)+(L95+P95)*EERR!$D$2</f>
        <v>460570.4</v>
      </c>
      <c r="Y95" s="269">
        <f>X95/EERR!$D$2</f>
        <v>690.09649385675766</v>
      </c>
      <c r="Z95" s="277">
        <f t="shared" si="14"/>
        <v>64.400000000023283</v>
      </c>
    </row>
    <row r="96" spans="1:26" s="148" customFormat="1" x14ac:dyDescent="0.25">
      <c r="A96" s="260">
        <v>3903</v>
      </c>
      <c r="B96" s="297">
        <v>1176</v>
      </c>
      <c r="C96" s="297">
        <v>1290</v>
      </c>
      <c r="D96" s="297"/>
      <c r="E96" s="261" t="s">
        <v>931</v>
      </c>
      <c r="F96" s="261" t="s">
        <v>230</v>
      </c>
      <c r="G96" s="261">
        <v>1059211488</v>
      </c>
      <c r="H96" s="262">
        <v>43576</v>
      </c>
      <c r="I96" s="262">
        <v>43580</v>
      </c>
      <c r="J96" s="261">
        <v>4</v>
      </c>
      <c r="K96" s="263"/>
      <c r="L96" s="264"/>
      <c r="M96" s="263"/>
      <c r="N96" s="263">
        <v>615</v>
      </c>
      <c r="O96" s="263"/>
      <c r="P96" s="263"/>
      <c r="Q96" s="263"/>
      <c r="R96" s="263">
        <v>230</v>
      </c>
      <c r="S96" s="153">
        <f t="shared" si="17"/>
        <v>845</v>
      </c>
      <c r="T96" s="153">
        <f t="shared" si="18"/>
        <v>0</v>
      </c>
      <c r="U96" s="151">
        <f>IF(J96=0,(S96+T96/EERR!$D$2/1.19),(S96+T96/EERR!$D$2/1.19)/J96)</f>
        <v>211.25</v>
      </c>
      <c r="V96" s="153">
        <f>T96+S96*EERR!$D$2</f>
        <v>563953</v>
      </c>
      <c r="W96" s="148">
        <f ca="1">SUMIF(Siteminder!$A$5:$L$164,Abr!G96,Siteminder!$P$5:$P$164)</f>
        <v>4</v>
      </c>
      <c r="X96" s="267">
        <f>SUMIF(Transbank!$A$2:$A$470,B96,Transbank!$L$2:$L$470)+SUMIF(Transbank!$A$2:$A$470,C96,Transbank!$L$2:$L$470)+SUMIF(Transbank!$A$2:$A$470,D96,Transbank!$L$2:$L$470)+(K96+O96)+(L96+P96)*EERR!$D$2</f>
        <v>564017.4</v>
      </c>
      <c r="Y96" s="269">
        <f>X96/EERR!$D$2</f>
        <v>845.09649385675766</v>
      </c>
      <c r="Z96" s="277">
        <f t="shared" si="14"/>
        <v>64.400000000023283</v>
      </c>
    </row>
    <row r="97" spans="1:26" s="148" customFormat="1" x14ac:dyDescent="0.25">
      <c r="A97" s="260">
        <v>3904</v>
      </c>
      <c r="B97" s="297">
        <v>1175</v>
      </c>
      <c r="C97" s="297">
        <v>1291</v>
      </c>
      <c r="D97" s="297"/>
      <c r="E97" s="261" t="s">
        <v>932</v>
      </c>
      <c r="F97" s="261" t="s">
        <v>230</v>
      </c>
      <c r="G97" s="261">
        <v>1059211484</v>
      </c>
      <c r="H97" s="262">
        <v>43576</v>
      </c>
      <c r="I97" s="262">
        <v>43580</v>
      </c>
      <c r="J97" s="261">
        <v>4</v>
      </c>
      <c r="K97" s="263"/>
      <c r="L97" s="264"/>
      <c r="M97" s="263"/>
      <c r="N97" s="263">
        <v>615</v>
      </c>
      <c r="O97" s="263"/>
      <c r="P97" s="263"/>
      <c r="Q97" s="263"/>
      <c r="R97" s="263">
        <v>230</v>
      </c>
      <c r="S97" s="153">
        <f t="shared" si="17"/>
        <v>845</v>
      </c>
      <c r="T97" s="153">
        <f t="shared" si="18"/>
        <v>0</v>
      </c>
      <c r="U97" s="151">
        <f>IF(J97=0,(S97+T97/EERR!$D$2/1.19),(S97+T97/EERR!$D$2/1.19)/J97)</f>
        <v>211.25</v>
      </c>
      <c r="V97" s="153">
        <f>T97+S97*EERR!$D$2</f>
        <v>563953</v>
      </c>
      <c r="W97" s="148">
        <f ca="1">SUMIF(Siteminder!$A$5:$L$164,Abr!G97,Siteminder!$P$5:$P$164)</f>
        <v>4</v>
      </c>
      <c r="X97" s="267">
        <f>SUMIF(Transbank!$A$2:$A$470,B97,Transbank!$L$2:$L$470)+SUMIF(Transbank!$A$2:$A$470,C97,Transbank!$L$2:$L$470)+SUMIF(Transbank!$A$2:$A$470,D97,Transbank!$L$2:$L$470)+(K97+O97)+(L97+P97)*EERR!$D$2</f>
        <v>564017.4</v>
      </c>
      <c r="Y97" s="269">
        <f>X97/EERR!$D$2</f>
        <v>845.09649385675766</v>
      </c>
      <c r="Z97" s="277">
        <f t="shared" si="14"/>
        <v>64.400000000023283</v>
      </c>
    </row>
    <row r="98" spans="1:26" s="148" customFormat="1" x14ac:dyDescent="0.25">
      <c r="A98" s="260">
        <v>3907</v>
      </c>
      <c r="B98" s="297">
        <v>1203</v>
      </c>
      <c r="C98" s="297">
        <v>1300</v>
      </c>
      <c r="D98" s="297"/>
      <c r="E98" s="261" t="s">
        <v>933</v>
      </c>
      <c r="F98" s="261" t="s">
        <v>230</v>
      </c>
      <c r="G98" s="261">
        <v>1228006125</v>
      </c>
      <c r="H98" s="262">
        <v>43579</v>
      </c>
      <c r="I98" s="262">
        <v>43582</v>
      </c>
      <c r="J98" s="261">
        <v>3</v>
      </c>
      <c r="K98" s="263"/>
      <c r="L98" s="264"/>
      <c r="M98" s="263"/>
      <c r="N98" s="263">
        <v>390</v>
      </c>
      <c r="O98" s="263"/>
      <c r="P98" s="263"/>
      <c r="Q98" s="263"/>
      <c r="R98" s="263">
        <v>195</v>
      </c>
      <c r="S98" s="153">
        <f t="shared" si="17"/>
        <v>585</v>
      </c>
      <c r="T98" s="153">
        <f t="shared" si="18"/>
        <v>0</v>
      </c>
      <c r="U98" s="151">
        <f>IF(J98=0,(S98+T98/EERR!$D$2/1.19),(S98+T98/EERR!$D$2/1.19)/J98)</f>
        <v>195</v>
      </c>
      <c r="V98" s="153">
        <f>T98+S98*EERR!$D$2</f>
        <v>390429</v>
      </c>
      <c r="W98" s="148">
        <f ca="1">SUMIF(Siteminder!$A$5:$L$164,Abr!G98,Siteminder!$P$5:$P$164)</f>
        <v>3</v>
      </c>
      <c r="X98" s="267">
        <f>SUMIF(Transbank!$A$2:$A$470,B98,Transbank!$L$2:$L$470)+SUMIF(Transbank!$A$2:$A$470,C98,Transbank!$L$2:$L$470)+SUMIF(Transbank!$A$2:$A$470,D98,Transbank!$L$2:$L$470)+(K98+O98)+(L98+P98)*EERR!$D$2</f>
        <v>390483.6</v>
      </c>
      <c r="Y98" s="269">
        <f>X98/EERR!$D$2</f>
        <v>585.08181000899015</v>
      </c>
      <c r="Z98" s="277">
        <f t="shared" si="14"/>
        <v>54.599999999976717</v>
      </c>
    </row>
    <row r="99" spans="1:26" s="148" customFormat="1" x14ac:dyDescent="0.25">
      <c r="A99" s="260">
        <v>3914</v>
      </c>
      <c r="B99" s="297">
        <v>1191</v>
      </c>
      <c r="C99" s="297"/>
      <c r="D99" s="297"/>
      <c r="E99" s="261" t="s">
        <v>934</v>
      </c>
      <c r="F99" s="261" t="s">
        <v>230</v>
      </c>
      <c r="G99" s="261">
        <v>1060860959</v>
      </c>
      <c r="H99" s="262">
        <v>43582</v>
      </c>
      <c r="I99" s="262">
        <v>43583</v>
      </c>
      <c r="J99" s="261">
        <v>1</v>
      </c>
      <c r="K99" s="263"/>
      <c r="L99" s="264"/>
      <c r="M99" s="263"/>
      <c r="N99" s="263"/>
      <c r="O99" s="263"/>
      <c r="P99" s="263"/>
      <c r="Q99" s="263"/>
      <c r="R99" s="263">
        <v>205</v>
      </c>
      <c r="S99" s="153">
        <f t="shared" si="17"/>
        <v>205</v>
      </c>
      <c r="T99" s="153">
        <f t="shared" si="18"/>
        <v>0</v>
      </c>
      <c r="U99" s="151">
        <f>IF(J99=0,(S99+T99/EERR!$D$2/1.19),(S99+T99/EERR!$D$2/1.19)/J99)</f>
        <v>205</v>
      </c>
      <c r="V99" s="153">
        <f>T99+S99*EERR!$D$2</f>
        <v>136817</v>
      </c>
      <c r="W99" s="148">
        <f ca="1">SUMIF(Siteminder!$A$5:$L$164,Abr!G99,Siteminder!$P$5:$P$164)</f>
        <v>1</v>
      </c>
      <c r="X99" s="267">
        <f>SUMIF(Transbank!$A$2:$A$470,B99,Transbank!$L$2:$L$470)+SUMIF(Transbank!$A$2:$A$470,C99,Transbank!$L$2:$L$470)+SUMIF(Transbank!$A$2:$A$470,D99,Transbank!$L$2:$L$470)+(K99+O99)+(L99+P99)*EERR!$D$2</f>
        <v>136874.4</v>
      </c>
      <c r="Y99" s="269">
        <f>X99/EERR!$D$2</f>
        <v>205.08600539406652</v>
      </c>
      <c r="Z99" s="277">
        <f t="shared" si="14"/>
        <v>57.399999999994179</v>
      </c>
    </row>
    <row r="100" spans="1:26" s="148" customFormat="1" x14ac:dyDescent="0.25">
      <c r="A100" s="260">
        <v>3915</v>
      </c>
      <c r="B100" s="297">
        <v>1190</v>
      </c>
      <c r="C100" s="297"/>
      <c r="D100" s="297"/>
      <c r="E100" s="261" t="s">
        <v>932</v>
      </c>
      <c r="F100" s="261" t="s">
        <v>230</v>
      </c>
      <c r="G100" s="261">
        <v>1060860958</v>
      </c>
      <c r="H100" s="262">
        <v>43582</v>
      </c>
      <c r="I100" s="262">
        <v>43583</v>
      </c>
      <c r="J100" s="261">
        <v>1</v>
      </c>
      <c r="K100" s="263"/>
      <c r="L100" s="264"/>
      <c r="M100" s="263"/>
      <c r="N100" s="263"/>
      <c r="O100" s="263"/>
      <c r="P100" s="263"/>
      <c r="Q100" s="263"/>
      <c r="R100" s="263">
        <v>205</v>
      </c>
      <c r="S100" s="153">
        <f t="shared" ref="S100:S101" si="19">L100+N100+P100+R100</f>
        <v>205</v>
      </c>
      <c r="T100" s="153">
        <f t="shared" ref="T100:T101" si="20">M100+O100+K100+Q100</f>
        <v>0</v>
      </c>
      <c r="U100" s="151">
        <f>IF(J100=0,(S100+T100/EERR!$D$2/1.19),(S100+T100/EERR!$D$2/1.19)/J100)</f>
        <v>205</v>
      </c>
      <c r="V100" s="153">
        <f>T100+S100*EERR!$D$2</f>
        <v>136817</v>
      </c>
      <c r="W100" s="148">
        <f ca="1">SUMIF(Siteminder!$A$5:$L$164,Abr!G100,Siteminder!$P$5:$P$164)</f>
        <v>1</v>
      </c>
      <c r="X100" s="267">
        <f>SUMIF(Transbank!$A$2:$A$470,B100,Transbank!$L$2:$L$470)+SUMIF(Transbank!$A$2:$A$470,C100,Transbank!$L$2:$L$470)+SUMIF(Transbank!$A$2:$A$470,D100,Transbank!$L$2:$L$470)+(K100+O100)+(L100+P100)*EERR!$D$2</f>
        <v>136874.4</v>
      </c>
      <c r="Y100" s="269">
        <f>X100/EERR!$D$2</f>
        <v>205.08600539406652</v>
      </c>
      <c r="Z100" s="277">
        <f t="shared" si="14"/>
        <v>57.399999999994179</v>
      </c>
    </row>
    <row r="101" spans="1:26" s="148" customFormat="1" x14ac:dyDescent="0.25">
      <c r="A101" s="260">
        <v>3917</v>
      </c>
      <c r="B101" s="297">
        <v>1199</v>
      </c>
      <c r="C101" s="297"/>
      <c r="D101" s="297"/>
      <c r="E101" s="261" t="s">
        <v>935</v>
      </c>
      <c r="F101" s="261" t="s">
        <v>230</v>
      </c>
      <c r="G101" s="261">
        <v>1189814423</v>
      </c>
      <c r="H101" s="262">
        <v>43583</v>
      </c>
      <c r="I101" s="262">
        <v>43587</v>
      </c>
      <c r="J101" s="261">
        <v>4</v>
      </c>
      <c r="K101" s="263"/>
      <c r="L101" s="264">
        <v>615</v>
      </c>
      <c r="M101" s="263"/>
      <c r="N101" s="263"/>
      <c r="O101" s="263"/>
      <c r="P101" s="263"/>
      <c r="Q101" s="263"/>
      <c r="R101" s="263">
        <v>205</v>
      </c>
      <c r="S101" s="153">
        <f t="shared" si="19"/>
        <v>820</v>
      </c>
      <c r="T101" s="153">
        <f t="shared" si="20"/>
        <v>0</v>
      </c>
      <c r="U101" s="151">
        <f>IF(J101=0,(S101+T101/EERR!$D$2/1.19),(S101+T101/EERR!$D$2/1.19)/J101)</f>
        <v>205</v>
      </c>
      <c r="V101" s="153">
        <f>T101+S101*EERR!$D$2</f>
        <v>547268</v>
      </c>
      <c r="W101" s="148">
        <f ca="1">SUMIF(Siteminder!$A$5:$L$164,Abr!G101,Siteminder!$P$5:$P$164)</f>
        <v>4</v>
      </c>
      <c r="X101" s="267">
        <f>SUMIF(Transbank!$A$2:$A$470,B101,Transbank!$L$2:$L$470)+SUMIF(Transbank!$A$2:$A$470,C101,Transbank!$L$2:$L$470)+SUMIF(Transbank!$A$2:$A$470,D101,Transbank!$L$2:$L$470)+(K101+O101)+(L101+P101)*EERR!$D$2</f>
        <v>547325.4</v>
      </c>
      <c r="Y101" s="269">
        <f>X101/EERR!$D$2</f>
        <v>820.08600539406655</v>
      </c>
      <c r="Z101" s="277">
        <f t="shared" si="14"/>
        <v>57.400000000023283</v>
      </c>
    </row>
    <row r="102" spans="1:26" s="148" customFormat="1" x14ac:dyDescent="0.25">
      <c r="A102" s="260">
        <v>3918</v>
      </c>
      <c r="B102" s="297">
        <v>1198</v>
      </c>
      <c r="C102" s="297"/>
      <c r="D102" s="297"/>
      <c r="E102" s="261" t="s">
        <v>935</v>
      </c>
      <c r="F102" s="261" t="s">
        <v>230</v>
      </c>
      <c r="G102" s="261">
        <v>1189814425</v>
      </c>
      <c r="H102" s="262">
        <v>43583</v>
      </c>
      <c r="I102" s="262">
        <v>43587</v>
      </c>
      <c r="J102" s="261">
        <v>4</v>
      </c>
      <c r="K102" s="263"/>
      <c r="L102" s="264">
        <v>615</v>
      </c>
      <c r="M102" s="263"/>
      <c r="N102" s="263"/>
      <c r="O102" s="263"/>
      <c r="P102" s="263"/>
      <c r="Q102" s="263"/>
      <c r="R102" s="263">
        <v>205</v>
      </c>
      <c r="S102" s="153">
        <f t="shared" ref="S102" si="21">L102+N102+P102+R102</f>
        <v>820</v>
      </c>
      <c r="T102" s="153">
        <f t="shared" ref="T102" si="22">M102+O102+K102+Q102</f>
        <v>0</v>
      </c>
      <c r="U102" s="151">
        <f>IF(J102=0,(S102+T102/EERR!$D$2/1.19),(S102+T102/EERR!$D$2/1.19)/J102)</f>
        <v>205</v>
      </c>
      <c r="V102" s="153">
        <f>T102+S102*EERR!$D$2</f>
        <v>547268</v>
      </c>
      <c r="W102" s="148">
        <f ca="1">SUMIF(Siteminder!$A$5:$L$164,Abr!G102,Siteminder!$P$5:$P$164)</f>
        <v>4</v>
      </c>
      <c r="X102" s="267">
        <f>SUMIF(Transbank!$A$2:$A$470,B102,Transbank!$L$2:$L$470)+SUMIF(Transbank!$A$2:$A$470,C102,Transbank!$L$2:$L$470)+SUMIF(Transbank!$A$2:$A$470,D102,Transbank!$L$2:$L$470)+(K102+O102)+(L102+P102)*EERR!$D$2</f>
        <v>547325.4</v>
      </c>
      <c r="Y102" s="269">
        <f>X102/EERR!$D$2</f>
        <v>820.08600539406655</v>
      </c>
      <c r="Z102" s="277">
        <f t="shared" si="14"/>
        <v>57.400000000023283</v>
      </c>
    </row>
    <row r="103" spans="1:26" s="148" customFormat="1" x14ac:dyDescent="0.25">
      <c r="A103" s="260"/>
      <c r="B103" s="297"/>
      <c r="C103" s="297"/>
      <c r="D103" s="297"/>
      <c r="E103" s="261"/>
      <c r="F103" s="261"/>
      <c r="G103" s="261"/>
      <c r="H103" s="262"/>
      <c r="I103" s="262"/>
      <c r="J103" s="261"/>
      <c r="K103" s="263"/>
      <c r="L103" s="264"/>
      <c r="M103" s="263"/>
      <c r="N103" s="263"/>
      <c r="O103" s="263"/>
      <c r="P103" s="263"/>
      <c r="Q103" s="263"/>
      <c r="R103" s="263"/>
      <c r="S103" s="153">
        <f t="shared" si="17"/>
        <v>0</v>
      </c>
      <c r="T103" s="153">
        <f t="shared" si="18"/>
        <v>0</v>
      </c>
      <c r="U103" s="151">
        <f>IF(J103=0,(S103+T103/EERR!$D$2/1.19),(S103+T103/EERR!$D$2/1.19)/J103)</f>
        <v>0</v>
      </c>
      <c r="V103" s="153">
        <f>T103+S103*EERR!$D$2</f>
        <v>0</v>
      </c>
      <c r="W103" s="148">
        <f ca="1">SUMIF(Siteminder!$A$5:$L$164,Abr!G103,Siteminder!$P$5:$P$164)</f>
        <v>0</v>
      </c>
      <c r="X103" s="267">
        <f>SUMIF(Transbank!$A$2:$A$470,B103,Transbank!$L$2:$L$470)+SUMIF(Transbank!$A$2:$A$470,C103,Transbank!$L$2:$L$470)+SUMIF(Transbank!$A$2:$A$470,D103,Transbank!$L$2:$L$470)+(K103+O103)+(L103+P103)*EERR!$D$2</f>
        <v>0</v>
      </c>
      <c r="Y103" s="269">
        <f>X103/EERR!$D$2</f>
        <v>0</v>
      </c>
      <c r="Z103" s="277">
        <f t="shared" si="14"/>
        <v>0</v>
      </c>
    </row>
    <row r="104" spans="1:26" s="148" customFormat="1" x14ac:dyDescent="0.25">
      <c r="A104" s="260"/>
      <c r="B104" s="297"/>
      <c r="C104" s="297"/>
      <c r="D104" s="297"/>
      <c r="E104" s="261"/>
      <c r="F104" s="261"/>
      <c r="G104" s="261"/>
      <c r="H104" s="262"/>
      <c r="I104" s="262"/>
      <c r="J104" s="261"/>
      <c r="K104" s="263"/>
      <c r="L104" s="264"/>
      <c r="M104" s="263"/>
      <c r="N104" s="263"/>
      <c r="O104" s="263"/>
      <c r="P104" s="263"/>
      <c r="Q104" s="263"/>
      <c r="R104" s="263"/>
      <c r="S104" s="153">
        <f t="shared" si="17"/>
        <v>0</v>
      </c>
      <c r="T104" s="153">
        <f>M104+O104+K104+Q104</f>
        <v>0</v>
      </c>
      <c r="U104" s="151">
        <f>IF(J104=0,(S104+T104/EERR!$D$2/1.19),(S104+T104/EERR!$D$2/1.19)/J104)</f>
        <v>0</v>
      </c>
      <c r="V104" s="153">
        <f>T104+S104*EERR!$D$2</f>
        <v>0</v>
      </c>
      <c r="W104" s="148">
        <f ca="1">SUMIF(Siteminder!$A$5:$L$164,Abr!G104,Siteminder!$P$5:$P$164)</f>
        <v>0</v>
      </c>
      <c r="X104" s="267">
        <f>SUMIF(Transbank!$A$2:$A$470,B104,Transbank!$L$2:$L$470)+SUMIF(Transbank!$A$2:$A$470,C104,Transbank!$L$2:$L$470)+SUMIF(Transbank!$A$2:$A$470,D104,Transbank!$L$2:$L$470)+(K104+O104)+(L104+P104)*EERR!$D$2</f>
        <v>0</v>
      </c>
      <c r="Y104" s="269">
        <f>X104/EERR!$D$2</f>
        <v>0</v>
      </c>
      <c r="Z104" s="277">
        <f t="shared" si="14"/>
        <v>0</v>
      </c>
    </row>
    <row r="105" spans="1:26" s="148" customFormat="1" x14ac:dyDescent="0.25">
      <c r="A105" s="260"/>
      <c r="B105" s="297"/>
      <c r="C105" s="297"/>
      <c r="D105" s="297"/>
      <c r="E105" s="261"/>
      <c r="F105" s="261"/>
      <c r="G105" s="261"/>
      <c r="H105" s="262"/>
      <c r="I105" s="262"/>
      <c r="J105" s="261"/>
      <c r="K105" s="263"/>
      <c r="L105" s="264"/>
      <c r="M105" s="263"/>
      <c r="N105" s="263"/>
      <c r="O105" s="263"/>
      <c r="P105" s="263"/>
      <c r="Q105" s="263"/>
      <c r="R105" s="263"/>
      <c r="S105" s="153">
        <f t="shared" si="17"/>
        <v>0</v>
      </c>
      <c r="T105" s="153">
        <f t="shared" si="18"/>
        <v>0</v>
      </c>
      <c r="U105" s="151">
        <f>IF(J105=0,(S105+T105/EERR!$D$2/1.19),(S105+T105/EERR!$D$2/1.19)/J105)</f>
        <v>0</v>
      </c>
      <c r="V105" s="153">
        <f>T105+S105*EERR!$D$2</f>
        <v>0</v>
      </c>
      <c r="W105" s="148">
        <f ca="1">SUMIF(Siteminder!$A$5:$L$164,Abr!G105,Siteminder!$P$5:$P$164)</f>
        <v>0</v>
      </c>
      <c r="X105" s="267">
        <f>SUMIF(Transbank!$A$2:$A$470,B105,Transbank!$L$2:$L$470)+SUMIF(Transbank!$A$2:$A$470,C105,Transbank!$L$2:$L$470)+SUMIF(Transbank!$A$2:$A$470,D105,Transbank!$L$2:$L$470)+(K105+O105)+(L105+P105)*EERR!$D$2</f>
        <v>0</v>
      </c>
      <c r="Y105" s="269">
        <f>X105/EERR!$D$2</f>
        <v>0</v>
      </c>
      <c r="Z105" s="277">
        <f t="shared" si="14"/>
        <v>0</v>
      </c>
    </row>
    <row r="106" spans="1:26" s="148" customFormat="1" x14ac:dyDescent="0.25">
      <c r="A106" s="260"/>
      <c r="B106" s="297"/>
      <c r="C106" s="297"/>
      <c r="D106" s="297"/>
      <c r="E106" s="261"/>
      <c r="F106" s="261"/>
      <c r="G106" s="261"/>
      <c r="H106" s="262"/>
      <c r="I106" s="262"/>
      <c r="J106" s="261"/>
      <c r="K106" s="263"/>
      <c r="L106" s="264"/>
      <c r="M106" s="263"/>
      <c r="N106" s="263"/>
      <c r="O106" s="263"/>
      <c r="P106" s="263"/>
      <c r="Q106" s="263"/>
      <c r="R106" s="263"/>
      <c r="S106" s="153">
        <f t="shared" si="17"/>
        <v>0</v>
      </c>
      <c r="T106" s="153">
        <f t="shared" si="18"/>
        <v>0</v>
      </c>
      <c r="U106" s="151">
        <f>IF(J106=0,(S106+T106/EERR!$D$2/1.19),(S106+T106/EERR!$D$2/1.19)/J106)</f>
        <v>0</v>
      </c>
      <c r="V106" s="153">
        <f>T106+S106*EERR!$D$2</f>
        <v>0</v>
      </c>
      <c r="W106" s="148">
        <f ca="1">SUMIF(Siteminder!$A$5:$L$164,Abr!G106,Siteminder!$P$5:$P$164)</f>
        <v>0</v>
      </c>
      <c r="X106" s="267">
        <f>SUMIF(Transbank!$A$2:$A$470,B106,Transbank!$L$2:$L$470)+SUMIF(Transbank!$A$2:$A$470,C106,Transbank!$L$2:$L$470)+SUMIF(Transbank!$A$2:$A$470,D106,Transbank!$L$2:$L$470)+(K106+O106)+(L106+P106)*EERR!$D$2</f>
        <v>0</v>
      </c>
      <c r="Y106" s="269">
        <f>X106/EERR!$D$2</f>
        <v>0</v>
      </c>
      <c r="Z106" s="277">
        <f t="shared" si="14"/>
        <v>0</v>
      </c>
    </row>
    <row r="107" spans="1:26" s="148" customFormat="1" x14ac:dyDescent="0.25">
      <c r="A107" s="260"/>
      <c r="B107" s="297"/>
      <c r="C107" s="297"/>
      <c r="D107" s="297"/>
      <c r="E107" s="261"/>
      <c r="F107" s="261"/>
      <c r="G107" s="261"/>
      <c r="H107" s="262"/>
      <c r="I107" s="262"/>
      <c r="J107" s="261"/>
      <c r="K107" s="263"/>
      <c r="L107" s="264"/>
      <c r="M107" s="263"/>
      <c r="N107" s="263"/>
      <c r="O107" s="263"/>
      <c r="P107" s="263"/>
      <c r="Q107" s="263"/>
      <c r="R107" s="263"/>
      <c r="S107" s="153">
        <f t="shared" si="17"/>
        <v>0</v>
      </c>
      <c r="T107" s="153">
        <f t="shared" si="18"/>
        <v>0</v>
      </c>
      <c r="U107" s="151">
        <f>IF(J107=0,(S107+T107/EERR!$D$2/1.19),(S107+T107/EERR!$D$2/1.19)/J107)</f>
        <v>0</v>
      </c>
      <c r="V107" s="153">
        <f>T107+S107*EERR!$D$2</f>
        <v>0</v>
      </c>
      <c r="W107" s="148">
        <f ca="1">SUMIF(Siteminder!$A$5:$L$164,Abr!G107,Siteminder!$P$5:$P$164)</f>
        <v>0</v>
      </c>
      <c r="X107" s="267">
        <f>SUMIF(Transbank!$A$2:$A$470,B107,Transbank!$L$2:$L$470)+SUMIF(Transbank!$A$2:$A$470,C107,Transbank!$L$2:$L$470)+SUMIF(Transbank!$A$2:$A$470,D107,Transbank!$L$2:$L$470)+(K107+O107)+(L107+P107)*EERR!$D$2</f>
        <v>0</v>
      </c>
      <c r="Y107" s="269">
        <f>X107/EERR!$D$2</f>
        <v>0</v>
      </c>
      <c r="Z107" s="277">
        <f t="shared" si="14"/>
        <v>0</v>
      </c>
    </row>
    <row r="108" spans="1:26" ht="12.75" x14ac:dyDescent="0.2">
      <c r="A108" s="244"/>
      <c r="B108" s="244"/>
      <c r="C108" s="244"/>
      <c r="D108" s="244"/>
      <c r="E108" s="244"/>
      <c r="F108" s="244"/>
      <c r="G108" s="244"/>
      <c r="H108" s="245"/>
      <c r="I108" s="245"/>
      <c r="J108" s="244">
        <f t="shared" ref="J108:P108" si="23">SUM(J85:J107)</f>
        <v>44</v>
      </c>
      <c r="K108" s="244">
        <f t="shared" si="23"/>
        <v>0</v>
      </c>
      <c r="L108" s="244">
        <f t="shared" si="23"/>
        <v>2230</v>
      </c>
      <c r="M108" s="244">
        <f t="shared" si="23"/>
        <v>0</v>
      </c>
      <c r="N108" s="244">
        <f t="shared" si="23"/>
        <v>3130</v>
      </c>
      <c r="O108" s="244">
        <f t="shared" si="23"/>
        <v>0</v>
      </c>
      <c r="P108" s="244">
        <f t="shared" si="23"/>
        <v>0</v>
      </c>
      <c r="Q108" s="244"/>
      <c r="R108" s="244"/>
      <c r="S108" s="250">
        <f>SUM(S85:S107)</f>
        <v>9085</v>
      </c>
      <c r="T108" s="250">
        <f>SUM(T85:T107)</f>
        <v>0</v>
      </c>
      <c r="U108" s="250">
        <f>IF(J108=0,(S108+T108/EERR!$D$2/1.19),(S108+T108/EERR!$D$2/1.19)/J108)</f>
        <v>206.47727272727272</v>
      </c>
      <c r="V108" s="250">
        <f>SUM(V85:V107)</f>
        <v>6063329</v>
      </c>
      <c r="W108" s="250">
        <f ca="1">SUM(W85:W107)</f>
        <v>44</v>
      </c>
      <c r="X108" s="250">
        <f>SUM(X85:X107)</f>
        <v>6064262.8000000007</v>
      </c>
      <c r="Y108" s="250"/>
    </row>
    <row r="109" spans="1:26" s="148" customFormat="1" x14ac:dyDescent="0.25">
      <c r="A109" s="149"/>
      <c r="B109" s="244"/>
      <c r="C109" s="244"/>
      <c r="D109" s="244"/>
      <c r="E109" s="149"/>
      <c r="F109" s="149"/>
      <c r="G109" s="149"/>
      <c r="H109" s="150"/>
      <c r="I109" s="150"/>
      <c r="J109" s="149"/>
      <c r="K109" s="151"/>
      <c r="L109" s="152"/>
      <c r="M109" s="151"/>
      <c r="N109" s="151"/>
      <c r="O109" s="151"/>
      <c r="P109" s="151"/>
      <c r="Q109" s="151"/>
      <c r="R109" s="151"/>
      <c r="S109" s="153"/>
      <c r="T109" s="153"/>
      <c r="U109" s="151">
        <f>IF(J109=0,(S109+T109/EERR!$D$2/1.19),(S109+T109/EERR!$D$2/1.19)/J109)</f>
        <v>0</v>
      </c>
      <c r="V109" s="149"/>
      <c r="X109" s="157"/>
      <c r="Y109" s="157"/>
    </row>
    <row r="110" spans="1:26" x14ac:dyDescent="0.25">
      <c r="A110" s="251"/>
      <c r="B110" s="298"/>
      <c r="C110" s="298"/>
      <c r="D110" s="298"/>
      <c r="E110" s="251" t="s">
        <v>251</v>
      </c>
      <c r="F110" s="251"/>
      <c r="G110" s="251"/>
      <c r="H110" s="252"/>
      <c r="I110" s="252"/>
      <c r="J110" s="251"/>
      <c r="K110" s="253"/>
      <c r="L110" s="254"/>
      <c r="M110" s="253"/>
      <c r="N110" s="253"/>
      <c r="O110" s="253"/>
      <c r="P110" s="253"/>
      <c r="Q110" s="253"/>
      <c r="R110" s="253"/>
      <c r="S110" s="255"/>
      <c r="T110" s="255">
        <f t="shared" ref="T110" si="24">M110+O110+K110</f>
        <v>0</v>
      </c>
      <c r="U110" s="253">
        <f>IF(J110=0,(S110+T110/EERR!$D$2/1.19),(S110+T110/EERR!$D$2/1.19)/J110)</f>
        <v>0</v>
      </c>
      <c r="V110" s="251"/>
      <c r="X110" s="157">
        <f>IF((M110+N110)&gt;0,SUMIF(Transbank!$A$2:$A$189,Abr!A110,Transbank!$L$2:$L$189),K110+(L110+Abr!P110)*EERR!$D$2+Abr!O110)</f>
        <v>0</v>
      </c>
      <c r="Y110" s="157">
        <f>X110/EERR!$D$2</f>
        <v>0</v>
      </c>
    </row>
    <row r="111" spans="1:26" x14ac:dyDescent="0.25">
      <c r="A111" s="244"/>
      <c r="B111" s="244"/>
      <c r="C111" s="244"/>
      <c r="D111" s="244"/>
      <c r="E111" s="244"/>
      <c r="F111" s="244"/>
      <c r="G111" s="244"/>
      <c r="H111" s="245"/>
      <c r="I111" s="245"/>
      <c r="J111" s="250">
        <f t="shared" ref="J111:T111" si="25">SUM(J110:J110)</f>
        <v>0</v>
      </c>
      <c r="K111" s="250">
        <f t="shared" si="25"/>
        <v>0</v>
      </c>
      <c r="L111" s="250">
        <f t="shared" si="25"/>
        <v>0</v>
      </c>
      <c r="M111" s="250">
        <f t="shared" si="25"/>
        <v>0</v>
      </c>
      <c r="N111" s="250">
        <f>SUM(N109:N110)</f>
        <v>0</v>
      </c>
      <c r="O111" s="250">
        <f t="shared" si="25"/>
        <v>0</v>
      </c>
      <c r="P111" s="250">
        <f t="shared" si="25"/>
        <v>0</v>
      </c>
      <c r="Q111" s="250"/>
      <c r="R111" s="250"/>
      <c r="S111" s="250">
        <f t="shared" si="25"/>
        <v>0</v>
      </c>
      <c r="T111" s="250">
        <f t="shared" si="25"/>
        <v>0</v>
      </c>
      <c r="U111" s="256"/>
      <c r="V111" s="250"/>
      <c r="W111" s="244"/>
      <c r="X111" s="257"/>
      <c r="Y111" s="257"/>
    </row>
    <row r="112" spans="1:26" x14ac:dyDescent="0.25">
      <c r="A112" s="244"/>
      <c r="B112" s="244"/>
      <c r="C112" s="244"/>
      <c r="D112" s="244"/>
      <c r="E112" s="258"/>
      <c r="F112" s="258"/>
      <c r="G112" s="258"/>
      <c r="H112" s="259">
        <f>H65+H84+H108</f>
        <v>0</v>
      </c>
      <c r="I112" s="259">
        <f>I65+I84+I108</f>
        <v>0</v>
      </c>
      <c r="J112" s="259">
        <f t="shared" ref="J112:S112" si="26">J65+J84+J108+J111</f>
        <v>245</v>
      </c>
      <c r="K112" s="259">
        <f t="shared" si="26"/>
        <v>0</v>
      </c>
      <c r="L112" s="259">
        <f t="shared" si="26"/>
        <v>5550</v>
      </c>
      <c r="M112" s="259">
        <f t="shared" si="26"/>
        <v>2550187</v>
      </c>
      <c r="N112" s="259">
        <f t="shared" si="26"/>
        <v>21920</v>
      </c>
      <c r="O112" s="259">
        <f t="shared" si="26"/>
        <v>316528</v>
      </c>
      <c r="P112" s="259">
        <f t="shared" si="26"/>
        <v>3919</v>
      </c>
      <c r="Q112" s="259">
        <f t="shared" si="26"/>
        <v>612934</v>
      </c>
      <c r="R112" s="259">
        <f t="shared" si="26"/>
        <v>954.75</v>
      </c>
      <c r="S112" s="259">
        <f t="shared" si="26"/>
        <v>45583.75</v>
      </c>
      <c r="T112" s="259">
        <f>(T65+T84+T108+T111)/1.19</f>
        <v>3493648.7394957985</v>
      </c>
      <c r="U112" s="259">
        <f>(U65*J65+U84*J84+U108*J108)/J112</f>
        <v>207.4223058074636</v>
      </c>
      <c r="V112" s="259">
        <f>V65+V84+V108</f>
        <v>34580036.75</v>
      </c>
      <c r="W112" s="259">
        <f ca="1">W65+W84+W108+W111</f>
        <v>244</v>
      </c>
      <c r="X112" s="257">
        <f>X65+X84+X108</f>
        <v>34385581.109999999</v>
      </c>
      <c r="Y112" s="257"/>
    </row>
    <row r="113" spans="1:25" ht="12.75" x14ac:dyDescent="0.2">
      <c r="A113" s="244"/>
      <c r="B113" s="244"/>
      <c r="C113" s="244"/>
      <c r="D113" s="244"/>
      <c r="E113" s="244"/>
      <c r="F113" s="244"/>
      <c r="G113" s="244"/>
      <c r="H113" s="250"/>
      <c r="I113" s="250"/>
      <c r="J113" s="250"/>
      <c r="K113" s="250">
        <f>(K112)/EERR!$D$2</f>
        <v>0</v>
      </c>
      <c r="L113" s="250">
        <f>L112</f>
        <v>5550</v>
      </c>
      <c r="M113" s="250">
        <f>(M112)/EERR!$D$2</f>
        <v>3821.0773149535512</v>
      </c>
      <c r="N113" s="250">
        <f>N112</f>
        <v>21920</v>
      </c>
      <c r="O113" s="250">
        <f>(O112)/EERR!$D$2</f>
        <v>474.27030266706623</v>
      </c>
      <c r="P113" s="250">
        <f>(P112)/EERR!$D$2</f>
        <v>5.8720407551693139</v>
      </c>
      <c r="Q113" s="250"/>
      <c r="R113" s="250"/>
      <c r="S113" s="250">
        <f>S112+S111</f>
        <v>45583.75</v>
      </c>
      <c r="T113" s="250">
        <f>(T112)/EERR!D2</f>
        <v>5234.7149228285862</v>
      </c>
      <c r="U113" s="250">
        <f>U112+U111</f>
        <v>207.4223058074636</v>
      </c>
      <c r="V113" s="250">
        <f>V112+V111</f>
        <v>34580036.75</v>
      </c>
      <c r="W113" s="250">
        <f>SUM(K113:V113)</f>
        <v>34662833.856887013</v>
      </c>
      <c r="X113" s="244"/>
      <c r="Y113" s="244"/>
    </row>
    <row r="114" spans="1:25" ht="12.75" x14ac:dyDescent="0.2">
      <c r="J114" s="239">
        <f>J112/300</f>
        <v>0.81666666666666665</v>
      </c>
      <c r="L114" s="38">
        <f>+L112+H118</f>
        <v>11700</v>
      </c>
      <c r="S114" s="351">
        <f>SUM(S113:T113)</f>
        <v>50818.464922828585</v>
      </c>
      <c r="T114" s="351"/>
    </row>
    <row r="115" spans="1:25" ht="12.75" x14ac:dyDescent="0.2">
      <c r="L115" s="35">
        <v>2730</v>
      </c>
      <c r="M115" s="35" t="s">
        <v>301</v>
      </c>
      <c r="S115" s="352">
        <f>S114*EERR!D2</f>
        <v>33916243.489495799</v>
      </c>
      <c r="T115" s="352">
        <f>S114*EERR!D2</f>
        <v>33916243.489495799</v>
      </c>
    </row>
    <row r="116" spans="1:25" ht="12.75" x14ac:dyDescent="0.2">
      <c r="H116" s="277">
        <f>+L112+P112</f>
        <v>9469</v>
      </c>
      <c r="K116" s="103">
        <f>K112/1.19</f>
        <v>0</v>
      </c>
      <c r="L116" s="35"/>
      <c r="M116" s="35" t="s">
        <v>270</v>
      </c>
      <c r="Y116" s="148">
        <f>36000*620</f>
        <v>22320000</v>
      </c>
    </row>
    <row r="117" spans="1:25" ht="12.75" x14ac:dyDescent="0.2">
      <c r="G117" s="36" t="s">
        <v>206</v>
      </c>
      <c r="H117" s="36" t="s">
        <v>207</v>
      </c>
      <c r="I117" s="36" t="s">
        <v>6</v>
      </c>
      <c r="J117" s="36" t="s">
        <v>45</v>
      </c>
      <c r="K117" s="36" t="s">
        <v>46</v>
      </c>
      <c r="L117" s="35"/>
      <c r="S117" s="39">
        <f>S112*689</f>
        <v>31407203.75</v>
      </c>
      <c r="T117" s="39">
        <f>T112*0.19</f>
        <v>663793.26050420175</v>
      </c>
    </row>
    <row r="118" spans="1:25" ht="12.75" x14ac:dyDescent="0.2">
      <c r="E118" s="29" t="s">
        <v>43</v>
      </c>
      <c r="F118" s="29"/>
      <c r="G118" s="30">
        <f>'BCI '!H173</f>
        <v>-1142263</v>
      </c>
      <c r="H118" s="238">
        <f>'BCI '!H174</f>
        <v>6150</v>
      </c>
      <c r="I118" s="37"/>
      <c r="J118" s="30">
        <f>(K113+L113)*EERR!D2</f>
        <v>3704070</v>
      </c>
      <c r="K118" s="41">
        <f>J118/EERR!$D$2</f>
        <v>5550</v>
      </c>
      <c r="L118" s="35"/>
    </row>
    <row r="119" spans="1:25" ht="12.75" x14ac:dyDescent="0.2">
      <c r="E119" s="29" t="s">
        <v>42</v>
      </c>
      <c r="F119" s="29"/>
      <c r="G119" s="29"/>
      <c r="H119" s="30"/>
      <c r="I119" s="37"/>
      <c r="J119" s="30">
        <f>+O113*EERR!D2</f>
        <v>316528</v>
      </c>
      <c r="K119" s="41">
        <f>J119/EERR!$D$2</f>
        <v>474.27030266706623</v>
      </c>
      <c r="L119" s="35"/>
    </row>
    <row r="120" spans="1:25" ht="12.75" x14ac:dyDescent="0.2">
      <c r="E120" s="29" t="s">
        <v>44</v>
      </c>
      <c r="F120" s="29"/>
      <c r="G120" s="29"/>
      <c r="H120" s="30"/>
      <c r="I120" s="37"/>
      <c r="J120" s="30"/>
      <c r="K120" s="41">
        <f>J120*EERR!$D$2</f>
        <v>0</v>
      </c>
      <c r="L120" s="35"/>
    </row>
    <row r="121" spans="1:25" ht="12.75" x14ac:dyDescent="0.2">
      <c r="E121" s="75" t="s">
        <v>75</v>
      </c>
      <c r="F121" s="75"/>
      <c r="G121" s="75"/>
      <c r="H121" s="77"/>
      <c r="I121" s="77">
        <f>(I123+I124)*EERR!D2+I126+I127</f>
        <v>24875855.199999999</v>
      </c>
      <c r="J121" s="77">
        <f>(M113+N113)*EERR!D2</f>
        <v>17179595</v>
      </c>
      <c r="K121" s="78"/>
      <c r="L121" s="35"/>
      <c r="Y121" s="148">
        <f>635/190</f>
        <v>3.3421052631578947</v>
      </c>
    </row>
    <row r="122" spans="1:25" ht="12.75" x14ac:dyDescent="0.2">
      <c r="E122" s="75"/>
      <c r="F122" s="75"/>
      <c r="G122" s="75"/>
      <c r="H122" s="77"/>
      <c r="I122" s="77">
        <f>SUM(I118:I121)</f>
        <v>24875855.199999999</v>
      </c>
      <c r="J122" s="77">
        <f>SUM(J118:J121)</f>
        <v>21200193</v>
      </c>
      <c r="K122" s="77">
        <f>SUM(K118:K121)</f>
        <v>6024.2703026670661</v>
      </c>
      <c r="L122" s="35"/>
    </row>
    <row r="123" spans="1:25" ht="12.75" x14ac:dyDescent="0.2">
      <c r="E123" s="34" t="s">
        <v>73</v>
      </c>
      <c r="F123" s="34"/>
      <c r="G123" s="34"/>
      <c r="H123" s="30"/>
      <c r="I123" s="37">
        <f>Transbank!J399</f>
        <v>32428</v>
      </c>
      <c r="J123" s="30"/>
      <c r="K123" s="41"/>
      <c r="L123" s="35"/>
    </row>
    <row r="124" spans="1:25" ht="12.75" x14ac:dyDescent="0.2">
      <c r="E124" s="34" t="s">
        <v>76</v>
      </c>
      <c r="F124" s="34"/>
      <c r="G124" s="34"/>
      <c r="H124" s="42"/>
      <c r="I124" s="37">
        <f>[2]Transbank!J83</f>
        <v>0</v>
      </c>
      <c r="J124" s="34"/>
      <c r="K124" s="53"/>
      <c r="L124" s="33"/>
      <c r="V124" s="33">
        <f>SUMIF(Transbank!$A$2:$A$403,B83,Transbank!$L$2:$L$403)</f>
        <v>0</v>
      </c>
    </row>
    <row r="125" spans="1:25" ht="12.75" x14ac:dyDescent="0.2">
      <c r="E125" s="75" t="s">
        <v>77</v>
      </c>
      <c r="F125" s="75"/>
      <c r="G125" s="75"/>
      <c r="H125" s="76"/>
      <c r="I125" s="76">
        <f>SUM(I123:I124)</f>
        <v>32428</v>
      </c>
      <c r="J125" s="76">
        <f>N112</f>
        <v>21920</v>
      </c>
      <c r="K125" s="76">
        <f t="shared" ref="K125" si="27">SUM(K123:K124)</f>
        <v>0</v>
      </c>
      <c r="L125" s="33"/>
    </row>
    <row r="126" spans="1:25" ht="12.75" x14ac:dyDescent="0.2">
      <c r="E126" s="34" t="s">
        <v>74</v>
      </c>
      <c r="F126" s="85"/>
      <c r="G126" s="85"/>
      <c r="H126" s="79"/>
      <c r="I126" s="80">
        <f>Transbank!I399</f>
        <v>3233408</v>
      </c>
      <c r="J126" s="80"/>
      <c r="K126" s="81">
        <f>J121/EERR!$D$2</f>
        <v>25741.077314953553</v>
      </c>
      <c r="L126" s="33"/>
    </row>
    <row r="127" spans="1:25" ht="12.75" x14ac:dyDescent="0.2">
      <c r="E127" s="34" t="s">
        <v>78</v>
      </c>
      <c r="F127" s="34"/>
      <c r="G127" s="34"/>
      <c r="H127" s="42"/>
      <c r="I127" s="37">
        <f>[2]Transbank!I83</f>
        <v>0</v>
      </c>
      <c r="J127" s="34"/>
      <c r="K127" s="53"/>
      <c r="L127" s="33"/>
      <c r="Y127" s="39">
        <f>SUM(Y85:Y106)</f>
        <v>9086.3991609229852</v>
      </c>
    </row>
    <row r="128" spans="1:25" ht="13.5" thickBot="1" x14ac:dyDescent="0.25">
      <c r="E128" s="122" t="s">
        <v>79</v>
      </c>
      <c r="F128" s="122"/>
      <c r="G128" s="75"/>
      <c r="H128" s="76"/>
      <c r="I128" s="76">
        <f>SUM(I126:I127)</f>
        <v>3233408</v>
      </c>
      <c r="J128" s="76">
        <f>M112</f>
        <v>2550187</v>
      </c>
      <c r="K128" s="76">
        <f t="shared" ref="K128" si="28">SUM(K126:K127)</f>
        <v>25741.077314953553</v>
      </c>
      <c r="L128" s="33"/>
      <c r="Y128" s="148">
        <f>+Y127*0.15</f>
        <v>1362.9598741384477</v>
      </c>
    </row>
    <row r="129" spans="5:12" ht="16.5" thickBot="1" x14ac:dyDescent="0.3">
      <c r="E129" s="123" t="s">
        <v>95</v>
      </c>
      <c r="F129" s="124">
        <f>(K112+M112)*0.19</f>
        <v>484535.53</v>
      </c>
      <c r="J129" s="36"/>
      <c r="K129" s="39"/>
      <c r="L129" s="33"/>
    </row>
    <row r="130" spans="5:12" ht="12.75" x14ac:dyDescent="0.2">
      <c r="L130" s="33"/>
    </row>
    <row r="131" spans="5:12" ht="12.75" x14ac:dyDescent="0.2">
      <c r="L131" s="33"/>
    </row>
    <row r="132" spans="5:12" ht="12.75" x14ac:dyDescent="0.2">
      <c r="L132" s="33"/>
    </row>
    <row r="133" spans="5:12" ht="12.75" x14ac:dyDescent="0.2">
      <c r="L133" s="33"/>
    </row>
    <row r="134" spans="5:12" ht="12.75" x14ac:dyDescent="0.2">
      <c r="L134" s="33"/>
    </row>
    <row r="135" spans="5:12" ht="12.75" x14ac:dyDescent="0.2">
      <c r="L135" s="33"/>
    </row>
    <row r="136" spans="5:12" ht="12.75" x14ac:dyDescent="0.2">
      <c r="L136" s="33"/>
    </row>
    <row r="137" spans="5:12" ht="12.75" x14ac:dyDescent="0.2">
      <c r="L137" s="33"/>
    </row>
    <row r="138" spans="5:12" ht="12.75" x14ac:dyDescent="0.2">
      <c r="L138" s="33"/>
    </row>
    <row r="139" spans="5:12" ht="12.75" x14ac:dyDescent="0.2">
      <c r="L139" s="33"/>
    </row>
    <row r="140" spans="5:12" ht="12.75" x14ac:dyDescent="0.2">
      <c r="L140" s="33"/>
    </row>
    <row r="141" spans="5:12" ht="12.75" x14ac:dyDescent="0.2">
      <c r="L141" s="33"/>
    </row>
    <row r="142" spans="5:12" ht="12.75" x14ac:dyDescent="0.2">
      <c r="L142" s="33"/>
    </row>
    <row r="143" spans="5:12" ht="12.75" x14ac:dyDescent="0.2">
      <c r="L143" s="33"/>
    </row>
    <row r="144" spans="5:12" ht="12.75" x14ac:dyDescent="0.2">
      <c r="L144" s="33"/>
    </row>
    <row r="145" spans="12:12" ht="12.75" x14ac:dyDescent="0.2">
      <c r="L145" s="33"/>
    </row>
    <row r="146" spans="12:12" ht="12.75" x14ac:dyDescent="0.2">
      <c r="L146" s="33"/>
    </row>
    <row r="147" spans="12:12" ht="12.75" x14ac:dyDescent="0.2">
      <c r="L147" s="33"/>
    </row>
    <row r="148" spans="12:12" ht="12.75" x14ac:dyDescent="0.2">
      <c r="L148" s="33"/>
    </row>
    <row r="149" spans="12:12" ht="12.75" x14ac:dyDescent="0.2">
      <c r="L149" s="33"/>
    </row>
    <row r="150" spans="12:12" ht="12.75" x14ac:dyDescent="0.2">
      <c r="L150" s="33"/>
    </row>
    <row r="151" spans="12:12" ht="12.75" x14ac:dyDescent="0.2">
      <c r="L151" s="33"/>
    </row>
    <row r="152" spans="12:12" ht="12.75" x14ac:dyDescent="0.2">
      <c r="L152" s="33"/>
    </row>
    <row r="153" spans="12:12" ht="12.75" x14ac:dyDescent="0.2">
      <c r="L153" s="33"/>
    </row>
    <row r="154" spans="12:12" ht="12.75" x14ac:dyDescent="0.2">
      <c r="L154" s="33"/>
    </row>
    <row r="155" spans="12:12" ht="12.75" x14ac:dyDescent="0.2">
      <c r="L155" s="33"/>
    </row>
    <row r="156" spans="12:12" ht="12.75" x14ac:dyDescent="0.2">
      <c r="L156" s="33"/>
    </row>
    <row r="157" spans="12:12" ht="12.75" x14ac:dyDescent="0.2">
      <c r="L157" s="33"/>
    </row>
    <row r="158" spans="12:12" ht="12.75" x14ac:dyDescent="0.2">
      <c r="L158" s="33"/>
    </row>
    <row r="159" spans="12:12" ht="12.75" x14ac:dyDescent="0.2">
      <c r="L159" s="33"/>
    </row>
    <row r="160" spans="12:12" ht="12.75" x14ac:dyDescent="0.2">
      <c r="L160" s="33"/>
    </row>
    <row r="161" spans="12:12" ht="12.75" x14ac:dyDescent="0.2">
      <c r="L161" s="33"/>
    </row>
    <row r="162" spans="12:12" ht="12.75" x14ac:dyDescent="0.2">
      <c r="L162" s="33"/>
    </row>
    <row r="163" spans="12:12" ht="12.75" x14ac:dyDescent="0.2">
      <c r="L163" s="33"/>
    </row>
    <row r="164" spans="12:12" ht="12.75" x14ac:dyDescent="0.2">
      <c r="L164" s="33"/>
    </row>
    <row r="165" spans="12:12" ht="12.75" x14ac:dyDescent="0.2">
      <c r="L165" s="33"/>
    </row>
    <row r="166" spans="12:12" ht="12.75" x14ac:dyDescent="0.2">
      <c r="L166" s="33"/>
    </row>
    <row r="167" spans="12:12" ht="12.75" x14ac:dyDescent="0.2">
      <c r="L167" s="33"/>
    </row>
    <row r="168" spans="12:12" ht="12.75" x14ac:dyDescent="0.2">
      <c r="L168" s="33"/>
    </row>
    <row r="169" spans="12:12" ht="12.75" x14ac:dyDescent="0.2">
      <c r="L169" s="33"/>
    </row>
    <row r="170" spans="12:12" ht="12.75" x14ac:dyDescent="0.2">
      <c r="L170" s="33"/>
    </row>
    <row r="171" spans="12:12" ht="12.75" x14ac:dyDescent="0.2">
      <c r="L171" s="33"/>
    </row>
    <row r="172" spans="12:12" ht="12.75" x14ac:dyDescent="0.2">
      <c r="L172" s="33"/>
    </row>
    <row r="173" spans="12:12" ht="12.75" x14ac:dyDescent="0.2">
      <c r="L173" s="33"/>
    </row>
    <row r="174" spans="12:12" ht="12.75" x14ac:dyDescent="0.2">
      <c r="L174" s="33"/>
    </row>
    <row r="175" spans="12:12" ht="12.75" x14ac:dyDescent="0.2">
      <c r="L175" s="33"/>
    </row>
    <row r="176" spans="12:12" ht="12.75" x14ac:dyDescent="0.2">
      <c r="L176" s="33"/>
    </row>
    <row r="177" spans="12:12" ht="12.75" x14ac:dyDescent="0.2">
      <c r="L177" s="33"/>
    </row>
    <row r="178" spans="12:12" ht="12.75" x14ac:dyDescent="0.2">
      <c r="L178" s="33"/>
    </row>
    <row r="179" spans="12:12" ht="12.75" x14ac:dyDescent="0.2">
      <c r="L179" s="33"/>
    </row>
    <row r="180" spans="12:12" ht="12.75" x14ac:dyDescent="0.2">
      <c r="L180" s="33"/>
    </row>
    <row r="181" spans="12:12" ht="12.75" x14ac:dyDescent="0.2">
      <c r="L181" s="33"/>
    </row>
    <row r="182" spans="12:12" ht="12.75" x14ac:dyDescent="0.2">
      <c r="L182" s="33"/>
    </row>
    <row r="183" spans="12:12" ht="12.75" x14ac:dyDescent="0.2">
      <c r="L183" s="33"/>
    </row>
    <row r="184" spans="12:12" ht="12.75" x14ac:dyDescent="0.2">
      <c r="L184" s="33"/>
    </row>
    <row r="185" spans="12:12" ht="12.75" x14ac:dyDescent="0.2">
      <c r="L185" s="33"/>
    </row>
    <row r="186" spans="12:12" ht="12.75" x14ac:dyDescent="0.2">
      <c r="L186" s="33"/>
    </row>
    <row r="187" spans="12:12" ht="12.75" x14ac:dyDescent="0.2">
      <c r="L187" s="33"/>
    </row>
    <row r="188" spans="12:12" ht="12.75" x14ac:dyDescent="0.2">
      <c r="L188" s="33"/>
    </row>
    <row r="189" spans="12:12" ht="12.75" x14ac:dyDescent="0.2">
      <c r="L189" s="33"/>
    </row>
    <row r="190" spans="12:12" ht="12.75" x14ac:dyDescent="0.2">
      <c r="L190" s="33"/>
    </row>
    <row r="191" spans="12:12" ht="12.75" x14ac:dyDescent="0.2">
      <c r="L191" s="33"/>
    </row>
    <row r="192" spans="12:12" ht="12.75" x14ac:dyDescent="0.2">
      <c r="L192" s="33"/>
    </row>
    <row r="193" spans="12:12" ht="12.75" x14ac:dyDescent="0.2">
      <c r="L193" s="33"/>
    </row>
    <row r="194" spans="12:12" ht="12.75" x14ac:dyDescent="0.2">
      <c r="L194" s="33"/>
    </row>
    <row r="195" spans="12:12" ht="12.75" x14ac:dyDescent="0.2">
      <c r="L195" s="33"/>
    </row>
  </sheetData>
  <autoFilter ref="A2:X107"/>
  <sortState ref="A86:R96">
    <sortCondition ref="H86:H96"/>
  </sortState>
  <mergeCells count="7">
    <mergeCell ref="B1:D1"/>
    <mergeCell ref="S114:T114"/>
    <mergeCell ref="S115:T115"/>
    <mergeCell ref="K1:L1"/>
    <mergeCell ref="M1:N1"/>
    <mergeCell ref="O1:P1"/>
    <mergeCell ref="Q1:R1"/>
  </mergeCells>
  <conditionalFormatting sqref="W109 W85:W107 W3:W17 W66:W83 W19:W64">
    <cfRule type="expression" dxfId="2" priority="17">
      <formula>IF(J3=W3,0,1)</formula>
    </cfRule>
  </conditionalFormatting>
  <conditionalFormatting sqref="AV54 BU54 CT54 DS54 ER54 FQ54 GP54 HO54 IN54 JM54 KL54 LK54 MJ54 NI54 OH54 PG54 QF54 RE54 SD54 TC54 UB54 VA54 VZ54 WY54 XX54 YW54 ZV54 AAU54 ABT54 ACS54 ADR54 AEQ54 AFP54 AGO54 AHN54 AIM54 AJL54 AKK54 ALJ54 AMI54 ANH54 AOG54 APF54 AQE54 ARD54 ASC54 ATB54 AUA54 AUZ54 AVY54 AWX54 AXW54 AYV54 AZU54 BAT54 BBS54 BCR54 BDQ54 BEP54 BFO54 BGN54 BHM54 BIL54 BJK54 BKJ54 BLI54 BMH54 BNG54 BOF54 BPE54 BQD54 BRC54 BSB54 BTA54 BTZ54 BUY54 BVX54 BWW54 BXV54 BYU54 BZT54 CAS54 CBR54 CCQ54 CDP54 CEO54 CFN54 CGM54 CHL54 CIK54 CJJ54 CKI54 CLH54 CMG54 CNF54 COE54 CPD54 CQC54 CRB54 CSA54 CSZ54 CTY54 CUX54 CVW54 CWV54 CXU54 CYT54 CZS54 DAR54 DBQ54 DCP54 DDO54 DEN54 DFM54 DGL54 DHK54 DIJ54 DJI54 DKH54 DLG54 DMF54 DNE54 DOD54 DPC54 DQB54 DRA54 DRZ54 DSY54 DTX54 DUW54 DVV54 DWU54 DXT54 DYS54 DZR54 EAQ54 EBP54 ECO54 EDN54 EEM54 EFL54 EGK54 EHJ54 EII54 EJH54 EKG54 ELF54 EME54 END54 EOC54 EPB54 EQA54 EQZ54 ERY54 ESX54 ETW54 EUV54 EVU54 EWT54 EXS54 EYR54 EZQ54 FAP54 FBO54 FCN54 FDM54 FEL54 FFK54 FGJ54 FHI54 FIH54 FJG54 FKF54 FLE54 FMD54 FNC54 FOB54 FPA54 FPZ54 FQY54 FRX54 FSW54 FTV54 FUU54 FVT54 FWS54 FXR54 FYQ54 FZP54 GAO54 GBN54 GCM54 GDL54 GEK54 GFJ54 GGI54 GHH54 GIG54 GJF54 GKE54 GLD54 GMC54 GNB54 GOA54 GOZ54 GPY54 GQX54 GRW54 GSV54 GTU54 GUT54 GVS54 GWR54 GXQ54 GYP54 GZO54 HAN54 HBM54 HCL54 HDK54 HEJ54 HFI54 HGH54 HHG54 HIF54 HJE54 HKD54 HLC54 HMB54 HNA54 HNZ54 HOY54 HPX54 HQW54 HRV54 HSU54 HTT54 HUS54 HVR54 HWQ54 HXP54 HYO54 HZN54 IAM54 IBL54 ICK54 IDJ54 IEI54 IFH54 IGG54 IHF54 IIE54 IJD54 IKC54 ILB54 IMA54 IMZ54 INY54 IOX54 IPW54 IQV54 IRU54 IST54 ITS54 IUR54 IVQ54 IWP54 IXO54 IYN54 IZM54 JAL54 JBK54 JCJ54 JDI54 JEH54 JFG54 JGF54 JHE54 JID54 JJC54 JKB54 JLA54 JLZ54 JMY54 JNX54 JOW54 JPV54 JQU54 JRT54 JSS54 JTR54 JUQ54 JVP54 JWO54 JXN54 JYM54 JZL54 KAK54 KBJ54 KCI54 KDH54 KEG54 KFF54 KGE54 KHD54 KIC54 KJB54 KKA54 KKZ54 KLY54 KMX54 KNW54 KOV54 KPU54 KQT54 KRS54 KSR54 KTQ54 KUP54 KVO54 KWN54 KXM54 KYL54 KZK54 LAJ54 LBI54 LCH54 LDG54 LEF54 LFE54 LGD54 LHC54 LIB54 LJA54 LJZ54 LKY54 LLX54 LMW54 LNV54 LOU54 LPT54 LQS54 LRR54 LSQ54 LTP54 LUO54 LVN54 LWM54 LXL54 LYK54 LZJ54 MAI54 MBH54 MCG54 MDF54 MEE54 MFD54 MGC54 MHB54 MIA54 MIZ54 MJY54 MKX54 MLW54 MMV54 MNU54 MOT54 MPS54 MQR54 MRQ54 MSP54 MTO54 MUN54 MVM54 MWL54 MXK54 MYJ54 MZI54 NAH54 NBG54 NCF54 NDE54 NED54 NFC54 NGB54 NHA54 NHZ54 NIY54 NJX54 NKW54 NLV54 NMU54 NNT54 NOS54 NPR54 NQQ54 NRP54 NSO54 NTN54 NUM54 NVL54 NWK54 NXJ54 NYI54 NZH54 OAG54 OBF54 OCE54 ODD54 OEC54 OFB54 OGA54 OGZ54 OHY54 OIX54 OJW54 OKV54 OLU54 OMT54 ONS54 OOR54 OPQ54 OQP54 ORO54 OSN54 OTM54 OUL54 OVK54 OWJ54 OXI54 OYH54 OZG54 PAF54 PBE54 PCD54 PDC54 PEB54 PFA54 PFZ54 PGY54 PHX54 PIW54 PJV54 PKU54 PLT54 PMS54 PNR54 POQ54 PPP54 PQO54 PRN54 PSM54 PTL54 PUK54 PVJ54 PWI54 PXH54 PYG54 PZF54 QAE54 QBD54 QCC54 QDB54 QEA54 QEZ54 QFY54 QGX54 QHW54 QIV54 QJU54 QKT54 QLS54 QMR54 QNQ54 QOP54 QPO54 QQN54 QRM54 QSL54 QTK54 QUJ54 QVI54 QWH54 QXG54 QYF54 QZE54 RAD54 RBC54 RCB54 RDA54 RDZ54 REY54 RFX54 RGW54 RHV54 RIU54 RJT54 RKS54 RLR54 RMQ54 RNP54 ROO54 RPN54 RQM54 RRL54 RSK54 RTJ54 RUI54 RVH54 RWG54 RXF54 RYE54 RZD54 SAC54 SBB54 SCA54 SCZ54 SDY54 SEX54 SFW54 SGV54 SHU54 SIT54 SJS54 SKR54 SLQ54 SMP54 SNO54 SON54 SPM54 SQL54 SRK54 SSJ54 STI54 SUH54 SVG54 SWF54 SXE54 SYD54 SZC54 TAB54 TBA54 TBZ54 TCY54 TDX54 TEW54 TFV54 TGU54 THT54 TIS54 TJR54 TKQ54 TLP54 TMO54 TNN54 TOM54 TPL54 TQK54 TRJ54 TSI54 TTH54 TUG54 TVF54 TWE54 TXD54 TYC54 TZB54 UAA54 UAZ54 UBY54 UCX54 UDW54 UEV54 UFU54 UGT54 UHS54 UIR54 UJQ54 UKP54 ULO54 UMN54 UNM54 UOL54 UPK54 UQJ54 URI54 USH54 UTG54 UUF54 UVE54 UWD54 UXC54 UYB54 UZA54 UZZ54 VAY54 VBX54 VCW54 VDV54 VEU54 VFT54 VGS54 VHR54 VIQ54 VJP54 VKO54 VLN54 VMM54 VNL54 VOK54 VPJ54 VQI54 VRH54 VSG54 VTF54 VUE54 VVD54 VWC54 VXB54 VYA54 VYZ54 VZY54 WAX54 WBW54 WCV54 WDU54 WET54 WFS54 WGR54 WHQ54 WIP54 WJO54 WKN54 WLM54 WML54 WNK54 WOJ54 WPI54 WQH54 WRG54 WSF54 WTE54 WUD54 WVC54 WWB54 WXA54 WXZ54 WYY54 WZX54 XAW54 XBV54 XCU54 XDT54 XES54">
    <cfRule type="expression" dxfId="1" priority="4">
      <formula>IF(AI54=AV54,0,1)</formula>
    </cfRule>
  </conditionalFormatting>
  <conditionalFormatting sqref="W18">
    <cfRule type="expression" dxfId="0" priority="1">
      <formula>IF(J18=W18,0,1)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topLeftCell="A49" zoomScale="85" zoomScaleNormal="85" workbookViewId="0">
      <selection activeCell="Q19" sqref="H19:Q19"/>
    </sheetView>
  </sheetViews>
  <sheetFormatPr baseColWidth="10" defaultColWidth="11.5703125" defaultRowHeight="15" x14ac:dyDescent="0.25"/>
  <cols>
    <col min="1" max="1" width="19.28515625" style="210" customWidth="1"/>
    <col min="2" max="2" width="15.5703125" style="210" customWidth="1"/>
    <col min="3" max="3" width="16.5703125" style="210" customWidth="1"/>
    <col min="4" max="4" width="16.5703125" style="270" customWidth="1"/>
    <col min="5" max="5" width="12.42578125" style="210" customWidth="1"/>
    <col min="6" max="6" width="11.28515625" style="210" customWidth="1"/>
    <col min="7" max="7" width="12.28515625" style="210" customWidth="1"/>
    <col min="8" max="8" width="27.28515625" style="210" customWidth="1"/>
    <col min="9" max="9" width="11.85546875" style="210" customWidth="1"/>
    <col min="10" max="10" width="10.7109375" style="210" customWidth="1"/>
    <col min="11" max="11" width="7.28515625" style="210" customWidth="1"/>
    <col min="12" max="12" width="14.7109375" style="210" customWidth="1"/>
    <col min="13" max="13" width="12.7109375" style="210" bestFit="1" customWidth="1"/>
    <col min="14" max="16384" width="11.5703125" style="210"/>
  </cols>
  <sheetData>
    <row r="1" spans="1:17" x14ac:dyDescent="0.25">
      <c r="A1" s="209"/>
      <c r="B1" s="209"/>
      <c r="C1" s="209"/>
      <c r="D1" s="209"/>
      <c r="E1" s="209"/>
      <c r="F1" s="209"/>
      <c r="G1" s="209"/>
      <c r="H1" s="209"/>
      <c r="I1" s="209"/>
      <c r="J1" s="209"/>
      <c r="K1" s="209"/>
      <c r="L1" s="4"/>
    </row>
    <row r="3" spans="1:17" x14ac:dyDescent="0.25">
      <c r="A3" s="210" t="s">
        <v>65</v>
      </c>
    </row>
    <row r="4" spans="1:17" x14ac:dyDescent="0.25">
      <c r="A4" s="6" t="s">
        <v>23</v>
      </c>
      <c r="B4" s="6" t="s">
        <v>281</v>
      </c>
      <c r="C4" s="6" t="s">
        <v>263</v>
      </c>
      <c r="D4" s="6"/>
      <c r="E4" s="6" t="s">
        <v>282</v>
      </c>
      <c r="F4" s="6" t="s">
        <v>283</v>
      </c>
      <c r="G4" s="6" t="s">
        <v>284</v>
      </c>
      <c r="H4" s="6" t="s">
        <v>285</v>
      </c>
      <c r="I4" s="6" t="s">
        <v>286</v>
      </c>
      <c r="J4" s="6" t="s">
        <v>261</v>
      </c>
      <c r="K4" s="6" t="s">
        <v>262</v>
      </c>
    </row>
    <row r="5" spans="1:17" x14ac:dyDescent="0.25">
      <c r="A5" s="40">
        <v>1940510914</v>
      </c>
      <c r="B5" s="6" t="s">
        <v>280</v>
      </c>
      <c r="C5" s="266" t="s">
        <v>264</v>
      </c>
      <c r="D5" s="266"/>
      <c r="E5" s="266">
        <v>43395.755520833336</v>
      </c>
      <c r="F5" s="266">
        <v>43556</v>
      </c>
      <c r="G5" s="266">
        <v>43561</v>
      </c>
      <c r="H5" s="266" t="s">
        <v>936</v>
      </c>
      <c r="I5" s="294">
        <v>1025</v>
      </c>
      <c r="J5" s="6"/>
      <c r="K5" s="6">
        <v>2</v>
      </c>
      <c r="L5" s="126">
        <f>G5-F5</f>
        <v>5</v>
      </c>
      <c r="M5" s="6">
        <f>SUMIF(Abr!$G$3:$G$107,A5,Abr!$J$3:$J$107)</f>
        <v>5</v>
      </c>
      <c r="N5" s="270">
        <f t="shared" ref="N5:N37" si="0">+L5-M5</f>
        <v>0</v>
      </c>
      <c r="O5" s="243">
        <f t="shared" ref="O5:O24" si="1">+I5/M5</f>
        <v>205</v>
      </c>
      <c r="P5" s="270">
        <f t="shared" ref="P5:P24" si="2">ROUND(I5/O5,0)</f>
        <v>5</v>
      </c>
      <c r="Q5" s="270">
        <f t="shared" ref="Q5:Q24" si="3">+P5-L5</f>
        <v>0</v>
      </c>
    </row>
    <row r="6" spans="1:17" x14ac:dyDescent="0.25">
      <c r="A6" s="40">
        <v>2032600277</v>
      </c>
      <c r="B6" s="6" t="s">
        <v>279</v>
      </c>
      <c r="C6" s="266" t="s">
        <v>264</v>
      </c>
      <c r="D6" s="266"/>
      <c r="E6" s="266">
        <v>43406.514710648145</v>
      </c>
      <c r="F6" s="266">
        <v>43556</v>
      </c>
      <c r="G6" s="266">
        <v>43559</v>
      </c>
      <c r="H6" s="266" t="s">
        <v>937</v>
      </c>
      <c r="I6" s="294">
        <v>615</v>
      </c>
      <c r="J6" s="6"/>
      <c r="K6" s="6">
        <v>2</v>
      </c>
      <c r="L6" s="126">
        <f t="shared" ref="L6:L37" si="4">G6-F6</f>
        <v>3</v>
      </c>
      <c r="M6" s="6">
        <f>SUMIF(Abr!$G$3:$G$107,A6,Abr!$J$3:$J$107)</f>
        <v>3</v>
      </c>
      <c r="N6" s="270">
        <f t="shared" si="0"/>
        <v>0</v>
      </c>
      <c r="O6" s="243">
        <f t="shared" si="1"/>
        <v>205</v>
      </c>
      <c r="P6" s="270">
        <f t="shared" si="2"/>
        <v>3</v>
      </c>
      <c r="Q6" s="270">
        <f t="shared" si="3"/>
        <v>0</v>
      </c>
    </row>
    <row r="7" spans="1:17" x14ac:dyDescent="0.25">
      <c r="A7" s="40">
        <v>1191610142</v>
      </c>
      <c r="B7" s="6" t="s">
        <v>279</v>
      </c>
      <c r="C7" s="266" t="s">
        <v>265</v>
      </c>
      <c r="D7" s="266" t="s">
        <v>793</v>
      </c>
      <c r="E7" s="266">
        <v>43500.050694444442</v>
      </c>
      <c r="F7" s="266">
        <v>43556</v>
      </c>
      <c r="G7" s="266">
        <v>43557</v>
      </c>
      <c r="H7" s="266" t="s">
        <v>938</v>
      </c>
      <c r="I7" s="294">
        <v>205</v>
      </c>
      <c r="J7" s="6"/>
      <c r="K7" s="6">
        <v>2</v>
      </c>
      <c r="L7" s="126">
        <f t="shared" si="4"/>
        <v>1</v>
      </c>
      <c r="M7" s="6">
        <f>SUMIF(Abr!$G$3:$G$107,A7,Abr!$J$3:$J$107)</f>
        <v>1</v>
      </c>
      <c r="N7" s="270">
        <f t="shared" si="0"/>
        <v>0</v>
      </c>
      <c r="O7" s="243">
        <f t="shared" si="1"/>
        <v>205</v>
      </c>
      <c r="P7" s="270">
        <f t="shared" si="2"/>
        <v>1</v>
      </c>
      <c r="Q7" s="270">
        <f t="shared" si="3"/>
        <v>0</v>
      </c>
    </row>
    <row r="8" spans="1:17" x14ac:dyDescent="0.25">
      <c r="A8" s="40">
        <v>1304966762</v>
      </c>
      <c r="B8" s="6" t="s">
        <v>279</v>
      </c>
      <c r="C8" s="266" t="s">
        <v>264</v>
      </c>
      <c r="D8" s="266"/>
      <c r="E8" s="266">
        <v>43508.614745370367</v>
      </c>
      <c r="F8" s="266">
        <v>43556</v>
      </c>
      <c r="G8" s="266">
        <v>43560</v>
      </c>
      <c r="H8" s="266" t="s">
        <v>939</v>
      </c>
      <c r="I8" s="294">
        <v>820</v>
      </c>
      <c r="J8" s="6"/>
      <c r="K8" s="6">
        <v>2</v>
      </c>
      <c r="L8" s="126">
        <f t="shared" si="4"/>
        <v>4</v>
      </c>
      <c r="M8" s="6">
        <f>SUMIF(Abr!$G$3:$G$107,A8,Abr!$J$3:$J$107)</f>
        <v>4</v>
      </c>
      <c r="N8" s="270">
        <f t="shared" si="0"/>
        <v>0</v>
      </c>
      <c r="O8" s="243">
        <f t="shared" si="1"/>
        <v>205</v>
      </c>
      <c r="P8" s="270">
        <f t="shared" si="2"/>
        <v>4</v>
      </c>
      <c r="Q8" s="270">
        <f t="shared" si="3"/>
        <v>0</v>
      </c>
    </row>
    <row r="9" spans="1:17" x14ac:dyDescent="0.25">
      <c r="A9" s="40">
        <v>1209385973</v>
      </c>
      <c r="B9" s="6" t="s">
        <v>279</v>
      </c>
      <c r="C9" s="266" t="s">
        <v>265</v>
      </c>
      <c r="D9" s="266" t="s">
        <v>793</v>
      </c>
      <c r="E9" s="266">
        <v>43527.754166666666</v>
      </c>
      <c r="F9" s="266">
        <v>43556</v>
      </c>
      <c r="G9" s="266">
        <v>43557</v>
      </c>
      <c r="H9" s="266" t="s">
        <v>940</v>
      </c>
      <c r="I9" s="294">
        <v>205</v>
      </c>
      <c r="J9" s="6"/>
      <c r="K9" s="6">
        <v>2</v>
      </c>
      <c r="L9" s="126">
        <f t="shared" si="4"/>
        <v>1</v>
      </c>
      <c r="M9" s="6">
        <f>SUMIF(Abr!$G$3:$G$107,A9,Abr!$J$3:$J$107)</f>
        <v>1</v>
      </c>
      <c r="N9" s="270">
        <f t="shared" si="0"/>
        <v>0</v>
      </c>
      <c r="O9" s="243">
        <f t="shared" si="1"/>
        <v>205</v>
      </c>
      <c r="P9" s="270">
        <f t="shared" si="2"/>
        <v>1</v>
      </c>
      <c r="Q9" s="270">
        <f t="shared" si="3"/>
        <v>0</v>
      </c>
    </row>
    <row r="10" spans="1:17" s="270" customFormat="1" x14ac:dyDescent="0.25">
      <c r="A10" s="40">
        <v>1217527081</v>
      </c>
      <c r="B10" s="6" t="s">
        <v>279</v>
      </c>
      <c r="C10" s="266" t="s">
        <v>265</v>
      </c>
      <c r="D10" s="266" t="s">
        <v>793</v>
      </c>
      <c r="E10" s="266">
        <v>43539.227083333331</v>
      </c>
      <c r="F10" s="266">
        <v>43556</v>
      </c>
      <c r="G10" s="266">
        <v>43557</v>
      </c>
      <c r="H10" s="266" t="s">
        <v>941</v>
      </c>
      <c r="I10" s="294">
        <v>205</v>
      </c>
      <c r="J10" s="6"/>
      <c r="K10" s="6">
        <v>2</v>
      </c>
      <c r="L10" s="126">
        <f t="shared" si="4"/>
        <v>1</v>
      </c>
      <c r="M10" s="6">
        <f>SUMIF(Abr!$G$3:$G$107,A10,Abr!$J$3:$J$107)</f>
        <v>1</v>
      </c>
      <c r="N10" s="270">
        <f t="shared" si="0"/>
        <v>0</v>
      </c>
      <c r="O10" s="243">
        <f t="shared" si="1"/>
        <v>205</v>
      </c>
      <c r="P10" s="270">
        <f t="shared" si="2"/>
        <v>1</v>
      </c>
      <c r="Q10" s="270">
        <f t="shared" si="3"/>
        <v>0</v>
      </c>
    </row>
    <row r="11" spans="1:17" s="270" customFormat="1" x14ac:dyDescent="0.25">
      <c r="A11" s="40">
        <v>2645033388</v>
      </c>
      <c r="B11" s="6" t="s">
        <v>279</v>
      </c>
      <c r="C11" s="266" t="s">
        <v>264</v>
      </c>
      <c r="D11" s="266"/>
      <c r="E11" s="266">
        <v>43552.799375000002</v>
      </c>
      <c r="F11" s="266">
        <v>43556</v>
      </c>
      <c r="G11" s="266">
        <v>43560</v>
      </c>
      <c r="H11" s="266" t="s">
        <v>942</v>
      </c>
      <c r="I11" s="294">
        <v>820</v>
      </c>
      <c r="J11" s="6"/>
      <c r="K11" s="6">
        <v>2</v>
      </c>
      <c r="L11" s="126">
        <f t="shared" si="4"/>
        <v>4</v>
      </c>
      <c r="M11" s="6">
        <f>SUMIF(Abr!$G$3:$G$107,A11,Abr!$J$3:$J$107)</f>
        <v>4</v>
      </c>
      <c r="N11" s="270">
        <f t="shared" si="0"/>
        <v>0</v>
      </c>
      <c r="O11" s="243">
        <f t="shared" si="1"/>
        <v>205</v>
      </c>
      <c r="P11" s="270">
        <f t="shared" si="2"/>
        <v>4</v>
      </c>
      <c r="Q11" s="270">
        <f t="shared" si="3"/>
        <v>0</v>
      </c>
    </row>
    <row r="12" spans="1:17" s="270" customFormat="1" x14ac:dyDescent="0.25">
      <c r="A12" s="40">
        <v>1717786928</v>
      </c>
      <c r="B12" s="6" t="s">
        <v>279</v>
      </c>
      <c r="C12" s="266" t="s">
        <v>264</v>
      </c>
      <c r="D12" s="266"/>
      <c r="E12" s="266">
        <v>43464.714999999997</v>
      </c>
      <c r="F12" s="266">
        <v>43557</v>
      </c>
      <c r="G12" s="266">
        <v>43561</v>
      </c>
      <c r="H12" s="266" t="s">
        <v>943</v>
      </c>
      <c r="I12" s="294">
        <v>820</v>
      </c>
      <c r="J12" s="6"/>
      <c r="K12" s="6">
        <v>2</v>
      </c>
      <c r="L12" s="126">
        <f t="shared" si="4"/>
        <v>4</v>
      </c>
      <c r="M12" s="6">
        <f>SUMIF(Abr!$G$3:$G$107,A12,Abr!$J$3:$J$107)</f>
        <v>4</v>
      </c>
      <c r="N12" s="270">
        <f t="shared" si="0"/>
        <v>0</v>
      </c>
      <c r="O12" s="243">
        <f t="shared" si="1"/>
        <v>205</v>
      </c>
      <c r="P12" s="270">
        <f t="shared" si="2"/>
        <v>4</v>
      </c>
      <c r="Q12" s="270">
        <f t="shared" si="3"/>
        <v>0</v>
      </c>
    </row>
    <row r="13" spans="1:17" s="270" customFormat="1" x14ac:dyDescent="0.25">
      <c r="A13" s="40">
        <v>1226449418</v>
      </c>
      <c r="B13" s="6" t="s">
        <v>279</v>
      </c>
      <c r="C13" s="266" t="s">
        <v>264</v>
      </c>
      <c r="D13" s="266"/>
      <c r="E13" s="266">
        <v>43536.022245370368</v>
      </c>
      <c r="F13" s="266">
        <v>43557</v>
      </c>
      <c r="G13" s="266">
        <v>43559</v>
      </c>
      <c r="H13" s="266" t="s">
        <v>944</v>
      </c>
      <c r="I13" s="294">
        <v>410</v>
      </c>
      <c r="J13" s="6"/>
      <c r="K13" s="6">
        <v>2</v>
      </c>
      <c r="L13" s="126">
        <f t="shared" si="4"/>
        <v>2</v>
      </c>
      <c r="M13" s="6">
        <f>SUMIF(Abr!$G$3:$G$107,A13,Abr!$J$3:$J$107)</f>
        <v>2</v>
      </c>
      <c r="N13" s="270">
        <f t="shared" si="0"/>
        <v>0</v>
      </c>
      <c r="O13" s="243">
        <f t="shared" si="1"/>
        <v>205</v>
      </c>
      <c r="P13" s="270">
        <f t="shared" si="2"/>
        <v>2</v>
      </c>
      <c r="Q13" s="270">
        <f t="shared" si="3"/>
        <v>0</v>
      </c>
    </row>
    <row r="14" spans="1:17" s="270" customFormat="1" x14ac:dyDescent="0.25">
      <c r="A14" s="40">
        <v>1520319851</v>
      </c>
      <c r="B14" s="6" t="s">
        <v>279</v>
      </c>
      <c r="C14" s="266" t="s">
        <v>264</v>
      </c>
      <c r="D14" s="266"/>
      <c r="E14" s="266">
        <v>43538.82167824074</v>
      </c>
      <c r="F14" s="266">
        <v>43557</v>
      </c>
      <c r="G14" s="266">
        <v>43559</v>
      </c>
      <c r="H14" s="266" t="s">
        <v>945</v>
      </c>
      <c r="I14" s="294">
        <v>410</v>
      </c>
      <c r="J14" s="6"/>
      <c r="K14" s="6">
        <v>2</v>
      </c>
      <c r="L14" s="126">
        <f t="shared" si="4"/>
        <v>2</v>
      </c>
      <c r="M14" s="6">
        <f>SUMIF(Abr!$G$3:$G$107,A14,Abr!$J$3:$J$107)</f>
        <v>2</v>
      </c>
      <c r="N14" s="270">
        <f t="shared" si="0"/>
        <v>0</v>
      </c>
      <c r="O14" s="243">
        <f t="shared" si="1"/>
        <v>205</v>
      </c>
      <c r="P14" s="270">
        <f t="shared" si="2"/>
        <v>2</v>
      </c>
      <c r="Q14" s="270">
        <f t="shared" si="3"/>
        <v>0</v>
      </c>
    </row>
    <row r="15" spans="1:17" s="270" customFormat="1" x14ac:dyDescent="0.25">
      <c r="A15" s="40">
        <v>2436493124</v>
      </c>
      <c r="B15" s="6" t="s">
        <v>279</v>
      </c>
      <c r="C15" s="266" t="s">
        <v>264</v>
      </c>
      <c r="D15" s="266"/>
      <c r="E15" s="266">
        <v>43556.760659722226</v>
      </c>
      <c r="F15" s="266">
        <v>43557</v>
      </c>
      <c r="G15" s="266">
        <v>43558</v>
      </c>
      <c r="H15" s="266" t="s">
        <v>946</v>
      </c>
      <c r="I15" s="294">
        <v>205</v>
      </c>
      <c r="J15" s="6"/>
      <c r="K15" s="6">
        <v>2</v>
      </c>
      <c r="L15" s="126">
        <f t="shared" si="4"/>
        <v>1</v>
      </c>
      <c r="M15" s="6">
        <f>SUMIF(Abr!$G$3:$G$107,A15,Abr!$J$3:$J$107)</f>
        <v>1</v>
      </c>
      <c r="N15" s="270">
        <f t="shared" si="0"/>
        <v>0</v>
      </c>
      <c r="O15" s="243">
        <f t="shared" si="1"/>
        <v>205</v>
      </c>
      <c r="P15" s="270">
        <f t="shared" si="2"/>
        <v>1</v>
      </c>
      <c r="Q15" s="270">
        <f t="shared" si="3"/>
        <v>0</v>
      </c>
    </row>
    <row r="16" spans="1:17" s="270" customFormat="1" x14ac:dyDescent="0.25">
      <c r="A16" s="40">
        <v>1808013660116</v>
      </c>
      <c r="B16" s="6" t="s">
        <v>279</v>
      </c>
      <c r="C16" s="266" t="s">
        <v>266</v>
      </c>
      <c r="D16" s="266" t="s">
        <v>792</v>
      </c>
      <c r="E16" s="266">
        <v>43313.486435185187</v>
      </c>
      <c r="F16" s="266">
        <v>43558</v>
      </c>
      <c r="G16" s="266">
        <v>43561</v>
      </c>
      <c r="H16" s="266" t="s">
        <v>947</v>
      </c>
      <c r="I16" s="294">
        <v>584.25</v>
      </c>
      <c r="J16" s="6"/>
      <c r="K16" s="6">
        <v>2</v>
      </c>
      <c r="L16" s="126">
        <f t="shared" si="4"/>
        <v>3</v>
      </c>
      <c r="M16" s="6">
        <f>SUMIF(Abr!$G$3:$G$107,A16,Abr!$J$3:$J$107)</f>
        <v>3</v>
      </c>
      <c r="N16" s="270">
        <f t="shared" si="0"/>
        <v>0</v>
      </c>
      <c r="O16" s="243">
        <f t="shared" si="1"/>
        <v>194.75</v>
      </c>
      <c r="P16" s="270">
        <f t="shared" si="2"/>
        <v>3</v>
      </c>
      <c r="Q16" s="270">
        <f t="shared" si="3"/>
        <v>0</v>
      </c>
    </row>
    <row r="17" spans="1:17" s="270" customFormat="1" x14ac:dyDescent="0.25">
      <c r="A17" s="40">
        <v>1124043086</v>
      </c>
      <c r="B17" s="6" t="s">
        <v>279</v>
      </c>
      <c r="C17" s="266" t="s">
        <v>264</v>
      </c>
      <c r="D17" s="266"/>
      <c r="E17" s="266">
        <v>43412.649699074071</v>
      </c>
      <c r="F17" s="266">
        <v>43558</v>
      </c>
      <c r="G17" s="266">
        <v>43564</v>
      </c>
      <c r="H17" s="266" t="s">
        <v>870</v>
      </c>
      <c r="I17" s="294">
        <v>1230</v>
      </c>
      <c r="J17" s="6"/>
      <c r="K17" s="6">
        <v>2</v>
      </c>
      <c r="L17" s="126">
        <f t="shared" si="4"/>
        <v>6</v>
      </c>
      <c r="M17" s="6">
        <f>SUMIF(Abr!$G$3:$G$107,A17,Abr!$J$3:$J$107)</f>
        <v>6</v>
      </c>
      <c r="N17" s="270">
        <f t="shared" si="0"/>
        <v>0</v>
      </c>
      <c r="O17" s="243">
        <f t="shared" si="1"/>
        <v>205</v>
      </c>
      <c r="P17" s="270">
        <f t="shared" si="2"/>
        <v>6</v>
      </c>
      <c r="Q17" s="270">
        <f t="shared" si="3"/>
        <v>0</v>
      </c>
    </row>
    <row r="18" spans="1:17" s="270" customFormat="1" x14ac:dyDescent="0.25">
      <c r="A18" s="40">
        <v>1523800284</v>
      </c>
      <c r="B18" s="6" t="s">
        <v>279</v>
      </c>
      <c r="C18" s="266" t="s">
        <v>264</v>
      </c>
      <c r="D18" s="266"/>
      <c r="E18" s="266">
        <v>43527.088854166665</v>
      </c>
      <c r="F18" s="266">
        <v>43559</v>
      </c>
      <c r="G18" s="266">
        <v>43561</v>
      </c>
      <c r="H18" s="266" t="s">
        <v>948</v>
      </c>
      <c r="I18" s="294">
        <v>410</v>
      </c>
      <c r="J18" s="6"/>
      <c r="K18" s="6">
        <v>2</v>
      </c>
      <c r="L18" s="126">
        <f t="shared" si="4"/>
        <v>2</v>
      </c>
      <c r="M18" s="6">
        <f>SUMIF(Abr!$G$3:$G$107,A18,Abr!$J$3:$J$107)</f>
        <v>2</v>
      </c>
      <c r="N18" s="270">
        <f t="shared" si="0"/>
        <v>0</v>
      </c>
      <c r="O18" s="243">
        <f t="shared" si="1"/>
        <v>205</v>
      </c>
      <c r="P18" s="270">
        <f t="shared" si="2"/>
        <v>2</v>
      </c>
      <c r="Q18" s="270">
        <f t="shared" si="3"/>
        <v>0</v>
      </c>
    </row>
    <row r="19" spans="1:17" s="270" customFormat="1" x14ac:dyDescent="0.25">
      <c r="A19" s="40">
        <v>1902124207314</v>
      </c>
      <c r="B19" s="6" t="s">
        <v>279</v>
      </c>
      <c r="C19" s="266" t="s">
        <v>266</v>
      </c>
      <c r="D19" s="266" t="s">
        <v>792</v>
      </c>
      <c r="E19" s="266">
        <v>43508.924259259256</v>
      </c>
      <c r="F19" s="266">
        <v>43560</v>
      </c>
      <c r="G19" s="266">
        <v>43562</v>
      </c>
      <c r="H19" s="266" t="s">
        <v>949</v>
      </c>
      <c r="I19" s="294">
        <v>779</v>
      </c>
      <c r="J19" s="6"/>
      <c r="K19" s="6">
        <v>2</v>
      </c>
      <c r="L19" s="126">
        <f t="shared" si="4"/>
        <v>2</v>
      </c>
      <c r="M19" s="6">
        <f>SUMIF(Abr!$G$3:$G$107,A19,Abr!$J$3:$J$107)</f>
        <v>4</v>
      </c>
      <c r="N19" s="270">
        <f t="shared" si="0"/>
        <v>-2</v>
      </c>
      <c r="O19" s="243">
        <f t="shared" si="1"/>
        <v>194.75</v>
      </c>
      <c r="P19" s="270">
        <f t="shared" si="2"/>
        <v>4</v>
      </c>
      <c r="Q19" s="270">
        <f>+P19-L19</f>
        <v>2</v>
      </c>
    </row>
    <row r="20" spans="1:17" s="270" customFormat="1" x14ac:dyDescent="0.25">
      <c r="A20" s="40">
        <v>2081982601</v>
      </c>
      <c r="B20" s="6" t="s">
        <v>280</v>
      </c>
      <c r="C20" s="266" t="s">
        <v>264</v>
      </c>
      <c r="D20" s="266"/>
      <c r="E20" s="266">
        <v>43521.524456018517</v>
      </c>
      <c r="F20" s="266">
        <v>43561</v>
      </c>
      <c r="G20" s="266">
        <v>43564</v>
      </c>
      <c r="H20" s="266" t="s">
        <v>950</v>
      </c>
      <c r="I20" s="294">
        <v>615</v>
      </c>
      <c r="J20" s="6"/>
      <c r="K20" s="6">
        <v>2</v>
      </c>
      <c r="L20" s="126">
        <f t="shared" si="4"/>
        <v>3</v>
      </c>
      <c r="M20" s="6">
        <f>SUMIF(Abr!$G$3:$G$107,A20,Abr!$J$3:$J$107)</f>
        <v>3</v>
      </c>
      <c r="N20" s="270">
        <f t="shared" si="0"/>
        <v>0</v>
      </c>
      <c r="O20" s="243">
        <f t="shared" si="1"/>
        <v>205</v>
      </c>
      <c r="P20" s="270">
        <f t="shared" si="2"/>
        <v>3</v>
      </c>
      <c r="Q20" s="270">
        <f t="shared" si="3"/>
        <v>0</v>
      </c>
    </row>
    <row r="21" spans="1:17" s="270" customFormat="1" x14ac:dyDescent="0.25">
      <c r="A21" s="40">
        <v>1584532122</v>
      </c>
      <c r="B21" s="6" t="s">
        <v>279</v>
      </c>
      <c r="C21" s="266" t="s">
        <v>264</v>
      </c>
      <c r="D21" s="266"/>
      <c r="E21" s="266">
        <v>43542.249675925923</v>
      </c>
      <c r="F21" s="266">
        <v>43561</v>
      </c>
      <c r="G21" s="266">
        <v>43562</v>
      </c>
      <c r="H21" s="266" t="s">
        <v>951</v>
      </c>
      <c r="I21" s="294">
        <v>195</v>
      </c>
      <c r="J21" s="6"/>
      <c r="K21" s="6">
        <v>2</v>
      </c>
      <c r="L21" s="126">
        <f t="shared" si="4"/>
        <v>1</v>
      </c>
      <c r="M21" s="6">
        <f>SUMIF(Abr!$G$3:$G$107,A21,Abr!$J$3:$J$107)</f>
        <v>1</v>
      </c>
      <c r="N21" s="270">
        <f t="shared" si="0"/>
        <v>0</v>
      </c>
      <c r="O21" s="243">
        <f t="shared" si="1"/>
        <v>195</v>
      </c>
      <c r="P21" s="270">
        <f t="shared" si="2"/>
        <v>1</v>
      </c>
      <c r="Q21" s="270">
        <f t="shared" si="3"/>
        <v>0</v>
      </c>
    </row>
    <row r="22" spans="1:17" s="270" customFormat="1" x14ac:dyDescent="0.25">
      <c r="A22" s="40">
        <v>1230751082</v>
      </c>
      <c r="B22" s="6" t="s">
        <v>279</v>
      </c>
      <c r="C22" s="266" t="s">
        <v>264</v>
      </c>
      <c r="D22" s="266"/>
      <c r="E22" s="266">
        <v>43542.409525462965</v>
      </c>
      <c r="F22" s="266">
        <v>43561</v>
      </c>
      <c r="G22" s="266">
        <v>43564</v>
      </c>
      <c r="H22" s="266" t="s">
        <v>952</v>
      </c>
      <c r="I22" s="294">
        <v>585</v>
      </c>
      <c r="J22" s="6"/>
      <c r="K22" s="6">
        <v>2</v>
      </c>
      <c r="L22" s="126">
        <f t="shared" si="4"/>
        <v>3</v>
      </c>
      <c r="M22" s="6">
        <f>SUMIF(Abr!$G$3:$G$107,A22,Abr!$J$3:$J$107)</f>
        <v>3</v>
      </c>
      <c r="N22" s="270">
        <f t="shared" si="0"/>
        <v>0</v>
      </c>
      <c r="O22" s="243">
        <f t="shared" si="1"/>
        <v>195</v>
      </c>
      <c r="P22" s="270">
        <f t="shared" si="2"/>
        <v>3</v>
      </c>
      <c r="Q22" s="270">
        <f t="shared" si="3"/>
        <v>0</v>
      </c>
    </row>
    <row r="23" spans="1:17" s="270" customFormat="1" x14ac:dyDescent="0.25">
      <c r="A23" s="40">
        <v>3997720917</v>
      </c>
      <c r="B23" s="6" t="s">
        <v>280</v>
      </c>
      <c r="C23" s="266" t="s">
        <v>264</v>
      </c>
      <c r="D23" s="266"/>
      <c r="E23" s="266">
        <v>43559.88726851852</v>
      </c>
      <c r="F23" s="266">
        <v>43561</v>
      </c>
      <c r="G23" s="266">
        <v>43562</v>
      </c>
      <c r="H23" s="266" t="s">
        <v>953</v>
      </c>
      <c r="I23" s="294">
        <v>195</v>
      </c>
      <c r="J23" s="6"/>
      <c r="K23" s="6">
        <v>2</v>
      </c>
      <c r="L23" s="126">
        <f t="shared" si="4"/>
        <v>1</v>
      </c>
      <c r="M23" s="6">
        <f>SUMIF(Abr!$G$3:$G$107,A23,Abr!$J$3:$J$107)</f>
        <v>1</v>
      </c>
      <c r="N23" s="270">
        <f t="shared" si="0"/>
        <v>0</v>
      </c>
      <c r="O23" s="243">
        <f t="shared" si="1"/>
        <v>195</v>
      </c>
      <c r="P23" s="270">
        <f t="shared" si="2"/>
        <v>1</v>
      </c>
      <c r="Q23" s="270">
        <f t="shared" si="3"/>
        <v>0</v>
      </c>
    </row>
    <row r="24" spans="1:17" s="270" customFormat="1" x14ac:dyDescent="0.25">
      <c r="A24" s="40">
        <v>1904054393186</v>
      </c>
      <c r="B24" s="6" t="s">
        <v>279</v>
      </c>
      <c r="C24" s="266" t="s">
        <v>266</v>
      </c>
      <c r="D24" s="266" t="s">
        <v>792</v>
      </c>
      <c r="E24" s="266">
        <v>43560.464988425927</v>
      </c>
      <c r="F24" s="266">
        <v>43561</v>
      </c>
      <c r="G24" s="266">
        <v>43562</v>
      </c>
      <c r="H24" s="266" t="s">
        <v>871</v>
      </c>
      <c r="I24" s="294">
        <v>185.25</v>
      </c>
      <c r="J24" s="6"/>
      <c r="K24" s="6">
        <v>2</v>
      </c>
      <c r="L24" s="126">
        <f t="shared" si="4"/>
        <v>1</v>
      </c>
      <c r="M24" s="6">
        <f>SUMIF(Abr!$G$3:$G$107,A24,Abr!$J$3:$J$107)</f>
        <v>1</v>
      </c>
      <c r="N24" s="270">
        <f t="shared" si="0"/>
        <v>0</v>
      </c>
      <c r="O24" s="243">
        <f t="shared" si="1"/>
        <v>185.25</v>
      </c>
      <c r="P24" s="270">
        <f t="shared" si="2"/>
        <v>1</v>
      </c>
      <c r="Q24" s="270">
        <f t="shared" si="3"/>
        <v>0</v>
      </c>
    </row>
    <row r="25" spans="1:17" s="270" customFormat="1" x14ac:dyDescent="0.25">
      <c r="A25" s="40">
        <v>1273435569</v>
      </c>
      <c r="B25" s="6" t="s">
        <v>279</v>
      </c>
      <c r="C25" s="266" t="s">
        <v>264</v>
      </c>
      <c r="D25" s="266"/>
      <c r="E25" s="266">
        <v>43370.017013888886</v>
      </c>
      <c r="F25" s="266">
        <v>43562</v>
      </c>
      <c r="G25" s="266">
        <v>43566</v>
      </c>
      <c r="H25" s="266" t="s">
        <v>954</v>
      </c>
      <c r="I25" s="294">
        <v>820</v>
      </c>
      <c r="J25" s="6"/>
      <c r="K25" s="6">
        <v>2</v>
      </c>
      <c r="L25" s="126">
        <f t="shared" si="4"/>
        <v>4</v>
      </c>
      <c r="M25" s="6">
        <f>SUMIF(Abr!$G$3:$G$107,A25,Abr!$J$3:$J$107)</f>
        <v>4</v>
      </c>
      <c r="N25" s="270">
        <f t="shared" si="0"/>
        <v>0</v>
      </c>
      <c r="O25" s="243">
        <f t="shared" ref="O25:O66" si="5">+I25/M25</f>
        <v>205</v>
      </c>
      <c r="P25" s="270">
        <f t="shared" ref="P25:P66" si="6">ROUND(I25/O25,0)</f>
        <v>4</v>
      </c>
      <c r="Q25" s="270">
        <f t="shared" ref="Q25:Q66" si="7">+P25-L25</f>
        <v>0</v>
      </c>
    </row>
    <row r="26" spans="1:17" s="270" customFormat="1" x14ac:dyDescent="0.25">
      <c r="A26" s="40">
        <v>1145383996</v>
      </c>
      <c r="B26" s="6" t="s">
        <v>279</v>
      </c>
      <c r="C26" s="266" t="s">
        <v>265</v>
      </c>
      <c r="D26" s="266" t="s">
        <v>794</v>
      </c>
      <c r="E26" s="266">
        <v>43413.666666666664</v>
      </c>
      <c r="F26" s="266">
        <v>43562</v>
      </c>
      <c r="G26" s="266">
        <v>43568</v>
      </c>
      <c r="H26" s="266" t="s">
        <v>955</v>
      </c>
      <c r="I26" s="294">
        <v>1230</v>
      </c>
      <c r="J26" s="6"/>
      <c r="K26" s="6">
        <v>2</v>
      </c>
      <c r="L26" s="126">
        <f t="shared" si="4"/>
        <v>6</v>
      </c>
      <c r="M26" s="6">
        <f>SUMIF(Abr!$G$3:$G$107,A26,Abr!$J$3:$J$107)</f>
        <v>6</v>
      </c>
      <c r="N26" s="270">
        <f t="shared" si="0"/>
        <v>0</v>
      </c>
      <c r="O26" s="243">
        <f t="shared" si="5"/>
        <v>205</v>
      </c>
      <c r="P26" s="270">
        <f t="shared" si="6"/>
        <v>6</v>
      </c>
      <c r="Q26" s="270">
        <f t="shared" si="7"/>
        <v>0</v>
      </c>
    </row>
    <row r="27" spans="1:17" s="270" customFormat="1" x14ac:dyDescent="0.25">
      <c r="A27" s="40">
        <v>1310606002</v>
      </c>
      <c r="B27" s="6" t="s">
        <v>279</v>
      </c>
      <c r="C27" s="266" t="s">
        <v>264</v>
      </c>
      <c r="D27" s="266"/>
      <c r="E27" s="266">
        <v>43508.950370370374</v>
      </c>
      <c r="F27" s="266">
        <v>43562</v>
      </c>
      <c r="G27" s="266">
        <v>43565</v>
      </c>
      <c r="H27" s="266" t="s">
        <v>956</v>
      </c>
      <c r="I27" s="294">
        <v>615</v>
      </c>
      <c r="J27" s="6"/>
      <c r="K27" s="6">
        <v>2</v>
      </c>
      <c r="L27" s="126">
        <f t="shared" si="4"/>
        <v>3</v>
      </c>
      <c r="M27" s="6">
        <f>SUMIF(Abr!$G$3:$G$107,A27,Abr!$J$3:$J$107)</f>
        <v>3</v>
      </c>
      <c r="N27" s="270">
        <f t="shared" si="0"/>
        <v>0</v>
      </c>
      <c r="O27" s="243">
        <f t="shared" si="5"/>
        <v>205</v>
      </c>
      <c r="P27" s="270">
        <f t="shared" si="6"/>
        <v>3</v>
      </c>
      <c r="Q27" s="270">
        <f t="shared" si="7"/>
        <v>0</v>
      </c>
    </row>
    <row r="28" spans="1:17" s="270" customFormat="1" x14ac:dyDescent="0.25">
      <c r="A28" s="40">
        <v>3165743059</v>
      </c>
      <c r="B28" s="6" t="s">
        <v>279</v>
      </c>
      <c r="C28" s="266" t="s">
        <v>264</v>
      </c>
      <c r="D28" s="266"/>
      <c r="E28" s="266">
        <v>43544.708969907406</v>
      </c>
      <c r="F28" s="266">
        <v>43562</v>
      </c>
      <c r="G28" s="266">
        <v>43564</v>
      </c>
      <c r="H28" s="266" t="s">
        <v>957</v>
      </c>
      <c r="I28" s="294">
        <v>390</v>
      </c>
      <c r="J28" s="6"/>
      <c r="K28" s="6">
        <v>2</v>
      </c>
      <c r="L28" s="126">
        <f t="shared" si="4"/>
        <v>2</v>
      </c>
      <c r="M28" s="6">
        <f>SUMIF(Abr!$G$3:$G$107,A28,Abr!$J$3:$J$107)</f>
        <v>2</v>
      </c>
      <c r="N28" s="270">
        <f t="shared" si="0"/>
        <v>0</v>
      </c>
      <c r="O28" s="243">
        <f t="shared" si="5"/>
        <v>195</v>
      </c>
      <c r="P28" s="270">
        <f t="shared" si="6"/>
        <v>2</v>
      </c>
      <c r="Q28" s="270">
        <f t="shared" si="7"/>
        <v>0</v>
      </c>
    </row>
    <row r="29" spans="1:17" s="270" customFormat="1" x14ac:dyDescent="0.25">
      <c r="A29" s="40">
        <v>1997890778</v>
      </c>
      <c r="B29" s="6" t="s">
        <v>280</v>
      </c>
      <c r="C29" s="266" t="s">
        <v>264</v>
      </c>
      <c r="D29" s="266"/>
      <c r="E29" s="266">
        <v>43413.74664351852</v>
      </c>
      <c r="F29" s="266">
        <v>43563</v>
      </c>
      <c r="G29" s="266">
        <v>43566</v>
      </c>
      <c r="H29" s="266" t="s">
        <v>958</v>
      </c>
      <c r="I29" s="294">
        <v>615</v>
      </c>
      <c r="J29" s="6"/>
      <c r="K29" s="6">
        <v>2</v>
      </c>
      <c r="L29" s="126">
        <f t="shared" si="4"/>
        <v>3</v>
      </c>
      <c r="M29" s="6">
        <f>SUMIF(Abr!$G$3:$G$107,A29,Abr!$J$3:$J$107)</f>
        <v>3</v>
      </c>
      <c r="N29" s="270">
        <f t="shared" si="0"/>
        <v>0</v>
      </c>
      <c r="O29" s="243">
        <f t="shared" si="5"/>
        <v>205</v>
      </c>
      <c r="P29" s="270">
        <f t="shared" si="6"/>
        <v>3</v>
      </c>
      <c r="Q29" s="270">
        <f t="shared" si="7"/>
        <v>0</v>
      </c>
    </row>
    <row r="30" spans="1:17" s="270" customFormat="1" x14ac:dyDescent="0.25">
      <c r="A30" s="40">
        <v>1165655652</v>
      </c>
      <c r="B30" s="6" t="s">
        <v>279</v>
      </c>
      <c r="C30" s="266" t="s">
        <v>265</v>
      </c>
      <c r="D30" s="266" t="s">
        <v>791</v>
      </c>
      <c r="E30" s="266">
        <v>43453.106944444444</v>
      </c>
      <c r="F30" s="266">
        <v>43563</v>
      </c>
      <c r="G30" s="266">
        <v>43567</v>
      </c>
      <c r="H30" s="266" t="s">
        <v>959</v>
      </c>
      <c r="I30" s="294">
        <v>820</v>
      </c>
      <c r="J30" s="6"/>
      <c r="K30" s="6">
        <v>2</v>
      </c>
      <c r="L30" s="126">
        <f t="shared" si="4"/>
        <v>4</v>
      </c>
      <c r="M30" s="6">
        <f>SUMIF(Abr!$G$3:$G$107,A30,Abr!$J$3:$J$107)</f>
        <v>4</v>
      </c>
      <c r="N30" s="270">
        <f t="shared" si="0"/>
        <v>0</v>
      </c>
      <c r="O30" s="243">
        <f t="shared" si="5"/>
        <v>205</v>
      </c>
      <c r="P30" s="270">
        <f t="shared" si="6"/>
        <v>4</v>
      </c>
      <c r="Q30" s="270">
        <f t="shared" si="7"/>
        <v>0</v>
      </c>
    </row>
    <row r="31" spans="1:17" s="270" customFormat="1" x14ac:dyDescent="0.25">
      <c r="A31" s="40">
        <v>1829621722</v>
      </c>
      <c r="B31" s="6" t="s">
        <v>279</v>
      </c>
      <c r="C31" s="266" t="s">
        <v>264</v>
      </c>
      <c r="D31" s="266"/>
      <c r="E31" s="266">
        <v>43379.500578703701</v>
      </c>
      <c r="F31" s="266">
        <v>43564</v>
      </c>
      <c r="G31" s="266">
        <v>43567</v>
      </c>
      <c r="H31" s="266" t="s">
        <v>960</v>
      </c>
      <c r="I31" s="294">
        <v>615</v>
      </c>
      <c r="J31" s="6"/>
      <c r="K31" s="6">
        <v>2</v>
      </c>
      <c r="L31" s="126">
        <f t="shared" si="4"/>
        <v>3</v>
      </c>
      <c r="M31" s="6">
        <f>SUMIF(Abr!$G$3:$G$107,A31,Abr!$J$3:$J$107)</f>
        <v>3</v>
      </c>
      <c r="N31" s="270">
        <f t="shared" si="0"/>
        <v>0</v>
      </c>
      <c r="O31" s="243">
        <f t="shared" si="5"/>
        <v>205</v>
      </c>
      <c r="P31" s="270">
        <f t="shared" si="6"/>
        <v>3</v>
      </c>
      <c r="Q31" s="270">
        <f t="shared" si="7"/>
        <v>0</v>
      </c>
    </row>
    <row r="32" spans="1:17" s="270" customFormat="1" x14ac:dyDescent="0.25">
      <c r="A32" s="40">
        <v>1784841259</v>
      </c>
      <c r="B32" s="6" t="s">
        <v>280</v>
      </c>
      <c r="C32" s="266" t="s">
        <v>264</v>
      </c>
      <c r="D32" s="266"/>
      <c r="E32" s="266">
        <v>43394.915567129632</v>
      </c>
      <c r="F32" s="266">
        <v>43564</v>
      </c>
      <c r="G32" s="266">
        <v>43570</v>
      </c>
      <c r="H32" s="266" t="s">
        <v>961</v>
      </c>
      <c r="I32" s="294">
        <v>1230</v>
      </c>
      <c r="J32" s="6"/>
      <c r="K32" s="6">
        <v>2</v>
      </c>
      <c r="L32" s="126">
        <f t="shared" si="4"/>
        <v>6</v>
      </c>
      <c r="M32" s="6">
        <f>SUMIF(Abr!$G$3:$G$107,A32,Abr!$J$3:$J$107)</f>
        <v>6</v>
      </c>
      <c r="N32" s="270">
        <f t="shared" si="0"/>
        <v>0</v>
      </c>
      <c r="O32" s="243">
        <f t="shared" si="5"/>
        <v>205</v>
      </c>
      <c r="P32" s="270">
        <f t="shared" si="6"/>
        <v>6</v>
      </c>
      <c r="Q32" s="270">
        <f t="shared" si="7"/>
        <v>0</v>
      </c>
    </row>
    <row r="33" spans="1:17" s="270" customFormat="1" x14ac:dyDescent="0.25">
      <c r="A33" s="40">
        <v>1960984400</v>
      </c>
      <c r="B33" s="6" t="s">
        <v>279</v>
      </c>
      <c r="C33" s="266" t="s">
        <v>264</v>
      </c>
      <c r="D33" s="266"/>
      <c r="E33" s="266">
        <v>43420.535509259258</v>
      </c>
      <c r="F33" s="266">
        <v>43565</v>
      </c>
      <c r="G33" s="266">
        <v>43568</v>
      </c>
      <c r="H33" s="266" t="s">
        <v>882</v>
      </c>
      <c r="I33" s="294">
        <v>615</v>
      </c>
      <c r="J33" s="6"/>
      <c r="K33" s="6">
        <v>2</v>
      </c>
      <c r="L33" s="126">
        <f t="shared" si="4"/>
        <v>3</v>
      </c>
      <c r="M33" s="6">
        <f>SUMIF(Abr!$G$3:$G$107,A33,Abr!$J$3:$J$107)</f>
        <v>3</v>
      </c>
      <c r="N33" s="270">
        <f t="shared" si="0"/>
        <v>0</v>
      </c>
      <c r="O33" s="243">
        <f t="shared" si="5"/>
        <v>205</v>
      </c>
      <c r="P33" s="270">
        <f t="shared" si="6"/>
        <v>3</v>
      </c>
      <c r="Q33" s="270">
        <f t="shared" si="7"/>
        <v>0</v>
      </c>
    </row>
    <row r="34" spans="1:17" s="270" customFormat="1" x14ac:dyDescent="0.25">
      <c r="A34" s="40">
        <v>1169945205</v>
      </c>
      <c r="B34" s="6" t="s">
        <v>279</v>
      </c>
      <c r="C34" s="266" t="s">
        <v>265</v>
      </c>
      <c r="D34" s="266" t="s">
        <v>791</v>
      </c>
      <c r="E34" s="266">
        <v>43462.640972222223</v>
      </c>
      <c r="F34" s="266">
        <v>43566</v>
      </c>
      <c r="G34" s="266">
        <v>43568</v>
      </c>
      <c r="H34" s="266" t="s">
        <v>962</v>
      </c>
      <c r="I34" s="294">
        <v>410</v>
      </c>
      <c r="J34" s="6"/>
      <c r="K34" s="6">
        <v>2</v>
      </c>
      <c r="L34" s="126">
        <f t="shared" si="4"/>
        <v>2</v>
      </c>
      <c r="M34" s="6">
        <f>SUMIF(Abr!$G$3:$G$107,A34,Abr!$J$3:$J$107)</f>
        <v>2</v>
      </c>
      <c r="N34" s="270">
        <f t="shared" si="0"/>
        <v>0</v>
      </c>
      <c r="O34" s="243">
        <f t="shared" si="5"/>
        <v>205</v>
      </c>
      <c r="P34" s="270">
        <f t="shared" si="6"/>
        <v>2</v>
      </c>
      <c r="Q34" s="270">
        <f t="shared" si="7"/>
        <v>0</v>
      </c>
    </row>
    <row r="35" spans="1:17" s="270" customFormat="1" x14ac:dyDescent="0.25">
      <c r="A35" s="40">
        <v>1435728184</v>
      </c>
      <c r="B35" s="6" t="s">
        <v>279</v>
      </c>
      <c r="C35" s="266" t="s">
        <v>264</v>
      </c>
      <c r="D35" s="266"/>
      <c r="E35" s="266">
        <v>43491.59101851852</v>
      </c>
      <c r="F35" s="266">
        <v>43567</v>
      </c>
      <c r="G35" s="266">
        <v>43568</v>
      </c>
      <c r="H35" s="266" t="s">
        <v>963</v>
      </c>
      <c r="I35" s="294">
        <v>205</v>
      </c>
      <c r="J35" s="6"/>
      <c r="K35" s="6">
        <v>2</v>
      </c>
      <c r="L35" s="126">
        <f t="shared" si="4"/>
        <v>1</v>
      </c>
      <c r="M35" s="6">
        <f>SUMIF(Abr!$G$3:$G$107,A35,Abr!$J$3:$J$107)</f>
        <v>1</v>
      </c>
      <c r="N35" s="270">
        <f t="shared" si="0"/>
        <v>0</v>
      </c>
      <c r="O35" s="243">
        <f t="shared" si="5"/>
        <v>205</v>
      </c>
      <c r="P35" s="270">
        <f t="shared" si="6"/>
        <v>1</v>
      </c>
      <c r="Q35" s="270">
        <f t="shared" si="7"/>
        <v>0</v>
      </c>
    </row>
    <row r="36" spans="1:17" s="270" customFormat="1" x14ac:dyDescent="0.25">
      <c r="A36" s="40">
        <v>1218251540</v>
      </c>
      <c r="B36" s="6" t="s">
        <v>279</v>
      </c>
      <c r="C36" s="266" t="s">
        <v>265</v>
      </c>
      <c r="D36" s="266" t="s">
        <v>964</v>
      </c>
      <c r="E36" s="266">
        <v>43540.333333333336</v>
      </c>
      <c r="F36" s="266">
        <v>43567</v>
      </c>
      <c r="G36" s="266">
        <v>43568</v>
      </c>
      <c r="H36" s="266" t="s">
        <v>965</v>
      </c>
      <c r="I36" s="294">
        <v>195</v>
      </c>
      <c r="J36" s="6"/>
      <c r="K36" s="6">
        <v>2</v>
      </c>
      <c r="L36" s="126">
        <f t="shared" si="4"/>
        <v>1</v>
      </c>
      <c r="M36" s="6">
        <f>SUMIF(Abr!$G$3:$G$107,A36,Abr!$J$3:$J$107)</f>
        <v>1</v>
      </c>
      <c r="N36" s="270">
        <f t="shared" si="0"/>
        <v>0</v>
      </c>
      <c r="O36" s="243">
        <f t="shared" si="5"/>
        <v>195</v>
      </c>
      <c r="P36" s="270">
        <f t="shared" si="6"/>
        <v>1</v>
      </c>
      <c r="Q36" s="270">
        <f t="shared" si="7"/>
        <v>0</v>
      </c>
    </row>
    <row r="37" spans="1:17" s="270" customFormat="1" x14ac:dyDescent="0.25">
      <c r="A37" s="40">
        <v>1901234135116</v>
      </c>
      <c r="B37" s="6" t="s">
        <v>279</v>
      </c>
      <c r="C37" s="266" t="s">
        <v>266</v>
      </c>
      <c r="D37" s="266" t="s">
        <v>792</v>
      </c>
      <c r="E37" s="266">
        <v>43488.482256944444</v>
      </c>
      <c r="F37" s="266">
        <v>43568</v>
      </c>
      <c r="G37" s="266">
        <v>43571</v>
      </c>
      <c r="H37" s="266" t="s">
        <v>927</v>
      </c>
      <c r="I37" s="294">
        <v>584.25</v>
      </c>
      <c r="J37" s="6"/>
      <c r="K37" s="6">
        <v>2</v>
      </c>
      <c r="L37" s="126">
        <f t="shared" si="4"/>
        <v>3</v>
      </c>
      <c r="M37" s="6">
        <f>SUMIF(Abr!$G$3:$G$107,A37,Abr!$J$3:$J$107)</f>
        <v>3</v>
      </c>
      <c r="N37" s="270">
        <f t="shared" si="0"/>
        <v>0</v>
      </c>
      <c r="O37" s="243">
        <f t="shared" si="5"/>
        <v>194.75</v>
      </c>
      <c r="P37" s="270">
        <f t="shared" si="6"/>
        <v>3</v>
      </c>
      <c r="Q37" s="270">
        <f t="shared" si="7"/>
        <v>0</v>
      </c>
    </row>
    <row r="38" spans="1:17" s="270" customFormat="1" x14ac:dyDescent="0.25">
      <c r="A38" s="40">
        <v>1901234135148</v>
      </c>
      <c r="B38" s="6" t="s">
        <v>279</v>
      </c>
      <c r="C38" s="266" t="s">
        <v>266</v>
      </c>
      <c r="D38" s="266" t="s">
        <v>792</v>
      </c>
      <c r="E38" s="266">
        <v>43488.487951388888</v>
      </c>
      <c r="F38" s="266">
        <v>43568</v>
      </c>
      <c r="G38" s="266">
        <v>43571</v>
      </c>
      <c r="H38" s="266" t="s">
        <v>966</v>
      </c>
      <c r="I38" s="294">
        <v>584.25</v>
      </c>
      <c r="J38" s="6"/>
      <c r="K38" s="6">
        <v>2</v>
      </c>
      <c r="L38" s="126">
        <f t="shared" ref="L38:L83" si="8">G38-F38</f>
        <v>3</v>
      </c>
      <c r="M38" s="6">
        <f>SUMIF(Abr!$G$3:$G$107,A38,Abr!$J$3:$J$107)</f>
        <v>3</v>
      </c>
      <c r="N38" s="270">
        <f t="shared" ref="N38:N83" si="9">+L38-M38</f>
        <v>0</v>
      </c>
      <c r="O38" s="243">
        <f t="shared" si="5"/>
        <v>194.75</v>
      </c>
      <c r="P38" s="270">
        <f t="shared" si="6"/>
        <v>3</v>
      </c>
      <c r="Q38" s="270">
        <f t="shared" si="7"/>
        <v>0</v>
      </c>
    </row>
    <row r="39" spans="1:17" s="270" customFormat="1" x14ac:dyDescent="0.25">
      <c r="A39" s="40">
        <v>1901234135180</v>
      </c>
      <c r="B39" s="6" t="s">
        <v>279</v>
      </c>
      <c r="C39" s="266" t="s">
        <v>266</v>
      </c>
      <c r="D39" s="266" t="s">
        <v>792</v>
      </c>
      <c r="E39" s="266">
        <v>43488.493368055555</v>
      </c>
      <c r="F39" s="266">
        <v>43568</v>
      </c>
      <c r="G39" s="266">
        <v>43571</v>
      </c>
      <c r="H39" s="266" t="s">
        <v>967</v>
      </c>
      <c r="I39" s="294">
        <v>1168.5</v>
      </c>
      <c r="J39" s="6"/>
      <c r="K39" s="6">
        <v>2</v>
      </c>
      <c r="L39" s="126">
        <f t="shared" si="8"/>
        <v>3</v>
      </c>
      <c r="M39" s="6">
        <f>SUMIF(Abr!$G$3:$G$107,A39,Abr!$J$3:$J$107)</f>
        <v>3</v>
      </c>
      <c r="N39" s="270">
        <f t="shared" si="9"/>
        <v>0</v>
      </c>
      <c r="O39" s="243">
        <f t="shared" si="5"/>
        <v>389.5</v>
      </c>
      <c r="P39" s="270">
        <f t="shared" si="6"/>
        <v>3</v>
      </c>
      <c r="Q39" s="270">
        <f t="shared" si="7"/>
        <v>0</v>
      </c>
    </row>
    <row r="40" spans="1:17" s="270" customFormat="1" x14ac:dyDescent="0.25">
      <c r="A40" s="40">
        <v>1901234135203</v>
      </c>
      <c r="B40" s="6" t="s">
        <v>279</v>
      </c>
      <c r="C40" s="266" t="s">
        <v>266</v>
      </c>
      <c r="D40" s="266" t="s">
        <v>792</v>
      </c>
      <c r="E40" s="266">
        <v>43488.497523148151</v>
      </c>
      <c r="F40" s="266">
        <v>43568</v>
      </c>
      <c r="G40" s="266">
        <v>43571</v>
      </c>
      <c r="H40" s="266" t="s">
        <v>968</v>
      </c>
      <c r="I40" s="294">
        <v>1168.5</v>
      </c>
      <c r="J40" s="6"/>
      <c r="K40" s="6">
        <v>2</v>
      </c>
      <c r="L40" s="126">
        <f t="shared" si="8"/>
        <v>3</v>
      </c>
      <c r="M40" s="6">
        <f>SUMIF(Abr!$G$3:$G$107,A40,Abr!$J$3:$J$107)</f>
        <v>6</v>
      </c>
      <c r="N40" s="270">
        <f t="shared" si="9"/>
        <v>-3</v>
      </c>
      <c r="O40" s="243">
        <f t="shared" si="5"/>
        <v>194.75</v>
      </c>
      <c r="P40" s="270">
        <f>ROUND(I40/O40,0)</f>
        <v>6</v>
      </c>
      <c r="Q40" s="270">
        <f t="shared" si="7"/>
        <v>3</v>
      </c>
    </row>
    <row r="41" spans="1:17" s="270" customFormat="1" x14ac:dyDescent="0.25">
      <c r="A41" s="40">
        <v>1901234135215</v>
      </c>
      <c r="B41" s="6" t="s">
        <v>279</v>
      </c>
      <c r="C41" s="266" t="s">
        <v>266</v>
      </c>
      <c r="D41" s="266" t="s">
        <v>792</v>
      </c>
      <c r="E41" s="266">
        <v>43488.499965277777</v>
      </c>
      <c r="F41" s="266">
        <v>43568</v>
      </c>
      <c r="G41" s="266">
        <v>43571</v>
      </c>
      <c r="H41" s="266" t="s">
        <v>969</v>
      </c>
      <c r="I41" s="294">
        <v>584.25</v>
      </c>
      <c r="J41" s="6"/>
      <c r="K41" s="6">
        <v>2</v>
      </c>
      <c r="L41" s="126">
        <f t="shared" si="8"/>
        <v>3</v>
      </c>
      <c r="M41" s="6">
        <f>SUMIF(Abr!$G$3:$G$107,A41,Abr!$J$3:$J$107)</f>
        <v>3</v>
      </c>
      <c r="N41" s="270">
        <f t="shared" si="9"/>
        <v>0</v>
      </c>
      <c r="O41" s="243">
        <f t="shared" si="5"/>
        <v>194.75</v>
      </c>
      <c r="P41" s="270">
        <f t="shared" si="6"/>
        <v>3</v>
      </c>
      <c r="Q41" s="270">
        <f t="shared" si="7"/>
        <v>0</v>
      </c>
    </row>
    <row r="42" spans="1:17" s="270" customFormat="1" x14ac:dyDescent="0.25">
      <c r="A42" s="40">
        <v>1178819021</v>
      </c>
      <c r="B42" s="6" t="s">
        <v>280</v>
      </c>
      <c r="C42" s="266" t="s">
        <v>264</v>
      </c>
      <c r="D42" s="266"/>
      <c r="E42" s="266">
        <v>43491.341782407406</v>
      </c>
      <c r="F42" s="266">
        <v>43568</v>
      </c>
      <c r="G42" s="266">
        <v>43572</v>
      </c>
      <c r="H42" s="266" t="s">
        <v>970</v>
      </c>
      <c r="I42" s="294">
        <v>820</v>
      </c>
      <c r="J42" s="6"/>
      <c r="K42" s="6">
        <v>2</v>
      </c>
      <c r="L42" s="126">
        <f t="shared" si="8"/>
        <v>4</v>
      </c>
      <c r="M42" s="6">
        <f>SUMIF(Abr!$G$3:$G$107,A42,Abr!$J$3:$J$107)</f>
        <v>4</v>
      </c>
      <c r="N42" s="270">
        <f t="shared" si="9"/>
        <v>0</v>
      </c>
      <c r="O42" s="243">
        <f t="shared" si="5"/>
        <v>205</v>
      </c>
      <c r="P42" s="270">
        <f t="shared" si="6"/>
        <v>4</v>
      </c>
      <c r="Q42" s="270">
        <f t="shared" si="7"/>
        <v>0</v>
      </c>
    </row>
    <row r="43" spans="1:17" s="270" customFormat="1" x14ac:dyDescent="0.25">
      <c r="A43" s="40">
        <v>1901264144824</v>
      </c>
      <c r="B43" s="6" t="s">
        <v>279</v>
      </c>
      <c r="C43" s="266" t="s">
        <v>266</v>
      </c>
      <c r="D43" s="266" t="s">
        <v>792</v>
      </c>
      <c r="E43" s="266">
        <v>43491.339814814812</v>
      </c>
      <c r="F43" s="266">
        <v>43568</v>
      </c>
      <c r="G43" s="266">
        <v>43572</v>
      </c>
      <c r="H43" s="266" t="s">
        <v>970</v>
      </c>
      <c r="I43" s="294">
        <v>779</v>
      </c>
      <c r="J43" s="6"/>
      <c r="K43" s="6">
        <v>2</v>
      </c>
      <c r="L43" s="126">
        <f t="shared" si="8"/>
        <v>4</v>
      </c>
      <c r="M43" s="6">
        <f>SUMIF(Abr!$G$3:$G$107,A43,Abr!$J$3:$J$107)</f>
        <v>4</v>
      </c>
      <c r="N43" s="270">
        <f t="shared" si="9"/>
        <v>0</v>
      </c>
      <c r="O43" s="243">
        <f t="shared" si="5"/>
        <v>194.75</v>
      </c>
      <c r="P43" s="270">
        <f t="shared" si="6"/>
        <v>4</v>
      </c>
      <c r="Q43" s="270">
        <f t="shared" si="7"/>
        <v>0</v>
      </c>
    </row>
    <row r="44" spans="1:17" s="270" customFormat="1" x14ac:dyDescent="0.25">
      <c r="A44" s="40">
        <v>1100970466</v>
      </c>
      <c r="B44" s="6" t="s">
        <v>280</v>
      </c>
      <c r="C44" s="266" t="s">
        <v>264</v>
      </c>
      <c r="D44" s="266"/>
      <c r="E44" s="266">
        <v>43250.139884259261</v>
      </c>
      <c r="F44" s="266">
        <v>43570</v>
      </c>
      <c r="G44" s="266">
        <v>43571</v>
      </c>
      <c r="H44" s="266" t="s">
        <v>971</v>
      </c>
      <c r="I44" s="294">
        <v>205</v>
      </c>
      <c r="J44" s="6"/>
      <c r="K44" s="6">
        <v>2</v>
      </c>
      <c r="L44" s="126">
        <f t="shared" si="8"/>
        <v>1</v>
      </c>
      <c r="M44" s="6">
        <f>SUMIF(Abr!$G$3:$G$107,A44,Abr!$J$3:$J$107)</f>
        <v>1</v>
      </c>
      <c r="N44" s="270">
        <f t="shared" si="9"/>
        <v>0</v>
      </c>
      <c r="O44" s="243">
        <f t="shared" si="5"/>
        <v>205</v>
      </c>
      <c r="P44" s="270">
        <f t="shared" si="6"/>
        <v>1</v>
      </c>
      <c r="Q44" s="270">
        <f t="shared" si="7"/>
        <v>0</v>
      </c>
    </row>
    <row r="45" spans="1:17" s="270" customFormat="1" x14ac:dyDescent="0.25">
      <c r="A45" s="40">
        <v>1239166567</v>
      </c>
      <c r="B45" s="6" t="s">
        <v>279</v>
      </c>
      <c r="C45" s="266" t="s">
        <v>265</v>
      </c>
      <c r="D45" s="266" t="s">
        <v>964</v>
      </c>
      <c r="E45" s="266">
        <v>43571.70208333333</v>
      </c>
      <c r="F45" s="266">
        <v>43571</v>
      </c>
      <c r="G45" s="266">
        <v>43572</v>
      </c>
      <c r="H45" s="266" t="s">
        <v>972</v>
      </c>
      <c r="I45" s="294">
        <v>195</v>
      </c>
      <c r="J45" s="6"/>
      <c r="K45" s="6">
        <v>2</v>
      </c>
      <c r="L45" s="126">
        <f t="shared" si="8"/>
        <v>1</v>
      </c>
      <c r="M45" s="6">
        <f>SUMIF(Abr!$G$3:$G$107,A45,Abr!$J$3:$J$107)</f>
        <v>1</v>
      </c>
      <c r="N45" s="270">
        <f t="shared" si="9"/>
        <v>0</v>
      </c>
      <c r="O45" s="243">
        <f t="shared" si="5"/>
        <v>195</v>
      </c>
      <c r="P45" s="270">
        <f t="shared" si="6"/>
        <v>1</v>
      </c>
      <c r="Q45" s="270">
        <f t="shared" si="7"/>
        <v>0</v>
      </c>
    </row>
    <row r="46" spans="1:17" s="270" customFormat="1" x14ac:dyDescent="0.25">
      <c r="A46" s="40">
        <v>1622339780</v>
      </c>
      <c r="B46" s="6" t="s">
        <v>280</v>
      </c>
      <c r="C46" s="266" t="s">
        <v>264</v>
      </c>
      <c r="D46" s="266"/>
      <c r="E46" s="266">
        <v>43537.448263888888</v>
      </c>
      <c r="F46" s="266">
        <v>43572</v>
      </c>
      <c r="G46" s="266">
        <v>43576</v>
      </c>
      <c r="H46" s="266" t="s">
        <v>973</v>
      </c>
      <c r="I46" s="294">
        <v>800</v>
      </c>
      <c r="J46" s="6"/>
      <c r="K46" s="6">
        <v>2</v>
      </c>
      <c r="L46" s="126">
        <f t="shared" si="8"/>
        <v>4</v>
      </c>
      <c r="M46" s="6">
        <f>SUMIF(Abr!$G$3:$G$107,A46,Abr!$J$3:$J$107)</f>
        <v>4</v>
      </c>
      <c r="N46" s="270">
        <f t="shared" si="9"/>
        <v>0</v>
      </c>
      <c r="O46" s="243">
        <f t="shared" si="5"/>
        <v>200</v>
      </c>
      <c r="P46" s="270">
        <f t="shared" si="6"/>
        <v>4</v>
      </c>
      <c r="Q46" s="270">
        <f t="shared" si="7"/>
        <v>0</v>
      </c>
    </row>
    <row r="47" spans="1:17" s="270" customFormat="1" x14ac:dyDescent="0.25">
      <c r="A47" s="40">
        <v>1904164432721</v>
      </c>
      <c r="B47" s="6" t="s">
        <v>279</v>
      </c>
      <c r="C47" s="266" t="s">
        <v>266</v>
      </c>
      <c r="D47" s="266" t="s">
        <v>792</v>
      </c>
      <c r="E47" s="266">
        <v>43571.77071759259</v>
      </c>
      <c r="F47" s="266">
        <v>43572</v>
      </c>
      <c r="G47" s="266">
        <v>43573</v>
      </c>
      <c r="H47" s="266" t="s">
        <v>974</v>
      </c>
      <c r="I47" s="294">
        <v>185.25</v>
      </c>
      <c r="J47" s="6"/>
      <c r="K47" s="6">
        <v>2</v>
      </c>
      <c r="L47" s="126">
        <f t="shared" si="8"/>
        <v>1</v>
      </c>
      <c r="M47" s="6">
        <f>SUMIF(Abr!$G$3:$G$107,A47,Abr!$J$3:$J$107)</f>
        <v>1</v>
      </c>
      <c r="N47" s="270">
        <f t="shared" si="9"/>
        <v>0</v>
      </c>
      <c r="O47" s="243">
        <f t="shared" si="5"/>
        <v>185.25</v>
      </c>
      <c r="P47" s="270">
        <f t="shared" si="6"/>
        <v>1</v>
      </c>
      <c r="Q47" s="270">
        <f t="shared" si="7"/>
        <v>0</v>
      </c>
    </row>
    <row r="48" spans="1:17" s="270" customFormat="1" x14ac:dyDescent="0.25">
      <c r="A48" s="40">
        <v>1869992146</v>
      </c>
      <c r="B48" s="6" t="s">
        <v>280</v>
      </c>
      <c r="C48" s="266" t="s">
        <v>264</v>
      </c>
      <c r="D48" s="266"/>
      <c r="E48" s="266">
        <v>43394.927118055559</v>
      </c>
      <c r="F48" s="266">
        <v>43573</v>
      </c>
      <c r="G48" s="266">
        <v>43574</v>
      </c>
      <c r="H48" s="266" t="s">
        <v>961</v>
      </c>
      <c r="I48" s="294">
        <v>230</v>
      </c>
      <c r="J48" s="6"/>
      <c r="K48" s="6">
        <v>2</v>
      </c>
      <c r="L48" s="126">
        <f t="shared" si="8"/>
        <v>1</v>
      </c>
      <c r="M48" s="6">
        <f>SUMIF(Abr!$G$3:$G$107,A48,Abr!$J$3:$J$107)</f>
        <v>1</v>
      </c>
      <c r="N48" s="270">
        <f t="shared" si="9"/>
        <v>0</v>
      </c>
      <c r="O48" s="243">
        <f t="shared" si="5"/>
        <v>230</v>
      </c>
      <c r="P48" s="270">
        <f t="shared" si="6"/>
        <v>1</v>
      </c>
      <c r="Q48" s="270">
        <f t="shared" si="7"/>
        <v>0</v>
      </c>
    </row>
    <row r="49" spans="1:17" s="270" customFormat="1" x14ac:dyDescent="0.25">
      <c r="A49" s="40">
        <v>1968278148</v>
      </c>
      <c r="B49" s="6" t="s">
        <v>280</v>
      </c>
      <c r="C49" s="266" t="s">
        <v>264</v>
      </c>
      <c r="D49" s="266"/>
      <c r="E49" s="266">
        <v>43508.783402777779</v>
      </c>
      <c r="F49" s="266">
        <v>43573</v>
      </c>
      <c r="G49" s="266">
        <v>43574</v>
      </c>
      <c r="H49" s="266" t="s">
        <v>975</v>
      </c>
      <c r="I49" s="294">
        <v>230</v>
      </c>
      <c r="J49" s="6"/>
      <c r="K49" s="6">
        <v>2</v>
      </c>
      <c r="L49" s="126">
        <f t="shared" si="8"/>
        <v>1</v>
      </c>
      <c r="M49" s="6">
        <f>SUMIF(Abr!$G$3:$G$107,A49,Abr!$J$3:$J$107)</f>
        <v>1</v>
      </c>
      <c r="N49" s="270">
        <f t="shared" si="9"/>
        <v>0</v>
      </c>
      <c r="O49" s="243">
        <f t="shared" si="5"/>
        <v>230</v>
      </c>
      <c r="P49" s="270">
        <f t="shared" si="6"/>
        <v>1</v>
      </c>
      <c r="Q49" s="270">
        <f t="shared" si="7"/>
        <v>0</v>
      </c>
    </row>
    <row r="50" spans="1:17" s="270" customFormat="1" x14ac:dyDescent="0.25">
      <c r="A50" s="40">
        <v>1053344143</v>
      </c>
      <c r="B50" s="6" t="s">
        <v>279</v>
      </c>
      <c r="C50" s="266" t="s">
        <v>264</v>
      </c>
      <c r="D50" s="266"/>
      <c r="E50" s="266">
        <v>43521.275694444441</v>
      </c>
      <c r="F50" s="266">
        <v>43573</v>
      </c>
      <c r="G50" s="266">
        <v>43575</v>
      </c>
      <c r="H50" s="266" t="s">
        <v>976</v>
      </c>
      <c r="I50" s="294">
        <v>460</v>
      </c>
      <c r="J50" s="6"/>
      <c r="K50" s="6">
        <v>2</v>
      </c>
      <c r="L50" s="126">
        <f t="shared" si="8"/>
        <v>2</v>
      </c>
      <c r="M50" s="6">
        <f>SUMIF(Abr!$G$3:$G$107,A50,Abr!$J$3:$J$107)</f>
        <v>2</v>
      </c>
      <c r="N50" s="270">
        <f t="shared" si="9"/>
        <v>0</v>
      </c>
      <c r="O50" s="243">
        <f t="shared" si="5"/>
        <v>230</v>
      </c>
      <c r="P50" s="270">
        <f t="shared" si="6"/>
        <v>2</v>
      </c>
      <c r="Q50" s="270">
        <f t="shared" si="7"/>
        <v>0</v>
      </c>
    </row>
    <row r="51" spans="1:17" s="270" customFormat="1" x14ac:dyDescent="0.25">
      <c r="A51" s="40">
        <v>1208619161</v>
      </c>
      <c r="B51" s="6" t="s">
        <v>279</v>
      </c>
      <c r="C51" s="266" t="s">
        <v>265</v>
      </c>
      <c r="D51" s="266" t="s">
        <v>791</v>
      </c>
      <c r="E51" s="266">
        <v>43526.490277777775</v>
      </c>
      <c r="F51" s="266">
        <v>43573</v>
      </c>
      <c r="G51" s="266">
        <v>43574</v>
      </c>
      <c r="H51" s="266" t="s">
        <v>977</v>
      </c>
      <c r="I51" s="294">
        <v>205</v>
      </c>
      <c r="J51" s="6"/>
      <c r="K51" s="6">
        <v>2</v>
      </c>
      <c r="L51" s="126">
        <f t="shared" si="8"/>
        <v>1</v>
      </c>
      <c r="M51" s="6">
        <f>SUMIF(Abr!$G$3:$G$107,A51,Abr!$J$3:$J$107)</f>
        <v>1</v>
      </c>
      <c r="N51" s="270">
        <f t="shared" si="9"/>
        <v>0</v>
      </c>
      <c r="O51" s="243">
        <f t="shared" si="5"/>
        <v>205</v>
      </c>
      <c r="P51" s="270">
        <f t="shared" si="6"/>
        <v>1</v>
      </c>
      <c r="Q51" s="270">
        <f t="shared" si="7"/>
        <v>0</v>
      </c>
    </row>
    <row r="52" spans="1:17" s="270" customFormat="1" x14ac:dyDescent="0.25">
      <c r="A52" s="40">
        <v>1172194478</v>
      </c>
      <c r="B52" s="6" t="s">
        <v>279</v>
      </c>
      <c r="C52" s="266" t="s">
        <v>264</v>
      </c>
      <c r="D52" s="266"/>
      <c r="E52" s="266">
        <v>43542.994525462964</v>
      </c>
      <c r="F52" s="266">
        <v>43573</v>
      </c>
      <c r="G52" s="266">
        <v>43577</v>
      </c>
      <c r="H52" s="266" t="s">
        <v>978</v>
      </c>
      <c r="I52" s="294">
        <v>810</v>
      </c>
      <c r="J52" s="6"/>
      <c r="K52" s="6">
        <v>2</v>
      </c>
      <c r="L52" s="126">
        <f t="shared" si="8"/>
        <v>4</v>
      </c>
      <c r="M52" s="6">
        <f>SUMIF(Abr!$G$3:$G$107,A52,Abr!$J$3:$J$107)</f>
        <v>4</v>
      </c>
      <c r="N52" s="270">
        <f t="shared" si="9"/>
        <v>0</v>
      </c>
      <c r="O52" s="243">
        <f t="shared" si="5"/>
        <v>202.5</v>
      </c>
      <c r="P52" s="270">
        <f t="shared" si="6"/>
        <v>4</v>
      </c>
      <c r="Q52" s="270">
        <f t="shared" si="7"/>
        <v>0</v>
      </c>
    </row>
    <row r="53" spans="1:17" s="270" customFormat="1" x14ac:dyDescent="0.25">
      <c r="A53" s="40">
        <v>2915563617</v>
      </c>
      <c r="B53" s="6" t="s">
        <v>280</v>
      </c>
      <c r="C53" s="266" t="s">
        <v>264</v>
      </c>
      <c r="D53" s="266"/>
      <c r="E53" s="266">
        <v>43552.508229166669</v>
      </c>
      <c r="F53" s="266">
        <v>43573</v>
      </c>
      <c r="G53" s="266">
        <v>43574</v>
      </c>
      <c r="H53" s="266" t="s">
        <v>979</v>
      </c>
      <c r="I53" s="294">
        <v>195</v>
      </c>
      <c r="J53" s="6"/>
      <c r="K53" s="6">
        <v>2</v>
      </c>
      <c r="L53" s="126">
        <f t="shared" si="8"/>
        <v>1</v>
      </c>
      <c r="M53" s="6">
        <f>SUMIF(Abr!$G$3:$G$107,A53,Abr!$J$3:$J$107)</f>
        <v>1</v>
      </c>
      <c r="N53" s="270">
        <f t="shared" si="9"/>
        <v>0</v>
      </c>
      <c r="O53" s="243">
        <f t="shared" si="5"/>
        <v>195</v>
      </c>
      <c r="P53" s="270">
        <f t="shared" si="6"/>
        <v>1</v>
      </c>
      <c r="Q53" s="270">
        <f t="shared" si="7"/>
        <v>0</v>
      </c>
    </row>
    <row r="54" spans="1:17" s="270" customFormat="1" x14ac:dyDescent="0.25">
      <c r="A54" s="40">
        <v>1903294367551</v>
      </c>
      <c r="B54" s="6" t="s">
        <v>280</v>
      </c>
      <c r="C54" s="266" t="s">
        <v>266</v>
      </c>
      <c r="D54" s="266" t="s">
        <v>792</v>
      </c>
      <c r="E54" s="266">
        <v>43553.499398148146</v>
      </c>
      <c r="F54" s="266">
        <v>43573</v>
      </c>
      <c r="G54" s="266">
        <v>43574</v>
      </c>
      <c r="H54" s="266" t="s">
        <v>980</v>
      </c>
      <c r="I54" s="294">
        <v>185.25</v>
      </c>
      <c r="J54" s="6"/>
      <c r="K54" s="6">
        <v>2</v>
      </c>
      <c r="L54" s="126">
        <f t="shared" si="8"/>
        <v>1</v>
      </c>
      <c r="M54" s="6">
        <f>SUMIF(Abr!$G$3:$G$107,A54,Abr!$J$3:$J$107)</f>
        <v>1</v>
      </c>
      <c r="N54" s="270">
        <f t="shared" si="9"/>
        <v>0</v>
      </c>
      <c r="O54" s="243">
        <f t="shared" si="5"/>
        <v>185.25</v>
      </c>
      <c r="P54" s="270">
        <f t="shared" si="6"/>
        <v>1</v>
      </c>
      <c r="Q54" s="270">
        <f t="shared" si="7"/>
        <v>0</v>
      </c>
    </row>
    <row r="55" spans="1:17" s="270" customFormat="1" x14ac:dyDescent="0.25">
      <c r="A55" s="40">
        <v>3575592283</v>
      </c>
      <c r="B55" s="6" t="s">
        <v>279</v>
      </c>
      <c r="C55" s="266" t="s">
        <v>264</v>
      </c>
      <c r="D55" s="266"/>
      <c r="E55" s="266">
        <v>43555.743263888886</v>
      </c>
      <c r="F55" s="266">
        <v>43573</v>
      </c>
      <c r="G55" s="266">
        <v>43574</v>
      </c>
      <c r="H55" s="266" t="s">
        <v>981</v>
      </c>
      <c r="I55" s="294">
        <v>195</v>
      </c>
      <c r="J55" s="6"/>
      <c r="K55" s="6">
        <v>2</v>
      </c>
      <c r="L55" s="126">
        <f t="shared" si="8"/>
        <v>1</v>
      </c>
      <c r="M55" s="6">
        <f>SUMIF(Abr!$G$3:$G$107,A55,Abr!$J$3:$J$107)</f>
        <v>1</v>
      </c>
      <c r="N55" s="270">
        <f t="shared" si="9"/>
        <v>0</v>
      </c>
      <c r="O55" s="243">
        <f t="shared" si="5"/>
        <v>195</v>
      </c>
      <c r="P55" s="270">
        <f t="shared" si="6"/>
        <v>1</v>
      </c>
      <c r="Q55" s="270">
        <f t="shared" si="7"/>
        <v>0</v>
      </c>
    </row>
    <row r="56" spans="1:17" s="270" customFormat="1" x14ac:dyDescent="0.25">
      <c r="A56" s="40">
        <v>1237452458</v>
      </c>
      <c r="B56" s="6" t="s">
        <v>279</v>
      </c>
      <c r="C56" s="266" t="s">
        <v>265</v>
      </c>
      <c r="D56" s="266" t="s">
        <v>982</v>
      </c>
      <c r="E56" s="266">
        <v>43569.131944444445</v>
      </c>
      <c r="F56" s="266">
        <v>43573</v>
      </c>
      <c r="G56" s="266">
        <v>43575</v>
      </c>
      <c r="H56" s="266" t="s">
        <v>983</v>
      </c>
      <c r="I56" s="294">
        <v>400</v>
      </c>
      <c r="J56" s="6"/>
      <c r="K56" s="6">
        <v>2</v>
      </c>
      <c r="L56" s="126">
        <f t="shared" si="8"/>
        <v>2</v>
      </c>
      <c r="M56" s="6">
        <f>SUMIF(Abr!$G$3:$G$107,A56,Abr!$J$3:$J$107)</f>
        <v>2</v>
      </c>
      <c r="N56" s="270">
        <f t="shared" si="9"/>
        <v>0</v>
      </c>
      <c r="O56" s="243">
        <f t="shared" si="5"/>
        <v>200</v>
      </c>
      <c r="P56" s="270">
        <f t="shared" si="6"/>
        <v>2</v>
      </c>
      <c r="Q56" s="270">
        <f t="shared" si="7"/>
        <v>0</v>
      </c>
    </row>
    <row r="57" spans="1:17" s="270" customFormat="1" x14ac:dyDescent="0.25">
      <c r="A57" s="40">
        <v>1541048765</v>
      </c>
      <c r="B57" s="6" t="s">
        <v>280</v>
      </c>
      <c r="C57" s="266" t="s">
        <v>264</v>
      </c>
      <c r="D57" s="266"/>
      <c r="E57" s="266">
        <v>43250.144375000003</v>
      </c>
      <c r="F57" s="266">
        <v>43574</v>
      </c>
      <c r="G57" s="266">
        <v>43575</v>
      </c>
      <c r="H57" s="266" t="s">
        <v>971</v>
      </c>
      <c r="I57" s="294">
        <v>230</v>
      </c>
      <c r="J57" s="6"/>
      <c r="K57" s="6">
        <v>2</v>
      </c>
      <c r="L57" s="126">
        <f t="shared" si="8"/>
        <v>1</v>
      </c>
      <c r="M57" s="6">
        <f>SUMIF(Abr!$G$3:$G$107,A57,Abr!$J$3:$J$107)</f>
        <v>1</v>
      </c>
      <c r="N57" s="270">
        <f t="shared" si="9"/>
        <v>0</v>
      </c>
      <c r="O57" s="243">
        <f t="shared" si="5"/>
        <v>230</v>
      </c>
      <c r="P57" s="270">
        <f t="shared" si="6"/>
        <v>1</v>
      </c>
      <c r="Q57" s="270">
        <f t="shared" si="7"/>
        <v>0</v>
      </c>
    </row>
    <row r="58" spans="1:17" s="270" customFormat="1" x14ac:dyDescent="0.25">
      <c r="A58" s="40">
        <v>2064650736</v>
      </c>
      <c r="B58" s="6" t="s">
        <v>279</v>
      </c>
      <c r="C58" s="266" t="s">
        <v>264</v>
      </c>
      <c r="D58" s="266"/>
      <c r="E58" s="266">
        <v>43268.362708333334</v>
      </c>
      <c r="F58" s="266">
        <v>43574</v>
      </c>
      <c r="G58" s="266">
        <v>43578</v>
      </c>
      <c r="H58" s="266" t="s">
        <v>984</v>
      </c>
      <c r="I58" s="294">
        <v>895</v>
      </c>
      <c r="J58" s="6"/>
      <c r="K58" s="6">
        <v>2</v>
      </c>
      <c r="L58" s="126">
        <f t="shared" si="8"/>
        <v>4</v>
      </c>
      <c r="M58" s="6">
        <f>SUMIF(Abr!$G$3:$G$107,A58,Abr!$J$3:$J$107)</f>
        <v>4</v>
      </c>
      <c r="N58" s="270">
        <f t="shared" si="9"/>
        <v>0</v>
      </c>
      <c r="O58" s="243">
        <f t="shared" si="5"/>
        <v>223.75</v>
      </c>
      <c r="P58" s="270">
        <f t="shared" si="6"/>
        <v>4</v>
      </c>
      <c r="Q58" s="270">
        <f t="shared" si="7"/>
        <v>0</v>
      </c>
    </row>
    <row r="59" spans="1:17" s="270" customFormat="1" x14ac:dyDescent="0.25">
      <c r="A59" s="40">
        <v>1177741958</v>
      </c>
      <c r="B59" s="6" t="s">
        <v>279</v>
      </c>
      <c r="C59" s="266" t="s">
        <v>265</v>
      </c>
      <c r="D59" s="266" t="s">
        <v>791</v>
      </c>
      <c r="E59" s="266">
        <v>43476.614583333336</v>
      </c>
      <c r="F59" s="266">
        <v>43574</v>
      </c>
      <c r="G59" s="266">
        <v>43577</v>
      </c>
      <c r="H59" s="266" t="s">
        <v>977</v>
      </c>
      <c r="I59" s="294">
        <v>690</v>
      </c>
      <c r="J59" s="6"/>
      <c r="K59" s="6">
        <v>2</v>
      </c>
      <c r="L59" s="126">
        <f t="shared" si="8"/>
        <v>3</v>
      </c>
      <c r="M59" s="6">
        <f>SUMIF(Abr!$G$3:$G$107,A59,Abr!$J$3:$J$107)</f>
        <v>3</v>
      </c>
      <c r="N59" s="270">
        <f t="shared" si="9"/>
        <v>0</v>
      </c>
      <c r="O59" s="243">
        <f t="shared" si="5"/>
        <v>230</v>
      </c>
      <c r="P59" s="270">
        <f t="shared" si="6"/>
        <v>3</v>
      </c>
      <c r="Q59" s="270">
        <f t="shared" si="7"/>
        <v>0</v>
      </c>
    </row>
    <row r="60" spans="1:17" s="270" customFormat="1" x14ac:dyDescent="0.25">
      <c r="A60" s="40">
        <v>1839255035</v>
      </c>
      <c r="B60" s="6" t="s">
        <v>279</v>
      </c>
      <c r="C60" s="266" t="s">
        <v>264</v>
      </c>
      <c r="D60" s="266"/>
      <c r="E60" s="266">
        <v>43508.462951388887</v>
      </c>
      <c r="F60" s="266">
        <v>43574</v>
      </c>
      <c r="G60" s="266">
        <v>43576</v>
      </c>
      <c r="H60" s="266" t="s">
        <v>985</v>
      </c>
      <c r="I60" s="294">
        <v>460</v>
      </c>
      <c r="J60" s="6"/>
      <c r="K60" s="6">
        <v>2</v>
      </c>
      <c r="L60" s="126">
        <f t="shared" si="8"/>
        <v>2</v>
      </c>
      <c r="M60" s="6">
        <f>SUMIF(Abr!$G$3:$G$107,A60,Abr!$J$3:$J$107)</f>
        <v>2</v>
      </c>
      <c r="N60" s="270">
        <f t="shared" si="9"/>
        <v>0</v>
      </c>
      <c r="O60" s="243">
        <f t="shared" si="5"/>
        <v>230</v>
      </c>
      <c r="P60" s="270">
        <f t="shared" si="6"/>
        <v>2</v>
      </c>
      <c r="Q60" s="270">
        <f t="shared" si="7"/>
        <v>0</v>
      </c>
    </row>
    <row r="61" spans="1:17" s="270" customFormat="1" x14ac:dyDescent="0.25">
      <c r="A61" s="40">
        <v>3234789075</v>
      </c>
      <c r="B61" s="6" t="s">
        <v>280</v>
      </c>
      <c r="C61" s="266" t="s">
        <v>264</v>
      </c>
      <c r="D61" s="266"/>
      <c r="E61" s="266">
        <v>43566.977280092593</v>
      </c>
      <c r="F61" s="266">
        <v>43574</v>
      </c>
      <c r="G61" s="266">
        <v>43576</v>
      </c>
      <c r="H61" s="266" t="s">
        <v>895</v>
      </c>
      <c r="I61" s="294">
        <v>410</v>
      </c>
      <c r="J61" s="6"/>
      <c r="K61" s="6">
        <v>2</v>
      </c>
      <c r="L61" s="126">
        <f t="shared" si="8"/>
        <v>2</v>
      </c>
      <c r="M61" s="6">
        <f>SUMIF(Abr!$G$3:$G$107,A61,Abr!$J$3:$J$107)</f>
        <v>2</v>
      </c>
      <c r="N61" s="270">
        <f t="shared" si="9"/>
        <v>0</v>
      </c>
      <c r="O61" s="243">
        <f t="shared" si="5"/>
        <v>205</v>
      </c>
      <c r="P61" s="270">
        <f t="shared" si="6"/>
        <v>2</v>
      </c>
      <c r="Q61" s="270">
        <f t="shared" si="7"/>
        <v>0</v>
      </c>
    </row>
    <row r="62" spans="1:17" s="270" customFormat="1" x14ac:dyDescent="0.25">
      <c r="A62" s="40">
        <v>3202722294</v>
      </c>
      <c r="B62" s="6" t="s">
        <v>279</v>
      </c>
      <c r="C62" s="266" t="s">
        <v>264</v>
      </c>
      <c r="D62" s="266"/>
      <c r="E62" s="266">
        <v>43568.417002314818</v>
      </c>
      <c r="F62" s="266">
        <v>43574</v>
      </c>
      <c r="G62" s="266">
        <v>43576</v>
      </c>
      <c r="H62" s="266" t="s">
        <v>986</v>
      </c>
      <c r="I62" s="294">
        <v>410</v>
      </c>
      <c r="J62" s="6"/>
      <c r="K62" s="6">
        <v>2</v>
      </c>
      <c r="L62" s="126">
        <f t="shared" si="8"/>
        <v>2</v>
      </c>
      <c r="M62" s="6">
        <f>SUMIF(Abr!$G$3:$G$107,A62,Abr!$J$3:$J$107)</f>
        <v>2</v>
      </c>
      <c r="N62" s="270">
        <f t="shared" si="9"/>
        <v>0</v>
      </c>
      <c r="O62" s="243">
        <f t="shared" si="5"/>
        <v>205</v>
      </c>
      <c r="P62" s="270">
        <f t="shared" si="6"/>
        <v>2</v>
      </c>
      <c r="Q62" s="270">
        <f t="shared" si="7"/>
        <v>0</v>
      </c>
    </row>
    <row r="63" spans="1:17" s="270" customFormat="1" x14ac:dyDescent="0.25">
      <c r="A63" s="40">
        <v>1887786589</v>
      </c>
      <c r="B63" s="6" t="s">
        <v>280</v>
      </c>
      <c r="C63" s="266" t="s">
        <v>264</v>
      </c>
      <c r="D63" s="266"/>
      <c r="E63" s="266">
        <v>43275.895092592589</v>
      </c>
      <c r="F63" s="266">
        <v>43575</v>
      </c>
      <c r="G63" s="266">
        <v>43580</v>
      </c>
      <c r="H63" s="266" t="s">
        <v>987</v>
      </c>
      <c r="I63" s="294">
        <v>1075</v>
      </c>
      <c r="J63" s="6"/>
      <c r="K63" s="6">
        <v>2</v>
      </c>
      <c r="L63" s="126">
        <f t="shared" si="8"/>
        <v>5</v>
      </c>
      <c r="M63" s="6">
        <f>SUMIF(Abr!$G$3:$G$107,A63,Abr!$J$3:$J$107)</f>
        <v>5</v>
      </c>
      <c r="N63" s="270">
        <f t="shared" si="9"/>
        <v>0</v>
      </c>
      <c r="O63" s="243">
        <f t="shared" si="5"/>
        <v>215</v>
      </c>
      <c r="P63" s="270">
        <f t="shared" si="6"/>
        <v>5</v>
      </c>
      <c r="Q63" s="270">
        <f t="shared" si="7"/>
        <v>0</v>
      </c>
    </row>
    <row r="64" spans="1:17" s="270" customFormat="1" x14ac:dyDescent="0.25">
      <c r="A64" s="40">
        <v>1969084976</v>
      </c>
      <c r="B64" s="6" t="s">
        <v>279</v>
      </c>
      <c r="C64" s="266" t="s">
        <v>264</v>
      </c>
      <c r="D64" s="266"/>
      <c r="E64" s="266">
        <v>43531.994120370371</v>
      </c>
      <c r="F64" s="266">
        <v>43575</v>
      </c>
      <c r="G64" s="266">
        <v>43579</v>
      </c>
      <c r="H64" s="266" t="s">
        <v>988</v>
      </c>
      <c r="I64" s="294">
        <v>820</v>
      </c>
      <c r="J64" s="6"/>
      <c r="K64" s="6">
        <v>2</v>
      </c>
      <c r="L64" s="126">
        <f t="shared" si="8"/>
        <v>4</v>
      </c>
      <c r="M64" s="6">
        <f>SUMIF(Abr!$G$3:$G$107,A64,Abr!$J$3:$J$107)</f>
        <v>4</v>
      </c>
      <c r="N64" s="270">
        <f t="shared" si="9"/>
        <v>0</v>
      </c>
      <c r="O64" s="243">
        <f t="shared" si="5"/>
        <v>205</v>
      </c>
      <c r="P64" s="270">
        <f t="shared" si="6"/>
        <v>4</v>
      </c>
      <c r="Q64" s="270">
        <f t="shared" si="7"/>
        <v>0</v>
      </c>
    </row>
    <row r="65" spans="1:17" s="270" customFormat="1" x14ac:dyDescent="0.25">
      <c r="A65" s="40">
        <v>3287497727</v>
      </c>
      <c r="B65" s="6" t="s">
        <v>280</v>
      </c>
      <c r="C65" s="266" t="s">
        <v>264</v>
      </c>
      <c r="D65" s="266"/>
      <c r="E65" s="266">
        <v>43574.639131944445</v>
      </c>
      <c r="F65" s="266">
        <v>43575</v>
      </c>
      <c r="G65" s="266">
        <v>43576</v>
      </c>
      <c r="H65" s="266" t="s">
        <v>989</v>
      </c>
      <c r="I65" s="294">
        <v>205</v>
      </c>
      <c r="J65" s="6"/>
      <c r="K65" s="6">
        <v>2</v>
      </c>
      <c r="L65" s="126">
        <f t="shared" si="8"/>
        <v>1</v>
      </c>
      <c r="M65" s="6">
        <f>SUMIF(Abr!$G$3:$G$107,A65,Abr!$J$3:$J$107)</f>
        <v>1</v>
      </c>
      <c r="N65" s="270">
        <f t="shared" si="9"/>
        <v>0</v>
      </c>
      <c r="O65" s="243">
        <f t="shared" si="5"/>
        <v>205</v>
      </c>
      <c r="P65" s="270">
        <f t="shared" si="6"/>
        <v>1</v>
      </c>
      <c r="Q65" s="270">
        <f t="shared" si="7"/>
        <v>0</v>
      </c>
    </row>
    <row r="66" spans="1:17" s="270" customFormat="1" x14ac:dyDescent="0.25">
      <c r="A66" s="40">
        <v>1059211488</v>
      </c>
      <c r="B66" s="6" t="s">
        <v>279</v>
      </c>
      <c r="C66" s="266" t="s">
        <v>265</v>
      </c>
      <c r="D66" s="266" t="s">
        <v>791</v>
      </c>
      <c r="E66" s="266">
        <v>43269.345138888886</v>
      </c>
      <c r="F66" s="266">
        <v>43576</v>
      </c>
      <c r="G66" s="266">
        <v>43580</v>
      </c>
      <c r="H66" s="266" t="s">
        <v>990</v>
      </c>
      <c r="I66" s="294">
        <v>845</v>
      </c>
      <c r="J66" s="6"/>
      <c r="K66" s="6">
        <v>2</v>
      </c>
      <c r="L66" s="126">
        <f t="shared" si="8"/>
        <v>4</v>
      </c>
      <c r="M66" s="6">
        <f>SUMIF(Abr!$G$3:$G$107,A66,Abr!$J$3:$J$107)</f>
        <v>4</v>
      </c>
      <c r="N66" s="270">
        <f t="shared" si="9"/>
        <v>0</v>
      </c>
      <c r="O66" s="243">
        <f t="shared" si="5"/>
        <v>211.25</v>
      </c>
      <c r="P66" s="270">
        <f t="shared" si="6"/>
        <v>4</v>
      </c>
      <c r="Q66" s="270">
        <f t="shared" si="7"/>
        <v>0</v>
      </c>
    </row>
    <row r="67" spans="1:17" s="270" customFormat="1" x14ac:dyDescent="0.25">
      <c r="A67" s="40">
        <v>1059211484</v>
      </c>
      <c r="B67" s="6" t="s">
        <v>279</v>
      </c>
      <c r="C67" s="266" t="s">
        <v>265</v>
      </c>
      <c r="D67" s="266" t="s">
        <v>791</v>
      </c>
      <c r="E67" s="266">
        <v>43269.345138888886</v>
      </c>
      <c r="F67" s="266">
        <v>43576</v>
      </c>
      <c r="G67" s="266">
        <v>43580</v>
      </c>
      <c r="H67" s="266" t="s">
        <v>991</v>
      </c>
      <c r="I67" s="294">
        <v>845</v>
      </c>
      <c r="J67" s="6"/>
      <c r="K67" s="6">
        <v>2</v>
      </c>
      <c r="L67" s="126">
        <f t="shared" si="8"/>
        <v>4</v>
      </c>
      <c r="M67" s="6">
        <f>SUMIF(Abr!$G$3:$G$107,A67,Abr!$J$3:$J$107)</f>
        <v>4</v>
      </c>
      <c r="N67" s="270">
        <f t="shared" si="9"/>
        <v>0</v>
      </c>
      <c r="O67" s="243">
        <f t="shared" ref="O67:O87" si="10">+I67/M67</f>
        <v>211.25</v>
      </c>
      <c r="P67" s="270">
        <f t="shared" ref="P67:P87" si="11">ROUND(I67/O67,0)</f>
        <v>4</v>
      </c>
      <c r="Q67" s="270">
        <f t="shared" ref="Q67:Q87" si="12">+P67-L67</f>
        <v>0</v>
      </c>
    </row>
    <row r="68" spans="1:17" s="270" customFormat="1" x14ac:dyDescent="0.25">
      <c r="A68" s="40">
        <v>1990945159</v>
      </c>
      <c r="B68" s="6" t="s">
        <v>280</v>
      </c>
      <c r="C68" s="266" t="s">
        <v>264</v>
      </c>
      <c r="D68" s="266"/>
      <c r="E68" s="266">
        <v>43501.883611111109</v>
      </c>
      <c r="F68" s="266">
        <v>43576</v>
      </c>
      <c r="G68" s="266">
        <v>43579</v>
      </c>
      <c r="H68" s="266" t="s">
        <v>992</v>
      </c>
      <c r="I68" s="294">
        <v>640</v>
      </c>
      <c r="J68" s="6"/>
      <c r="K68" s="6">
        <v>2</v>
      </c>
      <c r="L68" s="126">
        <f t="shared" si="8"/>
        <v>3</v>
      </c>
      <c r="M68" s="6">
        <f>SUMIF(Abr!$G$3:$G$107,A68,Abr!$J$3:$J$107)</f>
        <v>3</v>
      </c>
      <c r="N68" s="270">
        <f t="shared" si="9"/>
        <v>0</v>
      </c>
      <c r="O68" s="243">
        <f t="shared" si="10"/>
        <v>213.33333333333334</v>
      </c>
      <c r="P68" s="270">
        <f t="shared" si="11"/>
        <v>3</v>
      </c>
      <c r="Q68" s="270">
        <f t="shared" si="12"/>
        <v>0</v>
      </c>
    </row>
    <row r="69" spans="1:17" s="270" customFormat="1" x14ac:dyDescent="0.25">
      <c r="A69" s="40">
        <v>1886830310</v>
      </c>
      <c r="B69" s="6" t="s">
        <v>279</v>
      </c>
      <c r="C69" s="266" t="s">
        <v>264</v>
      </c>
      <c r="D69" s="266"/>
      <c r="E69" s="266">
        <v>43513.423888888887</v>
      </c>
      <c r="F69" s="266">
        <v>43576</v>
      </c>
      <c r="G69" s="266">
        <v>43578</v>
      </c>
      <c r="H69" s="266" t="s">
        <v>993</v>
      </c>
      <c r="I69" s="294">
        <v>435</v>
      </c>
      <c r="J69" s="6"/>
      <c r="K69" s="6">
        <v>2</v>
      </c>
      <c r="L69" s="126">
        <f t="shared" si="8"/>
        <v>2</v>
      </c>
      <c r="M69" s="6">
        <f>SUMIF(Abr!$G$3:$G$107,A69,Abr!$J$3:$J$107)</f>
        <v>2</v>
      </c>
      <c r="N69" s="270">
        <f t="shared" si="9"/>
        <v>0</v>
      </c>
      <c r="O69" s="243">
        <f t="shared" si="10"/>
        <v>217.5</v>
      </c>
      <c r="P69" s="270">
        <f t="shared" si="11"/>
        <v>2</v>
      </c>
      <c r="Q69" s="270">
        <f t="shared" si="12"/>
        <v>0</v>
      </c>
    </row>
    <row r="70" spans="1:17" s="270" customFormat="1" x14ac:dyDescent="0.25">
      <c r="A70" s="40">
        <v>1390916112</v>
      </c>
      <c r="B70" s="6" t="s">
        <v>280</v>
      </c>
      <c r="C70" s="266" t="s">
        <v>264</v>
      </c>
      <c r="D70" s="266"/>
      <c r="E70" s="266">
        <v>43404.981944444444</v>
      </c>
      <c r="F70" s="266">
        <v>43577</v>
      </c>
      <c r="G70" s="266">
        <v>43580</v>
      </c>
      <c r="H70" s="266" t="s">
        <v>994</v>
      </c>
      <c r="I70" s="294">
        <v>615</v>
      </c>
      <c r="J70" s="6"/>
      <c r="K70" s="6">
        <v>2</v>
      </c>
      <c r="L70" s="126">
        <f t="shared" si="8"/>
        <v>3</v>
      </c>
      <c r="M70" s="6">
        <f>SUMIF(Abr!$G$3:$G$107,A70,Abr!$J$3:$J$107)</f>
        <v>3</v>
      </c>
      <c r="N70" s="270">
        <f t="shared" si="9"/>
        <v>0</v>
      </c>
      <c r="O70" s="243">
        <f t="shared" si="10"/>
        <v>205</v>
      </c>
      <c r="P70" s="270">
        <f t="shared" si="11"/>
        <v>3</v>
      </c>
      <c r="Q70" s="270">
        <f t="shared" si="12"/>
        <v>0</v>
      </c>
    </row>
    <row r="71" spans="1:17" s="270" customFormat="1" x14ac:dyDescent="0.25">
      <c r="A71" s="40">
        <v>1940484083</v>
      </c>
      <c r="B71" s="6" t="s">
        <v>279</v>
      </c>
      <c r="C71" s="266" t="s">
        <v>264</v>
      </c>
      <c r="D71" s="266"/>
      <c r="E71" s="266">
        <v>43444.653553240743</v>
      </c>
      <c r="F71" s="266">
        <v>43577</v>
      </c>
      <c r="G71" s="266">
        <v>43579</v>
      </c>
      <c r="H71" s="266" t="s">
        <v>995</v>
      </c>
      <c r="I71" s="294">
        <v>410</v>
      </c>
      <c r="J71" s="6"/>
      <c r="K71" s="6">
        <v>2</v>
      </c>
      <c r="L71" s="126">
        <f t="shared" si="8"/>
        <v>2</v>
      </c>
      <c r="M71" s="6">
        <f>SUMIF(Abr!$G$3:$G$107,A71,Abr!$J$3:$J$107)</f>
        <v>2</v>
      </c>
      <c r="N71" s="270">
        <f t="shared" si="9"/>
        <v>0</v>
      </c>
      <c r="O71" s="243">
        <f t="shared" si="10"/>
        <v>205</v>
      </c>
      <c r="P71" s="270">
        <f t="shared" si="11"/>
        <v>2</v>
      </c>
      <c r="Q71" s="270">
        <f t="shared" si="12"/>
        <v>0</v>
      </c>
    </row>
    <row r="72" spans="1:17" s="270" customFormat="1" x14ac:dyDescent="0.25">
      <c r="A72" s="40">
        <v>3101031218</v>
      </c>
      <c r="B72" s="6" t="s">
        <v>279</v>
      </c>
      <c r="C72" s="266" t="s">
        <v>264</v>
      </c>
      <c r="D72" s="266"/>
      <c r="E72" s="266">
        <v>43555.887627314813</v>
      </c>
      <c r="F72" s="266">
        <v>43577</v>
      </c>
      <c r="G72" s="266">
        <v>43583</v>
      </c>
      <c r="H72" s="266" t="s">
        <v>996</v>
      </c>
      <c r="I72" s="294">
        <v>1200</v>
      </c>
      <c r="J72" s="6"/>
      <c r="K72" s="6">
        <v>2</v>
      </c>
      <c r="L72" s="126">
        <f t="shared" si="8"/>
        <v>6</v>
      </c>
      <c r="M72" s="6">
        <f>SUMIF(Abr!$G$3:$G$107,A72,Abr!$J$3:$J$107)</f>
        <v>6</v>
      </c>
      <c r="N72" s="270">
        <f t="shared" si="9"/>
        <v>0</v>
      </c>
      <c r="O72" s="243">
        <f t="shared" si="10"/>
        <v>200</v>
      </c>
      <c r="P72" s="270">
        <f t="shared" si="11"/>
        <v>6</v>
      </c>
      <c r="Q72" s="270">
        <f t="shared" si="12"/>
        <v>0</v>
      </c>
    </row>
    <row r="73" spans="1:17" s="270" customFormat="1" x14ac:dyDescent="0.25">
      <c r="A73" s="40">
        <v>1904234453937</v>
      </c>
      <c r="B73" s="6" t="s">
        <v>279</v>
      </c>
      <c r="C73" s="266" t="s">
        <v>266</v>
      </c>
      <c r="D73" s="266" t="s">
        <v>792</v>
      </c>
      <c r="E73" s="266">
        <v>43578.932650462964</v>
      </c>
      <c r="F73" s="266">
        <v>43578</v>
      </c>
      <c r="G73" s="266">
        <v>43579</v>
      </c>
      <c r="H73" s="266" t="s">
        <v>997</v>
      </c>
      <c r="I73" s="294">
        <v>194.75</v>
      </c>
      <c r="J73" s="6"/>
      <c r="K73" s="6">
        <v>2</v>
      </c>
      <c r="L73" s="126">
        <f t="shared" si="8"/>
        <v>1</v>
      </c>
      <c r="M73" s="6">
        <f>SUMIF(Abr!$G$3:$G$107,A73,Abr!$J$3:$J$107)</f>
        <v>1</v>
      </c>
      <c r="N73" s="270">
        <f t="shared" si="9"/>
        <v>0</v>
      </c>
      <c r="O73" s="243">
        <f t="shared" si="10"/>
        <v>194.75</v>
      </c>
      <c r="P73" s="270">
        <f t="shared" si="11"/>
        <v>1</v>
      </c>
      <c r="Q73" s="270">
        <f t="shared" si="12"/>
        <v>0</v>
      </c>
    </row>
    <row r="74" spans="1:17" s="270" customFormat="1" x14ac:dyDescent="0.25">
      <c r="A74" s="40">
        <v>1228006125</v>
      </c>
      <c r="B74" s="6" t="s">
        <v>279</v>
      </c>
      <c r="C74" s="266" t="s">
        <v>265</v>
      </c>
      <c r="D74" s="266" t="s">
        <v>793</v>
      </c>
      <c r="E74" s="266">
        <v>43554.899305555555</v>
      </c>
      <c r="F74" s="266">
        <v>43579</v>
      </c>
      <c r="G74" s="266">
        <v>43582</v>
      </c>
      <c r="H74" s="266" t="s">
        <v>998</v>
      </c>
      <c r="I74" s="294">
        <v>585</v>
      </c>
      <c r="J74" s="6"/>
      <c r="K74" s="6">
        <v>2</v>
      </c>
      <c r="L74" s="126">
        <f t="shared" si="8"/>
        <v>3</v>
      </c>
      <c r="M74" s="6">
        <f>SUMIF(Abr!$G$3:$G$107,A74,Abr!$J$3:$J$107)</f>
        <v>3</v>
      </c>
      <c r="N74" s="270">
        <f t="shared" si="9"/>
        <v>0</v>
      </c>
      <c r="O74" s="243">
        <f t="shared" si="10"/>
        <v>195</v>
      </c>
      <c r="P74" s="270">
        <f t="shared" si="11"/>
        <v>3</v>
      </c>
      <c r="Q74" s="270">
        <f t="shared" si="12"/>
        <v>0</v>
      </c>
    </row>
    <row r="75" spans="1:17" s="270" customFormat="1" x14ac:dyDescent="0.25">
      <c r="A75" s="40">
        <v>1904174436717</v>
      </c>
      <c r="B75" s="6" t="s">
        <v>279</v>
      </c>
      <c r="C75" s="266" t="s">
        <v>266</v>
      </c>
      <c r="D75" s="266" t="s">
        <v>792</v>
      </c>
      <c r="E75" s="266">
        <v>43572.94699074074</v>
      </c>
      <c r="F75" s="266">
        <v>43579</v>
      </c>
      <c r="G75" s="266">
        <v>43584</v>
      </c>
      <c r="H75" s="266" t="s">
        <v>999</v>
      </c>
      <c r="I75" s="294">
        <v>945.25</v>
      </c>
      <c r="J75" s="6"/>
      <c r="K75" s="6">
        <v>2</v>
      </c>
      <c r="L75" s="126">
        <f t="shared" si="8"/>
        <v>5</v>
      </c>
      <c r="M75" s="6">
        <f>SUMIF(Abr!$G$3:$G$107,A75,Abr!$J$3:$J$107)</f>
        <v>5</v>
      </c>
      <c r="N75" s="270">
        <f t="shared" si="9"/>
        <v>0</v>
      </c>
      <c r="O75" s="243">
        <f t="shared" si="10"/>
        <v>189.05</v>
      </c>
      <c r="P75" s="270">
        <f t="shared" si="11"/>
        <v>5</v>
      </c>
      <c r="Q75" s="270">
        <f t="shared" si="12"/>
        <v>0</v>
      </c>
    </row>
    <row r="76" spans="1:17" s="270" customFormat="1" x14ac:dyDescent="0.25">
      <c r="A76" s="40">
        <v>3457815718</v>
      </c>
      <c r="B76" s="6" t="s">
        <v>279</v>
      </c>
      <c r="C76" s="266" t="s">
        <v>264</v>
      </c>
      <c r="D76" s="266"/>
      <c r="E76" s="266">
        <v>43577.389398148145</v>
      </c>
      <c r="F76" s="266">
        <v>43579</v>
      </c>
      <c r="G76" s="266">
        <v>43580</v>
      </c>
      <c r="H76" s="266" t="s">
        <v>1000</v>
      </c>
      <c r="I76" s="294">
        <v>195</v>
      </c>
      <c r="J76" s="6"/>
      <c r="K76" s="6">
        <v>2</v>
      </c>
      <c r="L76" s="126">
        <f t="shared" si="8"/>
        <v>1</v>
      </c>
      <c r="M76" s="6">
        <f>SUMIF(Abr!$G$3:$G$107,A76,Abr!$J$3:$J$107)</f>
        <v>1</v>
      </c>
      <c r="N76" s="270">
        <f t="shared" si="9"/>
        <v>0</v>
      </c>
      <c r="O76" s="243">
        <f t="shared" si="10"/>
        <v>195</v>
      </c>
      <c r="P76" s="270">
        <f t="shared" si="11"/>
        <v>1</v>
      </c>
      <c r="Q76" s="270">
        <f t="shared" si="12"/>
        <v>0</v>
      </c>
    </row>
    <row r="77" spans="1:17" s="270" customFormat="1" x14ac:dyDescent="0.25">
      <c r="A77" s="40">
        <v>1156057268</v>
      </c>
      <c r="B77" s="6" t="s">
        <v>279</v>
      </c>
      <c r="C77" s="266" t="s">
        <v>264</v>
      </c>
      <c r="D77" s="266"/>
      <c r="E77" s="266">
        <v>43401.632256944446</v>
      </c>
      <c r="F77" s="266">
        <v>43580</v>
      </c>
      <c r="G77" s="266">
        <v>43582</v>
      </c>
      <c r="H77" s="266" t="s">
        <v>1001</v>
      </c>
      <c r="I77" s="294">
        <v>410</v>
      </c>
      <c r="J77" s="6"/>
      <c r="K77" s="6">
        <v>2</v>
      </c>
      <c r="L77" s="126">
        <f t="shared" si="8"/>
        <v>2</v>
      </c>
      <c r="M77" s="6">
        <f>SUMIF(Abr!$G$3:$G$107,A77,Abr!$J$3:$J$107)</f>
        <v>2</v>
      </c>
      <c r="N77" s="270">
        <f t="shared" si="9"/>
        <v>0</v>
      </c>
      <c r="O77" s="243">
        <f t="shared" si="10"/>
        <v>205</v>
      </c>
      <c r="P77" s="270">
        <f t="shared" si="11"/>
        <v>2</v>
      </c>
      <c r="Q77" s="270">
        <f t="shared" si="12"/>
        <v>0</v>
      </c>
    </row>
    <row r="78" spans="1:17" s="270" customFormat="1" x14ac:dyDescent="0.25">
      <c r="A78" s="40">
        <v>3028648189</v>
      </c>
      <c r="B78" s="6" t="s">
        <v>279</v>
      </c>
      <c r="C78" s="266" t="s">
        <v>264</v>
      </c>
      <c r="D78" s="266"/>
      <c r="E78" s="266">
        <v>43569.351064814815</v>
      </c>
      <c r="F78" s="266">
        <v>43580</v>
      </c>
      <c r="G78" s="266">
        <v>43583</v>
      </c>
      <c r="H78" s="266" t="s">
        <v>1002</v>
      </c>
      <c r="I78" s="294">
        <v>595</v>
      </c>
      <c r="J78" s="6"/>
      <c r="K78" s="6">
        <v>2</v>
      </c>
      <c r="L78" s="126">
        <f t="shared" si="8"/>
        <v>3</v>
      </c>
      <c r="M78" s="6">
        <f>SUMIF(Abr!$G$3:$G$107,A78,Abr!$J$3:$J$107)</f>
        <v>3</v>
      </c>
      <c r="N78" s="270">
        <f t="shared" si="9"/>
        <v>0</v>
      </c>
      <c r="O78" s="243">
        <f t="shared" si="10"/>
        <v>198.33333333333334</v>
      </c>
      <c r="P78" s="270">
        <f t="shared" si="11"/>
        <v>3</v>
      </c>
      <c r="Q78" s="270">
        <f t="shared" si="12"/>
        <v>0</v>
      </c>
    </row>
    <row r="79" spans="1:17" s="270" customFormat="1" x14ac:dyDescent="0.25">
      <c r="A79" s="40">
        <v>3115396816</v>
      </c>
      <c r="B79" s="6" t="s">
        <v>279</v>
      </c>
      <c r="C79" s="266" t="s">
        <v>264</v>
      </c>
      <c r="D79" s="266"/>
      <c r="E79" s="266">
        <v>43580.288252314815</v>
      </c>
      <c r="F79" s="266">
        <v>43580</v>
      </c>
      <c r="G79" s="266">
        <v>43583</v>
      </c>
      <c r="H79" s="266" t="s">
        <v>1000</v>
      </c>
      <c r="I79" s="294">
        <v>595</v>
      </c>
      <c r="J79" s="6"/>
      <c r="K79" s="6">
        <v>2</v>
      </c>
      <c r="L79" s="126">
        <f t="shared" si="8"/>
        <v>3</v>
      </c>
      <c r="M79" s="6">
        <f>SUMIF(Abr!$G$3:$G$107,A79,Abr!$J$3:$J$107)</f>
        <v>3</v>
      </c>
      <c r="N79" s="270">
        <f t="shared" si="9"/>
        <v>0</v>
      </c>
      <c r="O79" s="243">
        <f t="shared" si="10"/>
        <v>198.33333333333334</v>
      </c>
      <c r="P79" s="270">
        <f t="shared" si="11"/>
        <v>3</v>
      </c>
      <c r="Q79" s="270">
        <f t="shared" si="12"/>
        <v>0</v>
      </c>
    </row>
    <row r="80" spans="1:17" s="270" customFormat="1" x14ac:dyDescent="0.25">
      <c r="A80" s="40">
        <v>3729391790</v>
      </c>
      <c r="B80" s="6" t="s">
        <v>280</v>
      </c>
      <c r="C80" s="266" t="s">
        <v>264</v>
      </c>
      <c r="D80" s="266"/>
      <c r="E80" s="266">
        <v>43555.92255787037</v>
      </c>
      <c r="F80" s="266">
        <v>43581</v>
      </c>
      <c r="G80" s="266">
        <v>43588</v>
      </c>
      <c r="H80" s="266" t="s">
        <v>1003</v>
      </c>
      <c r="I80" s="294">
        <v>1530</v>
      </c>
      <c r="J80" s="6"/>
      <c r="K80" s="6">
        <v>2</v>
      </c>
      <c r="L80" s="126">
        <f t="shared" si="8"/>
        <v>7</v>
      </c>
      <c r="M80" s="6">
        <f>SUMIF(Abr!$G$3:$G$107,A80,Abr!$J$3:$J$107)</f>
        <v>7</v>
      </c>
      <c r="N80" s="270">
        <f t="shared" si="9"/>
        <v>0</v>
      </c>
      <c r="O80" s="243">
        <f t="shared" si="10"/>
        <v>218.57142857142858</v>
      </c>
      <c r="P80" s="270">
        <f t="shared" si="11"/>
        <v>7</v>
      </c>
      <c r="Q80" s="270">
        <f t="shared" si="12"/>
        <v>0</v>
      </c>
    </row>
    <row r="81" spans="1:17" s="270" customFormat="1" x14ac:dyDescent="0.25">
      <c r="A81" s="40">
        <v>1060860958</v>
      </c>
      <c r="B81" s="6" t="s">
        <v>279</v>
      </c>
      <c r="C81" s="266" t="s">
        <v>265</v>
      </c>
      <c r="D81" s="266" t="s">
        <v>791</v>
      </c>
      <c r="E81" s="266">
        <v>43271.706944444442</v>
      </c>
      <c r="F81" s="266">
        <v>43582</v>
      </c>
      <c r="G81" s="266">
        <v>43583</v>
      </c>
      <c r="H81" s="266" t="s">
        <v>991</v>
      </c>
      <c r="I81" s="294">
        <v>205</v>
      </c>
      <c r="J81" s="6"/>
      <c r="K81" s="6">
        <v>2</v>
      </c>
      <c r="L81" s="126">
        <f t="shared" si="8"/>
        <v>1</v>
      </c>
      <c r="M81" s="6">
        <f>SUMIF(Abr!$G$3:$G$107,A81,Abr!$J$3:$J$107)</f>
        <v>1</v>
      </c>
      <c r="N81" s="270">
        <f t="shared" si="9"/>
        <v>0</v>
      </c>
      <c r="O81" s="243">
        <f t="shared" si="10"/>
        <v>205</v>
      </c>
      <c r="P81" s="270">
        <f t="shared" si="11"/>
        <v>1</v>
      </c>
      <c r="Q81" s="270">
        <f t="shared" si="12"/>
        <v>0</v>
      </c>
    </row>
    <row r="82" spans="1:17" s="270" customFormat="1" x14ac:dyDescent="0.25">
      <c r="A82" s="40">
        <v>1060860959</v>
      </c>
      <c r="B82" s="6" t="s">
        <v>279</v>
      </c>
      <c r="C82" s="266" t="s">
        <v>265</v>
      </c>
      <c r="D82" s="266" t="s">
        <v>791</v>
      </c>
      <c r="E82" s="266">
        <v>43271.706944444442</v>
      </c>
      <c r="F82" s="266">
        <v>43582</v>
      </c>
      <c r="G82" s="266">
        <v>43583</v>
      </c>
      <c r="H82" s="266" t="s">
        <v>1004</v>
      </c>
      <c r="I82" s="294">
        <v>205</v>
      </c>
      <c r="J82" s="6"/>
      <c r="K82" s="6">
        <v>2</v>
      </c>
      <c r="L82" s="126">
        <f t="shared" si="8"/>
        <v>1</v>
      </c>
      <c r="M82" s="6">
        <f>SUMIF(Abr!$G$3:$G$107,A82,Abr!$J$3:$J$107)</f>
        <v>1</v>
      </c>
      <c r="N82" s="270">
        <f t="shared" si="9"/>
        <v>0</v>
      </c>
      <c r="O82" s="243">
        <f t="shared" si="10"/>
        <v>205</v>
      </c>
      <c r="P82" s="270">
        <f t="shared" si="11"/>
        <v>1</v>
      </c>
      <c r="Q82" s="270">
        <f t="shared" si="12"/>
        <v>0</v>
      </c>
    </row>
    <row r="83" spans="1:17" s="270" customFormat="1" x14ac:dyDescent="0.25">
      <c r="A83" s="40">
        <v>1902064184973</v>
      </c>
      <c r="B83" s="6" t="s">
        <v>279</v>
      </c>
      <c r="C83" s="266" t="s">
        <v>266</v>
      </c>
      <c r="D83" s="266" t="s">
        <v>792</v>
      </c>
      <c r="E83" s="266">
        <v>43502.704953703702</v>
      </c>
      <c r="F83" s="266">
        <v>43582</v>
      </c>
      <c r="G83" s="266">
        <v>43588</v>
      </c>
      <c r="H83" s="266" t="s">
        <v>1005</v>
      </c>
      <c r="I83" s="294">
        <v>1168.5</v>
      </c>
      <c r="J83" s="6"/>
      <c r="K83" s="6">
        <v>2</v>
      </c>
      <c r="L83" s="126">
        <f t="shared" si="8"/>
        <v>6</v>
      </c>
      <c r="M83" s="6">
        <f>SUMIF(Abr!$G$3:$G$107,A83,Abr!$J$3:$J$107)</f>
        <v>6</v>
      </c>
      <c r="N83" s="270">
        <f t="shared" si="9"/>
        <v>0</v>
      </c>
      <c r="O83" s="243">
        <f t="shared" si="10"/>
        <v>194.75</v>
      </c>
      <c r="P83" s="270">
        <f t="shared" si="11"/>
        <v>6</v>
      </c>
      <c r="Q83" s="270">
        <f t="shared" si="12"/>
        <v>0</v>
      </c>
    </row>
    <row r="84" spans="1:17" s="270" customFormat="1" x14ac:dyDescent="0.25">
      <c r="A84" s="40">
        <v>1975602711</v>
      </c>
      <c r="B84" s="6" t="s">
        <v>280</v>
      </c>
      <c r="C84" s="266" t="s">
        <v>264</v>
      </c>
      <c r="D84" s="266"/>
      <c r="E84" s="266">
        <v>43506.301342592589</v>
      </c>
      <c r="F84" s="266">
        <v>43582</v>
      </c>
      <c r="G84" s="266">
        <v>43587</v>
      </c>
      <c r="H84" s="266" t="s">
        <v>1006</v>
      </c>
      <c r="I84" s="294">
        <v>1025</v>
      </c>
      <c r="J84" s="6"/>
      <c r="K84" s="6">
        <v>2</v>
      </c>
      <c r="L84" s="126">
        <f t="shared" ref="L84:L110" si="13">G84-F84</f>
        <v>5</v>
      </c>
      <c r="M84" s="6">
        <f>SUMIF(Abr!$G$3:$G$107,A84,Abr!$J$3:$J$107)</f>
        <v>5</v>
      </c>
      <c r="N84" s="270">
        <f t="shared" ref="N84:N110" si="14">+L84-M84</f>
        <v>0</v>
      </c>
      <c r="O84" s="243">
        <f t="shared" si="10"/>
        <v>205</v>
      </c>
      <c r="P84" s="270">
        <f t="shared" si="11"/>
        <v>5</v>
      </c>
      <c r="Q84" s="270">
        <f t="shared" si="12"/>
        <v>0</v>
      </c>
    </row>
    <row r="85" spans="1:17" s="270" customFormat="1" x14ac:dyDescent="0.25">
      <c r="A85" s="40">
        <v>1425925700</v>
      </c>
      <c r="B85" s="6" t="s">
        <v>280</v>
      </c>
      <c r="C85" s="266" t="s">
        <v>264</v>
      </c>
      <c r="D85" s="266"/>
      <c r="E85" s="266">
        <v>43513.792905092596</v>
      </c>
      <c r="F85" s="266">
        <v>43582</v>
      </c>
      <c r="G85" s="266">
        <v>43588</v>
      </c>
      <c r="H85" s="266" t="s">
        <v>1007</v>
      </c>
      <c r="I85" s="294">
        <v>1230</v>
      </c>
      <c r="J85" s="6"/>
      <c r="K85" s="6">
        <v>2</v>
      </c>
      <c r="L85" s="126">
        <f t="shared" si="13"/>
        <v>6</v>
      </c>
      <c r="M85" s="6">
        <f>SUMIF(Abr!$G$3:$G$107,A85,Abr!$J$3:$J$107)</f>
        <v>6</v>
      </c>
      <c r="N85" s="270">
        <f t="shared" si="14"/>
        <v>0</v>
      </c>
      <c r="O85" s="243">
        <f t="shared" si="10"/>
        <v>205</v>
      </c>
      <c r="P85" s="270">
        <f t="shared" si="11"/>
        <v>6</v>
      </c>
      <c r="Q85" s="270">
        <f t="shared" si="12"/>
        <v>0</v>
      </c>
    </row>
    <row r="86" spans="1:17" s="270" customFormat="1" x14ac:dyDescent="0.25">
      <c r="A86" s="40">
        <v>1857215476</v>
      </c>
      <c r="B86" s="6" t="s">
        <v>279</v>
      </c>
      <c r="C86" s="266" t="s">
        <v>264</v>
      </c>
      <c r="D86" s="266"/>
      <c r="E86" s="266">
        <v>43401.645914351851</v>
      </c>
      <c r="F86" s="266">
        <v>43583</v>
      </c>
      <c r="G86" s="266">
        <v>43584</v>
      </c>
      <c r="H86" s="266" t="s">
        <v>1001</v>
      </c>
      <c r="I86" s="294">
        <v>205</v>
      </c>
      <c r="J86" s="6"/>
      <c r="K86" s="6">
        <v>2</v>
      </c>
      <c r="L86" s="126">
        <f t="shared" si="13"/>
        <v>1</v>
      </c>
      <c r="M86" s="6">
        <f>SUMIF(Abr!$G$3:$G$107,A86,Abr!$J$3:$J$107)</f>
        <v>1</v>
      </c>
      <c r="N86" s="270">
        <f t="shared" si="14"/>
        <v>0</v>
      </c>
      <c r="O86" s="243">
        <f t="shared" si="10"/>
        <v>205</v>
      </c>
      <c r="P86" s="270">
        <f t="shared" si="11"/>
        <v>1</v>
      </c>
      <c r="Q86" s="270">
        <f t="shared" si="12"/>
        <v>0</v>
      </c>
    </row>
    <row r="87" spans="1:17" s="270" customFormat="1" x14ac:dyDescent="0.25">
      <c r="A87" s="40">
        <v>1947475438</v>
      </c>
      <c r="B87" s="6" t="s">
        <v>279</v>
      </c>
      <c r="C87" s="266" t="s">
        <v>264</v>
      </c>
      <c r="D87" s="266"/>
      <c r="E87" s="266">
        <v>43476.714988425927</v>
      </c>
      <c r="F87" s="266">
        <v>43583</v>
      </c>
      <c r="G87" s="266">
        <v>43587</v>
      </c>
      <c r="H87" s="266" t="s">
        <v>1008</v>
      </c>
      <c r="I87" s="294">
        <v>820</v>
      </c>
      <c r="J87" s="6"/>
      <c r="K87" s="6">
        <v>2</v>
      </c>
      <c r="L87" s="126">
        <f t="shared" si="13"/>
        <v>4</v>
      </c>
      <c r="M87" s="6">
        <f>SUMIF(Abr!$G$3:$G$107,A87,Abr!$J$3:$J$107)</f>
        <v>4</v>
      </c>
      <c r="N87" s="270">
        <f t="shared" si="14"/>
        <v>0</v>
      </c>
      <c r="O87" s="243">
        <f t="shared" si="10"/>
        <v>205</v>
      </c>
      <c r="P87" s="270">
        <f t="shared" si="11"/>
        <v>4</v>
      </c>
      <c r="Q87" s="270">
        <f t="shared" si="12"/>
        <v>0</v>
      </c>
    </row>
    <row r="88" spans="1:17" s="270" customFormat="1" x14ac:dyDescent="0.25">
      <c r="A88" s="40">
        <v>1189814425</v>
      </c>
      <c r="B88" s="6" t="s">
        <v>279</v>
      </c>
      <c r="C88" s="266" t="s">
        <v>265</v>
      </c>
      <c r="D88" s="266" t="s">
        <v>793</v>
      </c>
      <c r="E88" s="266">
        <v>43496.737500000003</v>
      </c>
      <c r="F88" s="266">
        <v>43583</v>
      </c>
      <c r="G88" s="266">
        <v>43587</v>
      </c>
      <c r="H88" s="266" t="s">
        <v>1009</v>
      </c>
      <c r="I88" s="294">
        <v>820</v>
      </c>
      <c r="J88" s="6"/>
      <c r="K88" s="6">
        <v>2</v>
      </c>
      <c r="L88" s="126">
        <f t="shared" si="13"/>
        <v>4</v>
      </c>
      <c r="M88" s="6">
        <f>SUMIF(Abr!$G$3:$G$107,A88,Abr!$J$3:$J$107)</f>
        <v>4</v>
      </c>
      <c r="N88" s="270">
        <f t="shared" si="14"/>
        <v>0</v>
      </c>
      <c r="O88" s="243">
        <f t="shared" ref="O88:O90" si="15">+I88/M88</f>
        <v>205</v>
      </c>
      <c r="P88" s="270">
        <f t="shared" ref="P88:P90" si="16">ROUND(I88/O88,0)</f>
        <v>4</v>
      </c>
      <c r="Q88" s="270">
        <f t="shared" ref="Q88:Q90" si="17">+P88-L88</f>
        <v>0</v>
      </c>
    </row>
    <row r="89" spans="1:17" s="270" customFormat="1" x14ac:dyDescent="0.25">
      <c r="A89" s="40">
        <v>1189814423</v>
      </c>
      <c r="B89" s="6" t="s">
        <v>279</v>
      </c>
      <c r="C89" s="266" t="s">
        <v>265</v>
      </c>
      <c r="D89" s="266" t="s">
        <v>793</v>
      </c>
      <c r="E89" s="266">
        <v>43496.737500000003</v>
      </c>
      <c r="F89" s="266">
        <v>43583</v>
      </c>
      <c r="G89" s="266">
        <v>43587</v>
      </c>
      <c r="H89" s="266" t="s">
        <v>1009</v>
      </c>
      <c r="I89" s="294">
        <v>820</v>
      </c>
      <c r="J89" s="6"/>
      <c r="K89" s="6">
        <v>2</v>
      </c>
      <c r="L89" s="126">
        <f t="shared" si="13"/>
        <v>4</v>
      </c>
      <c r="M89" s="6">
        <f>SUMIF(Abr!$G$3:$G$107,A89,Abr!$J$3:$J$107)</f>
        <v>4</v>
      </c>
      <c r="N89" s="270">
        <f t="shared" si="14"/>
        <v>0</v>
      </c>
      <c r="O89" s="243">
        <f t="shared" si="15"/>
        <v>205</v>
      </c>
      <c r="P89" s="270">
        <f t="shared" si="16"/>
        <v>4</v>
      </c>
      <c r="Q89" s="270">
        <f t="shared" si="17"/>
        <v>0</v>
      </c>
    </row>
    <row r="90" spans="1:17" s="270" customFormat="1" x14ac:dyDescent="0.25">
      <c r="A90" s="40">
        <v>1539202311</v>
      </c>
      <c r="B90" s="6" t="s">
        <v>279</v>
      </c>
      <c r="C90" s="266" t="s">
        <v>264</v>
      </c>
      <c r="D90" s="266"/>
      <c r="E90" s="266">
        <v>43500.961400462962</v>
      </c>
      <c r="F90" s="266">
        <v>43585</v>
      </c>
      <c r="G90" s="266">
        <v>43586</v>
      </c>
      <c r="H90" s="266" t="s">
        <v>1010</v>
      </c>
      <c r="I90" s="294">
        <v>410</v>
      </c>
      <c r="J90" s="6"/>
      <c r="K90" s="6">
        <v>2</v>
      </c>
      <c r="L90" s="126">
        <f t="shared" si="13"/>
        <v>1</v>
      </c>
      <c r="M90" s="6">
        <f>SUMIF(Abr!$G$3:$G$107,A90,Abr!$J$3:$J$107)</f>
        <v>2</v>
      </c>
      <c r="N90" s="270">
        <f>+L90-M90</f>
        <v>-1</v>
      </c>
      <c r="O90" s="243">
        <f t="shared" si="15"/>
        <v>205</v>
      </c>
      <c r="P90" s="270">
        <f t="shared" si="16"/>
        <v>2</v>
      </c>
      <c r="Q90" s="270">
        <f t="shared" si="17"/>
        <v>1</v>
      </c>
    </row>
    <row r="91" spans="1:17" s="270" customFormat="1" x14ac:dyDescent="0.25">
      <c r="A91" s="40"/>
      <c r="B91" s="6"/>
      <c r="C91" s="266"/>
      <c r="D91" s="266"/>
      <c r="E91" s="266"/>
      <c r="F91" s="266"/>
      <c r="G91" s="266"/>
      <c r="H91" s="266"/>
      <c r="I91" s="294"/>
      <c r="J91" s="6"/>
      <c r="K91" s="6">
        <v>2</v>
      </c>
      <c r="L91" s="126">
        <f t="shared" si="13"/>
        <v>0</v>
      </c>
      <c r="M91" s="6">
        <f>SUMIF(Abr!$G$3:$G$107,A91,Abr!$J$3:$J$107)</f>
        <v>0</v>
      </c>
      <c r="N91" s="270">
        <f t="shared" si="14"/>
        <v>0</v>
      </c>
      <c r="O91" s="243"/>
    </row>
    <row r="92" spans="1:17" s="270" customFormat="1" x14ac:dyDescent="0.25">
      <c r="A92" s="40"/>
      <c r="B92" s="6"/>
      <c r="C92" s="266"/>
      <c r="D92" s="266"/>
      <c r="E92" s="266"/>
      <c r="F92" s="266"/>
      <c r="G92" s="266"/>
      <c r="H92" s="266"/>
      <c r="I92" s="294"/>
      <c r="J92" s="6"/>
      <c r="K92" s="6">
        <v>2</v>
      </c>
      <c r="L92" s="126">
        <f t="shared" si="13"/>
        <v>0</v>
      </c>
      <c r="M92" s="6">
        <f>SUMIF(Abr!$G$3:$G$107,A92,Abr!$J$3:$J$107)</f>
        <v>0</v>
      </c>
      <c r="N92" s="270">
        <f t="shared" si="14"/>
        <v>0</v>
      </c>
      <c r="O92" s="243"/>
    </row>
    <row r="93" spans="1:17" s="270" customFormat="1" x14ac:dyDescent="0.25">
      <c r="A93" s="40"/>
      <c r="B93" s="6"/>
      <c r="C93" s="266"/>
      <c r="D93" s="266"/>
      <c r="E93" s="266"/>
      <c r="F93" s="266"/>
      <c r="G93" s="266"/>
      <c r="H93" s="266"/>
      <c r="I93" s="294"/>
      <c r="J93" s="6"/>
      <c r="K93" s="6">
        <v>2</v>
      </c>
      <c r="L93" s="126">
        <f t="shared" si="13"/>
        <v>0</v>
      </c>
      <c r="M93" s="6">
        <f>SUMIF(Abr!$G$3:$G$107,A93,Abr!$J$3:$J$107)</f>
        <v>0</v>
      </c>
      <c r="N93" s="270">
        <f t="shared" si="14"/>
        <v>0</v>
      </c>
      <c r="O93" s="243"/>
    </row>
    <row r="94" spans="1:17" s="270" customFormat="1" x14ac:dyDescent="0.25">
      <c r="A94" s="40"/>
      <c r="B94" s="6"/>
      <c r="C94" s="266"/>
      <c r="D94" s="266"/>
      <c r="E94" s="266"/>
      <c r="F94" s="266"/>
      <c r="G94" s="266"/>
      <c r="H94" s="266"/>
      <c r="I94" s="294"/>
      <c r="J94" s="6"/>
      <c r="K94" s="6">
        <v>2</v>
      </c>
      <c r="L94" s="126">
        <f t="shared" si="13"/>
        <v>0</v>
      </c>
      <c r="M94" s="6">
        <f>SUMIF(Abr!$G$3:$G$107,A94,Abr!$J$3:$J$107)</f>
        <v>0</v>
      </c>
      <c r="N94" s="270">
        <f t="shared" si="14"/>
        <v>0</v>
      </c>
      <c r="O94" s="243"/>
    </row>
    <row r="95" spans="1:17" s="270" customFormat="1" x14ac:dyDescent="0.25">
      <c r="A95" s="40"/>
      <c r="B95" s="6"/>
      <c r="C95" s="266"/>
      <c r="D95" s="266"/>
      <c r="E95" s="266"/>
      <c r="F95" s="266"/>
      <c r="G95" s="266"/>
      <c r="H95" s="266"/>
      <c r="I95" s="294"/>
      <c r="J95" s="6"/>
      <c r="K95" s="6">
        <v>2</v>
      </c>
      <c r="L95" s="126">
        <f t="shared" si="13"/>
        <v>0</v>
      </c>
      <c r="M95" s="6">
        <f>SUMIF(Abr!$G$3:$G$107,A95,Abr!$J$3:$J$107)</f>
        <v>0</v>
      </c>
      <c r="N95" s="270">
        <f t="shared" si="14"/>
        <v>0</v>
      </c>
      <c r="O95" s="243"/>
    </row>
    <row r="96" spans="1:17" x14ac:dyDescent="0.25">
      <c r="A96" s="40"/>
      <c r="B96" s="6"/>
      <c r="C96" s="266"/>
      <c r="D96" s="266"/>
      <c r="E96" s="266"/>
      <c r="F96" s="265"/>
      <c r="G96" s="265"/>
      <c r="H96" s="266"/>
      <c r="I96" s="294"/>
      <c r="J96" s="6"/>
      <c r="K96" s="6">
        <v>2</v>
      </c>
      <c r="L96" s="126">
        <f t="shared" si="13"/>
        <v>0</v>
      </c>
      <c r="M96" s="6">
        <f>SUMIF(Abr!$G$3:$G$107,A96,Abr!$J$3:$J$107)</f>
        <v>0</v>
      </c>
      <c r="N96" s="270">
        <f t="shared" si="14"/>
        <v>0</v>
      </c>
      <c r="O96" s="243"/>
      <c r="P96" s="270"/>
      <c r="Q96" s="270"/>
    </row>
    <row r="97" spans="1:17" x14ac:dyDescent="0.25">
      <c r="A97" s="40"/>
      <c r="B97" s="6"/>
      <c r="C97" s="266"/>
      <c r="D97" s="266"/>
      <c r="E97" s="266"/>
      <c r="F97" s="6"/>
      <c r="G97" s="6"/>
      <c r="H97" s="266"/>
      <c r="I97" s="294"/>
      <c r="J97" s="6"/>
      <c r="K97" s="6">
        <v>2</v>
      </c>
      <c r="L97" s="126">
        <f t="shared" si="13"/>
        <v>0</v>
      </c>
      <c r="M97" s="6">
        <f>SUMIF(Abr!$G$3:$G$107,A97,Abr!$J$3:$J$107)</f>
        <v>0</v>
      </c>
      <c r="N97" s="270">
        <f t="shared" si="14"/>
        <v>0</v>
      </c>
      <c r="O97" s="243"/>
      <c r="P97" s="270"/>
      <c r="Q97" s="270"/>
    </row>
    <row r="98" spans="1:17" x14ac:dyDescent="0.25">
      <c r="A98" s="40"/>
      <c r="B98" s="6"/>
      <c r="C98" s="266"/>
      <c r="D98" s="266"/>
      <c r="E98" s="266"/>
      <c r="F98" s="265"/>
      <c r="G98" s="265"/>
      <c r="H98" s="266"/>
      <c r="I98" s="294"/>
      <c r="J98" s="6"/>
      <c r="K98" s="6">
        <v>2</v>
      </c>
      <c r="L98" s="126">
        <f t="shared" si="13"/>
        <v>0</v>
      </c>
      <c r="M98" s="6">
        <f>SUMIF(Abr!$G$3:$G$107,A98,Abr!$J$3:$J$107)</f>
        <v>0</v>
      </c>
      <c r="N98" s="270">
        <f t="shared" si="14"/>
        <v>0</v>
      </c>
      <c r="O98" s="243"/>
      <c r="P98" s="270"/>
      <c r="Q98" s="270"/>
    </row>
    <row r="99" spans="1:17" x14ac:dyDescent="0.25">
      <c r="A99" s="40"/>
      <c r="B99" s="6"/>
      <c r="C99" s="266"/>
      <c r="D99" s="266"/>
      <c r="E99" s="266"/>
      <c r="F99" s="266"/>
      <c r="G99" s="266"/>
      <c r="H99" s="266"/>
      <c r="I99" s="294"/>
      <c r="J99" s="6"/>
      <c r="K99" s="6">
        <v>2</v>
      </c>
      <c r="L99" s="126">
        <f t="shared" si="13"/>
        <v>0</v>
      </c>
      <c r="M99" s="6">
        <f>SUMIF(Abr!$G$3:$G$107,A99,Abr!$J$3:$J$107)</f>
        <v>0</v>
      </c>
      <c r="N99" s="270">
        <f t="shared" si="14"/>
        <v>0</v>
      </c>
      <c r="O99" s="243"/>
      <c r="P99" s="270"/>
      <c r="Q99" s="270"/>
    </row>
    <row r="100" spans="1:17" x14ac:dyDescent="0.25">
      <c r="A100" s="40"/>
      <c r="B100" s="6"/>
      <c r="C100" s="266"/>
      <c r="D100" s="266"/>
      <c r="E100" s="266"/>
      <c r="F100" s="266"/>
      <c r="G100" s="266"/>
      <c r="H100" s="266"/>
      <c r="I100" s="294"/>
      <c r="J100" s="6"/>
      <c r="K100" s="6">
        <v>2</v>
      </c>
      <c r="L100" s="126">
        <f t="shared" si="13"/>
        <v>0</v>
      </c>
      <c r="M100" s="6">
        <f>SUMIF(Abr!$G$3:$G$107,A100,Abr!$J$3:$J$107)</f>
        <v>0</v>
      </c>
      <c r="N100" s="270">
        <f t="shared" si="14"/>
        <v>0</v>
      </c>
      <c r="O100" s="243"/>
      <c r="P100" s="270"/>
      <c r="Q100" s="270"/>
    </row>
    <row r="101" spans="1:17" x14ac:dyDescent="0.25">
      <c r="A101" s="40"/>
      <c r="B101" s="6"/>
      <c r="C101" s="266"/>
      <c r="D101" s="266"/>
      <c r="E101" s="266"/>
      <c r="F101" s="6"/>
      <c r="G101" s="6"/>
      <c r="H101" s="266"/>
      <c r="I101" s="266"/>
      <c r="J101" s="6"/>
      <c r="K101" s="6">
        <v>2</v>
      </c>
      <c r="L101" s="126">
        <f t="shared" si="13"/>
        <v>0</v>
      </c>
      <c r="M101" s="6">
        <f>SUMIF(Abr!$G$3:$G$107,A101,Abr!$J$3:$J$107)</f>
        <v>0</v>
      </c>
      <c r="N101" s="270">
        <f t="shared" si="14"/>
        <v>0</v>
      </c>
      <c r="O101" s="243"/>
      <c r="P101" s="270"/>
      <c r="Q101" s="270"/>
    </row>
    <row r="102" spans="1:17" x14ac:dyDescent="0.25">
      <c r="A102" s="40"/>
      <c r="B102" s="6"/>
      <c r="C102" s="266"/>
      <c r="D102" s="266"/>
      <c r="E102" s="266"/>
      <c r="F102" s="6"/>
      <c r="G102" s="6"/>
      <c r="H102" s="266"/>
      <c r="I102" s="266"/>
      <c r="J102" s="6"/>
      <c r="K102" s="6">
        <v>2</v>
      </c>
      <c r="L102" s="126">
        <f t="shared" si="13"/>
        <v>0</v>
      </c>
      <c r="M102" s="6">
        <f>SUMIF(Abr!$G$3:$G$107,A102,Abr!$J$3:$J$107)</f>
        <v>0</v>
      </c>
      <c r="N102" s="270">
        <f t="shared" si="14"/>
        <v>0</v>
      </c>
      <c r="O102" s="243"/>
      <c r="P102" s="270"/>
      <c r="Q102" s="270"/>
    </row>
    <row r="103" spans="1:17" x14ac:dyDescent="0.25">
      <c r="A103" s="40"/>
      <c r="B103" s="6"/>
      <c r="C103" s="266"/>
      <c r="D103" s="266"/>
      <c r="E103" s="266"/>
      <c r="F103" s="6"/>
      <c r="G103" s="6"/>
      <c r="H103" s="266"/>
      <c r="I103" s="266"/>
      <c r="J103" s="6"/>
      <c r="K103" s="6">
        <v>2</v>
      </c>
      <c r="L103" s="126">
        <f t="shared" si="13"/>
        <v>0</v>
      </c>
      <c r="M103" s="6">
        <f>SUMIF(Abr!$G$3:$G$107,A103,Abr!$J$3:$J$107)</f>
        <v>0</v>
      </c>
      <c r="N103" s="270">
        <f t="shared" si="14"/>
        <v>0</v>
      </c>
      <c r="O103" s="243"/>
      <c r="P103" s="270"/>
      <c r="Q103" s="270"/>
    </row>
    <row r="104" spans="1:17" x14ac:dyDescent="0.25">
      <c r="A104" s="271"/>
      <c r="B104" s="272"/>
      <c r="C104" s="273"/>
      <c r="D104" s="273"/>
      <c r="E104" s="273"/>
      <c r="F104" s="272"/>
      <c r="G104" s="272"/>
      <c r="H104" s="273"/>
      <c r="I104" s="273"/>
      <c r="J104" s="272"/>
      <c r="K104" s="6">
        <v>2</v>
      </c>
      <c r="L104" s="126">
        <f t="shared" si="13"/>
        <v>0</v>
      </c>
      <c r="M104" s="6">
        <f>SUMIF(Abr!$G$3:$G$107,A104,Abr!$J$3:$J$107)</f>
        <v>0</v>
      </c>
      <c r="N104" s="270">
        <f t="shared" si="14"/>
        <v>0</v>
      </c>
      <c r="O104" s="243"/>
      <c r="P104" s="270"/>
      <c r="Q104" s="270"/>
    </row>
    <row r="105" spans="1:17" x14ac:dyDescent="0.25">
      <c r="A105" s="40"/>
      <c r="B105" s="6"/>
      <c r="C105" s="266"/>
      <c r="D105" s="266"/>
      <c r="E105" s="266"/>
      <c r="F105" s="6"/>
      <c r="G105" s="6"/>
      <c r="H105" s="266"/>
      <c r="I105" s="266"/>
      <c r="J105" s="6"/>
      <c r="K105" s="6">
        <v>2</v>
      </c>
      <c r="L105" s="126">
        <f t="shared" si="13"/>
        <v>0</v>
      </c>
      <c r="M105" s="6">
        <f>SUMIF(Abr!$G$3:$G$107,A105,Abr!$J$3:$J$107)</f>
        <v>0</v>
      </c>
      <c r="N105" s="270">
        <f t="shared" si="14"/>
        <v>0</v>
      </c>
      <c r="O105" s="243"/>
      <c r="P105" s="270"/>
      <c r="Q105" s="270"/>
    </row>
    <row r="106" spans="1:17" x14ac:dyDescent="0.25">
      <c r="A106" s="6"/>
      <c r="B106" s="6"/>
      <c r="C106" s="266"/>
      <c r="D106" s="266"/>
      <c r="E106" s="266"/>
      <c r="F106" s="6"/>
      <c r="G106" s="6"/>
      <c r="H106" s="266"/>
      <c r="I106" s="266"/>
      <c r="J106" s="6"/>
      <c r="K106" s="6">
        <v>2</v>
      </c>
      <c r="L106" s="126">
        <f t="shared" si="13"/>
        <v>0</v>
      </c>
      <c r="M106" s="6">
        <f>SUMIF(Abr!$G$3:$G$107,A106,Abr!$J$3:$J$107)</f>
        <v>0</v>
      </c>
      <c r="N106" s="270">
        <f t="shared" si="14"/>
        <v>0</v>
      </c>
      <c r="O106" s="243"/>
      <c r="P106" s="270"/>
      <c r="Q106" s="270"/>
    </row>
    <row r="107" spans="1:17" x14ac:dyDescent="0.25">
      <c r="A107" s="6"/>
      <c r="B107" s="6"/>
      <c r="C107" s="266"/>
      <c r="D107" s="266"/>
      <c r="E107" s="266"/>
      <c r="F107" s="6"/>
      <c r="G107" s="6"/>
      <c r="H107" s="266"/>
      <c r="I107" s="266"/>
      <c r="J107" s="6"/>
      <c r="K107" s="6">
        <v>2</v>
      </c>
      <c r="L107" s="126">
        <f t="shared" si="13"/>
        <v>0</v>
      </c>
      <c r="M107" s="6">
        <f>SUMIF(Abr!$G$3:$G$107,A107,Abr!$J$3:$J$107)</f>
        <v>0</v>
      </c>
      <c r="N107" s="270">
        <f t="shared" si="14"/>
        <v>0</v>
      </c>
      <c r="O107" s="243"/>
      <c r="P107" s="270"/>
      <c r="Q107" s="270"/>
    </row>
    <row r="108" spans="1:17" x14ac:dyDescent="0.25">
      <c r="A108" s="6"/>
      <c r="B108" s="6"/>
      <c r="C108" s="266"/>
      <c r="D108" s="266"/>
      <c r="E108" s="266"/>
      <c r="F108" s="6"/>
      <c r="G108" s="6"/>
      <c r="H108" s="266"/>
      <c r="I108" s="266"/>
      <c r="J108" s="6"/>
      <c r="K108" s="6">
        <v>2</v>
      </c>
      <c r="L108" s="126">
        <f t="shared" si="13"/>
        <v>0</v>
      </c>
      <c r="M108" s="6">
        <f>SUMIF(Abr!$G$3:$G$107,A108,Abr!$J$3:$J$107)</f>
        <v>0</v>
      </c>
      <c r="N108" s="270">
        <f t="shared" si="14"/>
        <v>0</v>
      </c>
      <c r="O108" s="243"/>
      <c r="P108" s="270"/>
      <c r="Q108" s="270"/>
    </row>
    <row r="109" spans="1:17" x14ac:dyDescent="0.25">
      <c r="A109" s="6"/>
      <c r="B109" s="6"/>
      <c r="C109" s="266"/>
      <c r="D109" s="266"/>
      <c r="E109" s="266"/>
      <c r="F109" s="6"/>
      <c r="G109" s="6"/>
      <c r="H109" s="266"/>
      <c r="I109" s="266"/>
      <c r="J109" s="6"/>
      <c r="K109" s="6">
        <v>2</v>
      </c>
      <c r="L109" s="126">
        <f t="shared" si="13"/>
        <v>0</v>
      </c>
      <c r="M109" s="6">
        <f>SUMIF(Abr!$G$3:$G$107,A109,Abr!$J$3:$J$107)</f>
        <v>0</v>
      </c>
      <c r="N109" s="270">
        <f t="shared" si="14"/>
        <v>0</v>
      </c>
      <c r="O109" s="243"/>
      <c r="P109" s="270"/>
      <c r="Q109" s="270"/>
    </row>
    <row r="110" spans="1:17" x14ac:dyDescent="0.25">
      <c r="A110" s="6"/>
      <c r="B110" s="6"/>
      <c r="C110" s="266"/>
      <c r="D110" s="266"/>
      <c r="E110" s="266"/>
      <c r="F110" s="6"/>
      <c r="G110" s="6"/>
      <c r="H110" s="266"/>
      <c r="I110" s="266"/>
      <c r="J110" s="6"/>
      <c r="K110" s="6">
        <v>2</v>
      </c>
      <c r="L110" s="126">
        <f t="shared" si="13"/>
        <v>0</v>
      </c>
      <c r="M110" s="6">
        <f>SUMIF(Abr!$G$3:$G$107,A110,Abr!$J$3:$J$107)</f>
        <v>0</v>
      </c>
      <c r="N110" s="270">
        <f t="shared" si="14"/>
        <v>0</v>
      </c>
      <c r="O110" s="243"/>
      <c r="P110" s="270"/>
      <c r="Q110" s="270"/>
    </row>
    <row r="111" spans="1:17" x14ac:dyDescent="0.25">
      <c r="L111" s="126">
        <f>SUM(L5:L110)</f>
        <v>238</v>
      </c>
      <c r="M111" s="126">
        <f>SUM(M5:M110)</f>
        <v>244</v>
      </c>
      <c r="P111" s="210">
        <f>SUM(P5:P110)</f>
        <v>244</v>
      </c>
      <c r="Q111" s="210">
        <f t="shared" ref="Q111" si="18">+P111-L111</f>
        <v>6</v>
      </c>
    </row>
    <row r="121" spans="1:11" x14ac:dyDescent="0.25">
      <c r="A121" s="40"/>
      <c r="B121" s="6"/>
      <c r="C121" s="266"/>
      <c r="D121" s="266"/>
      <c r="E121" s="266"/>
      <c r="F121" s="266"/>
      <c r="G121" s="266"/>
      <c r="H121" s="266"/>
      <c r="I121" s="294"/>
      <c r="J121" s="6"/>
      <c r="K121" s="6"/>
    </row>
    <row r="122" spans="1:11" x14ac:dyDescent="0.25">
      <c r="A122" s="40"/>
      <c r="B122" s="6"/>
      <c r="C122" s="266"/>
      <c r="D122" s="266"/>
      <c r="E122" s="266"/>
      <c r="F122" s="266"/>
      <c r="G122" s="266"/>
      <c r="H122" s="266"/>
      <c r="I122" s="294"/>
      <c r="J122" s="6"/>
      <c r="K122" s="6"/>
    </row>
    <row r="123" spans="1:11" x14ac:dyDescent="0.25">
      <c r="A123" s="40"/>
      <c r="B123" s="6"/>
      <c r="C123" s="266"/>
      <c r="D123" s="266"/>
      <c r="E123" s="266"/>
      <c r="F123" s="266"/>
      <c r="G123" s="266"/>
      <c r="H123" s="266"/>
      <c r="I123" s="294"/>
      <c r="J123" s="6"/>
      <c r="K123" s="6"/>
    </row>
  </sheetData>
  <autoFilter ref="A4:K111"/>
  <sortState ref="A5:K67">
    <sortCondition ref="B5:B67"/>
    <sortCondition ref="H5:H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18"/>
  <sheetViews>
    <sheetView topLeftCell="A22" zoomScale="70" zoomScaleNormal="70" workbookViewId="0">
      <selection activeCell="I58" sqref="I58"/>
    </sheetView>
  </sheetViews>
  <sheetFormatPr baseColWidth="10" defaultRowHeight="15" x14ac:dyDescent="0.25"/>
  <cols>
    <col min="1" max="1" width="15.28515625" style="58" customWidth="1"/>
    <col min="2" max="2" width="24.140625" style="58" customWidth="1"/>
    <col min="3" max="3" width="11.7109375" style="58" customWidth="1"/>
    <col min="4" max="4" width="9.28515625" style="58" customWidth="1"/>
    <col min="5" max="5" width="21.28515625" style="58" customWidth="1"/>
    <col min="6" max="6" width="9.85546875" style="58" customWidth="1"/>
    <col min="7" max="7" width="21.28515625" style="58" customWidth="1"/>
    <col min="8" max="8" width="13.28515625" style="58" customWidth="1"/>
    <col min="9" max="9" width="18.85546875" style="163" customWidth="1"/>
    <col min="10" max="10" width="15.28515625" style="163" customWidth="1"/>
    <col min="11" max="11" width="13.28515625" style="58" customWidth="1"/>
    <col min="12" max="12" width="21" style="163" customWidth="1"/>
    <col min="13" max="13" width="14.28515625" style="58" customWidth="1"/>
    <col min="14" max="14" width="14.7109375" style="58" customWidth="1"/>
    <col min="15" max="15" width="7.42578125" style="58" customWidth="1"/>
    <col min="16" max="16" width="9.28515625" style="58" customWidth="1"/>
    <col min="17" max="17" width="12.85546875" style="58" customWidth="1"/>
    <col min="18" max="18" width="14.7109375" style="58" customWidth="1"/>
    <col min="19" max="19" width="13.28515625" style="58" customWidth="1"/>
    <col min="20" max="20" width="7.28515625" style="58" customWidth="1"/>
    <col min="21" max="21" width="10.28515625" style="58" customWidth="1"/>
    <col min="22" max="22" width="11.85546875" style="58" customWidth="1"/>
    <col min="23" max="23" width="18.28515625" style="58" customWidth="1"/>
    <col min="24" max="35" width="7.28515625" style="58" customWidth="1"/>
    <col min="36" max="228" width="9.140625" style="58" customWidth="1"/>
    <col min="229" max="229" width="30.140625" style="58" customWidth="1"/>
    <col min="230" max="230" width="52.140625" style="58" customWidth="1"/>
    <col min="231" max="231" width="47.7109375" style="58" customWidth="1"/>
    <col min="232" max="232" width="13.28515625" style="58" customWidth="1"/>
    <col min="233" max="233" width="9.85546875" style="58" customWidth="1"/>
    <col min="234" max="234" width="17.140625" style="58" customWidth="1"/>
    <col min="235" max="235" width="9.140625" style="58" customWidth="1"/>
    <col min="236" max="236" width="10.85546875" style="58" customWidth="1"/>
    <col min="237" max="237" width="11.28515625" style="58" customWidth="1"/>
    <col min="238" max="238" width="16.28515625" style="58" customWidth="1"/>
    <col min="239" max="239" width="8.28515625" style="58" customWidth="1"/>
    <col min="240" max="240" width="10.28515625" style="58" customWidth="1"/>
    <col min="241" max="241" width="11.28515625" style="58" customWidth="1"/>
    <col min="242" max="242" width="9.7109375" style="58" customWidth="1"/>
    <col min="243" max="484" width="9.140625" style="58" customWidth="1"/>
    <col min="485" max="485" width="30.140625" style="58" customWidth="1"/>
    <col min="486" max="486" width="52.140625" style="58" customWidth="1"/>
    <col min="487" max="487" width="47.7109375" style="58" customWidth="1"/>
    <col min="488" max="488" width="13.28515625" style="58" customWidth="1"/>
    <col min="489" max="489" width="9.85546875" style="58" customWidth="1"/>
    <col min="490" max="490" width="17.140625" style="58" customWidth="1"/>
    <col min="491" max="491" width="9.140625" style="58" customWidth="1"/>
    <col min="492" max="492" width="10.85546875" style="58" customWidth="1"/>
    <col min="493" max="493" width="11.28515625" style="58" customWidth="1"/>
    <col min="494" max="494" width="16.28515625" style="58" customWidth="1"/>
    <col min="495" max="495" width="8.28515625" style="58" customWidth="1"/>
    <col min="496" max="496" width="10.28515625" style="58" customWidth="1"/>
    <col min="497" max="497" width="11.28515625" style="58" customWidth="1"/>
    <col min="498" max="498" width="9.7109375" style="58" customWidth="1"/>
    <col min="499" max="740" width="9.140625" style="58" customWidth="1"/>
    <col min="741" max="741" width="30.140625" style="58" customWidth="1"/>
    <col min="742" max="742" width="52.140625" style="58" customWidth="1"/>
    <col min="743" max="743" width="47.7109375" style="58" customWidth="1"/>
    <col min="744" max="744" width="13.28515625" style="58" customWidth="1"/>
    <col min="745" max="745" width="9.85546875" style="58" customWidth="1"/>
    <col min="746" max="746" width="17.140625" style="58" customWidth="1"/>
    <col min="747" max="747" width="9.140625" style="58" customWidth="1"/>
    <col min="748" max="748" width="10.85546875" style="58" customWidth="1"/>
    <col min="749" max="749" width="11.28515625" style="58" customWidth="1"/>
    <col min="750" max="750" width="16.28515625" style="58" customWidth="1"/>
    <col min="751" max="751" width="8.28515625" style="58" customWidth="1"/>
    <col min="752" max="752" width="10.28515625" style="58" customWidth="1"/>
    <col min="753" max="753" width="11.28515625" style="58" customWidth="1"/>
    <col min="754" max="754" width="9.7109375" style="58" customWidth="1"/>
    <col min="755" max="996" width="9.140625" style="58" customWidth="1"/>
    <col min="997" max="997" width="30.140625" style="58" customWidth="1"/>
    <col min="998" max="998" width="52.140625" style="58" customWidth="1"/>
    <col min="999" max="999" width="47.7109375" style="58" customWidth="1"/>
    <col min="1000" max="1000" width="13.28515625" style="58" customWidth="1"/>
    <col min="1001" max="1001" width="9.85546875" style="58" customWidth="1"/>
    <col min="1002" max="1002" width="17.140625" style="58" customWidth="1"/>
    <col min="1003" max="1003" width="9.140625" style="58" customWidth="1"/>
    <col min="1004" max="1004" width="10.85546875" style="58" customWidth="1"/>
    <col min="1005" max="1005" width="11.28515625" style="58" customWidth="1"/>
    <col min="1006" max="1006" width="16.28515625" style="58" customWidth="1"/>
    <col min="1007" max="1007" width="8.28515625" style="58" customWidth="1"/>
    <col min="1008" max="1008" width="10.28515625" style="58" customWidth="1"/>
    <col min="1009" max="1009" width="11.28515625" style="58" customWidth="1"/>
    <col min="1010" max="1010" width="9.7109375" style="58" customWidth="1"/>
    <col min="1011" max="1252" width="9.140625" style="58" customWidth="1"/>
    <col min="1253" max="1253" width="30.140625" style="58" customWidth="1"/>
    <col min="1254" max="1254" width="52.140625" style="58" customWidth="1"/>
    <col min="1255" max="1255" width="47.7109375" style="58" customWidth="1"/>
    <col min="1256" max="1256" width="13.28515625" style="58" customWidth="1"/>
    <col min="1257" max="1257" width="9.85546875" style="58" customWidth="1"/>
    <col min="1258" max="1258" width="17.140625" style="58" customWidth="1"/>
    <col min="1259" max="1259" width="9.140625" style="58" customWidth="1"/>
    <col min="1260" max="1260" width="10.85546875" style="58" customWidth="1"/>
    <col min="1261" max="1261" width="11.28515625" style="58" customWidth="1"/>
    <col min="1262" max="1262" width="16.28515625" style="58" customWidth="1"/>
    <col min="1263" max="1263" width="8.28515625" style="58" customWidth="1"/>
    <col min="1264" max="1264" width="10.28515625" style="58" customWidth="1"/>
    <col min="1265" max="1265" width="11.28515625" style="58" customWidth="1"/>
    <col min="1266" max="1266" width="9.7109375" style="58" customWidth="1"/>
    <col min="1267" max="1508" width="9.140625" style="58" customWidth="1"/>
    <col min="1509" max="1509" width="30.140625" style="58" customWidth="1"/>
    <col min="1510" max="1510" width="52.140625" style="58" customWidth="1"/>
    <col min="1511" max="1511" width="47.7109375" style="58" customWidth="1"/>
    <col min="1512" max="1512" width="13.28515625" style="58" customWidth="1"/>
    <col min="1513" max="1513" width="9.85546875" style="58" customWidth="1"/>
    <col min="1514" max="1514" width="17.140625" style="58" customWidth="1"/>
    <col min="1515" max="1515" width="9.140625" style="58" customWidth="1"/>
    <col min="1516" max="1516" width="10.85546875" style="58" customWidth="1"/>
    <col min="1517" max="1517" width="11.28515625" style="58" customWidth="1"/>
    <col min="1518" max="1518" width="16.28515625" style="58" customWidth="1"/>
    <col min="1519" max="1519" width="8.28515625" style="58" customWidth="1"/>
    <col min="1520" max="1520" width="10.28515625" style="58" customWidth="1"/>
    <col min="1521" max="1521" width="11.28515625" style="58" customWidth="1"/>
    <col min="1522" max="1522" width="9.7109375" style="58" customWidth="1"/>
    <col min="1523" max="1764" width="9.140625" style="58" customWidth="1"/>
    <col min="1765" max="1765" width="30.140625" style="58" customWidth="1"/>
    <col min="1766" max="1766" width="52.140625" style="58" customWidth="1"/>
    <col min="1767" max="1767" width="47.7109375" style="58" customWidth="1"/>
    <col min="1768" max="1768" width="13.28515625" style="58" customWidth="1"/>
    <col min="1769" max="1769" width="9.85546875" style="58" customWidth="1"/>
    <col min="1770" max="1770" width="17.140625" style="58" customWidth="1"/>
    <col min="1771" max="1771" width="9.140625" style="58" customWidth="1"/>
    <col min="1772" max="1772" width="10.85546875" style="58" customWidth="1"/>
    <col min="1773" max="1773" width="11.28515625" style="58" customWidth="1"/>
    <col min="1774" max="1774" width="16.28515625" style="58" customWidth="1"/>
    <col min="1775" max="1775" width="8.28515625" style="58" customWidth="1"/>
    <col min="1776" max="1776" width="10.28515625" style="58" customWidth="1"/>
    <col min="1777" max="1777" width="11.28515625" style="58" customWidth="1"/>
    <col min="1778" max="1778" width="9.7109375" style="58" customWidth="1"/>
    <col min="1779" max="2020" width="9.140625" style="58" customWidth="1"/>
    <col min="2021" max="2021" width="30.140625" style="58" customWidth="1"/>
    <col min="2022" max="2022" width="52.140625" style="58" customWidth="1"/>
    <col min="2023" max="2023" width="47.7109375" style="58" customWidth="1"/>
    <col min="2024" max="2024" width="13.28515625" style="58" customWidth="1"/>
    <col min="2025" max="2025" width="9.85546875" style="58" customWidth="1"/>
    <col min="2026" max="2026" width="17.140625" style="58" customWidth="1"/>
    <col min="2027" max="2027" width="9.140625" style="58" customWidth="1"/>
    <col min="2028" max="2028" width="10.85546875" style="58" customWidth="1"/>
    <col min="2029" max="2029" width="11.28515625" style="58" customWidth="1"/>
    <col min="2030" max="2030" width="16.28515625" style="58" customWidth="1"/>
    <col min="2031" max="2031" width="8.28515625" style="58" customWidth="1"/>
    <col min="2032" max="2032" width="10.28515625" style="58" customWidth="1"/>
    <col min="2033" max="2033" width="11.28515625" style="58" customWidth="1"/>
    <col min="2034" max="2034" width="9.7109375" style="58" customWidth="1"/>
    <col min="2035" max="2276" width="9.140625" style="58" customWidth="1"/>
    <col min="2277" max="2277" width="30.140625" style="58" customWidth="1"/>
    <col min="2278" max="2278" width="52.140625" style="58" customWidth="1"/>
    <col min="2279" max="2279" width="47.7109375" style="58" customWidth="1"/>
    <col min="2280" max="2280" width="13.28515625" style="58" customWidth="1"/>
    <col min="2281" max="2281" width="9.85546875" style="58" customWidth="1"/>
    <col min="2282" max="2282" width="17.140625" style="58" customWidth="1"/>
    <col min="2283" max="2283" width="9.140625" style="58" customWidth="1"/>
    <col min="2284" max="2284" width="10.85546875" style="58" customWidth="1"/>
    <col min="2285" max="2285" width="11.28515625" style="58" customWidth="1"/>
    <col min="2286" max="2286" width="16.28515625" style="58" customWidth="1"/>
    <col min="2287" max="2287" width="8.28515625" style="58" customWidth="1"/>
    <col min="2288" max="2288" width="10.28515625" style="58" customWidth="1"/>
    <col min="2289" max="2289" width="11.28515625" style="58" customWidth="1"/>
    <col min="2290" max="2290" width="9.7109375" style="58" customWidth="1"/>
    <col min="2291" max="2532" width="9.140625" style="58" customWidth="1"/>
    <col min="2533" max="2533" width="30.140625" style="58" customWidth="1"/>
    <col min="2534" max="2534" width="52.140625" style="58" customWidth="1"/>
    <col min="2535" max="2535" width="47.7109375" style="58" customWidth="1"/>
    <col min="2536" max="2536" width="13.28515625" style="58" customWidth="1"/>
    <col min="2537" max="2537" width="9.85546875" style="58" customWidth="1"/>
    <col min="2538" max="2538" width="17.140625" style="58" customWidth="1"/>
    <col min="2539" max="2539" width="9.140625" style="58" customWidth="1"/>
    <col min="2540" max="2540" width="10.85546875" style="58" customWidth="1"/>
    <col min="2541" max="2541" width="11.28515625" style="58" customWidth="1"/>
    <col min="2542" max="2542" width="16.28515625" style="58" customWidth="1"/>
    <col min="2543" max="2543" width="8.28515625" style="58" customWidth="1"/>
    <col min="2544" max="2544" width="10.28515625" style="58" customWidth="1"/>
    <col min="2545" max="2545" width="11.28515625" style="58" customWidth="1"/>
    <col min="2546" max="2546" width="9.7109375" style="58" customWidth="1"/>
    <col min="2547" max="2788" width="9.140625" style="58" customWidth="1"/>
    <col min="2789" max="2789" width="30.140625" style="58" customWidth="1"/>
    <col min="2790" max="2790" width="52.140625" style="58" customWidth="1"/>
    <col min="2791" max="2791" width="47.7109375" style="58" customWidth="1"/>
    <col min="2792" max="2792" width="13.28515625" style="58" customWidth="1"/>
    <col min="2793" max="2793" width="9.85546875" style="58" customWidth="1"/>
    <col min="2794" max="2794" width="17.140625" style="58" customWidth="1"/>
    <col min="2795" max="2795" width="9.140625" style="58" customWidth="1"/>
    <col min="2796" max="2796" width="10.85546875" style="58" customWidth="1"/>
    <col min="2797" max="2797" width="11.28515625" style="58" customWidth="1"/>
    <col min="2798" max="2798" width="16.28515625" style="58" customWidth="1"/>
    <col min="2799" max="2799" width="8.28515625" style="58" customWidth="1"/>
    <col min="2800" max="2800" width="10.28515625" style="58" customWidth="1"/>
    <col min="2801" max="2801" width="11.28515625" style="58" customWidth="1"/>
    <col min="2802" max="2802" width="9.7109375" style="58" customWidth="1"/>
    <col min="2803" max="3044" width="9.140625" style="58" customWidth="1"/>
    <col min="3045" max="3045" width="30.140625" style="58" customWidth="1"/>
    <col min="3046" max="3046" width="52.140625" style="58" customWidth="1"/>
    <col min="3047" max="3047" width="47.7109375" style="58" customWidth="1"/>
    <col min="3048" max="3048" width="13.28515625" style="58" customWidth="1"/>
    <col min="3049" max="3049" width="9.85546875" style="58" customWidth="1"/>
    <col min="3050" max="3050" width="17.140625" style="58" customWidth="1"/>
    <col min="3051" max="3051" width="9.140625" style="58" customWidth="1"/>
    <col min="3052" max="3052" width="10.85546875" style="58" customWidth="1"/>
    <col min="3053" max="3053" width="11.28515625" style="58" customWidth="1"/>
    <col min="3054" max="3054" width="16.28515625" style="58" customWidth="1"/>
    <col min="3055" max="3055" width="8.28515625" style="58" customWidth="1"/>
    <col min="3056" max="3056" width="10.28515625" style="58" customWidth="1"/>
    <col min="3057" max="3057" width="11.28515625" style="58" customWidth="1"/>
    <col min="3058" max="3058" width="9.7109375" style="58" customWidth="1"/>
    <col min="3059" max="3300" width="9.140625" style="58" customWidth="1"/>
    <col min="3301" max="3301" width="30.140625" style="58" customWidth="1"/>
    <col min="3302" max="3302" width="52.140625" style="58" customWidth="1"/>
    <col min="3303" max="3303" width="47.7109375" style="58" customWidth="1"/>
    <col min="3304" max="3304" width="13.28515625" style="58" customWidth="1"/>
    <col min="3305" max="3305" width="9.85546875" style="58" customWidth="1"/>
    <col min="3306" max="3306" width="17.140625" style="58" customWidth="1"/>
    <col min="3307" max="3307" width="9.140625" style="58" customWidth="1"/>
    <col min="3308" max="3308" width="10.85546875" style="58" customWidth="1"/>
    <col min="3309" max="3309" width="11.28515625" style="58" customWidth="1"/>
    <col min="3310" max="3310" width="16.28515625" style="58" customWidth="1"/>
    <col min="3311" max="3311" width="8.28515625" style="58" customWidth="1"/>
    <col min="3312" max="3312" width="10.28515625" style="58" customWidth="1"/>
    <col min="3313" max="3313" width="11.28515625" style="58" customWidth="1"/>
    <col min="3314" max="3314" width="9.7109375" style="58" customWidth="1"/>
    <col min="3315" max="3556" width="9.140625" style="58" customWidth="1"/>
    <col min="3557" max="3557" width="30.140625" style="58" customWidth="1"/>
    <col min="3558" max="3558" width="52.140625" style="58" customWidth="1"/>
    <col min="3559" max="3559" width="47.7109375" style="58" customWidth="1"/>
    <col min="3560" max="3560" width="13.28515625" style="58" customWidth="1"/>
    <col min="3561" max="3561" width="9.85546875" style="58" customWidth="1"/>
    <col min="3562" max="3562" width="17.140625" style="58" customWidth="1"/>
    <col min="3563" max="3563" width="9.140625" style="58" customWidth="1"/>
    <col min="3564" max="3564" width="10.85546875" style="58" customWidth="1"/>
    <col min="3565" max="3565" width="11.28515625" style="58" customWidth="1"/>
    <col min="3566" max="3566" width="16.28515625" style="58" customWidth="1"/>
    <col min="3567" max="3567" width="8.28515625" style="58" customWidth="1"/>
    <col min="3568" max="3568" width="10.28515625" style="58" customWidth="1"/>
    <col min="3569" max="3569" width="11.28515625" style="58" customWidth="1"/>
    <col min="3570" max="3570" width="9.7109375" style="58" customWidth="1"/>
    <col min="3571" max="3812" width="9.140625" style="58" customWidth="1"/>
    <col min="3813" max="3813" width="30.140625" style="58" customWidth="1"/>
    <col min="3814" max="3814" width="52.140625" style="58" customWidth="1"/>
    <col min="3815" max="3815" width="47.7109375" style="58" customWidth="1"/>
    <col min="3816" max="3816" width="13.28515625" style="58" customWidth="1"/>
    <col min="3817" max="3817" width="9.85546875" style="58" customWidth="1"/>
    <col min="3818" max="3818" width="17.140625" style="58" customWidth="1"/>
    <col min="3819" max="3819" width="9.140625" style="58" customWidth="1"/>
    <col min="3820" max="3820" width="10.85546875" style="58" customWidth="1"/>
    <col min="3821" max="3821" width="11.28515625" style="58" customWidth="1"/>
    <col min="3822" max="3822" width="16.28515625" style="58" customWidth="1"/>
    <col min="3823" max="3823" width="8.28515625" style="58" customWidth="1"/>
    <col min="3824" max="3824" width="10.28515625" style="58" customWidth="1"/>
    <col min="3825" max="3825" width="11.28515625" style="58" customWidth="1"/>
    <col min="3826" max="3826" width="9.7109375" style="58" customWidth="1"/>
    <col min="3827" max="4068" width="9.140625" style="58" customWidth="1"/>
    <col min="4069" max="4069" width="30.140625" style="58" customWidth="1"/>
    <col min="4070" max="4070" width="52.140625" style="58" customWidth="1"/>
    <col min="4071" max="4071" width="47.7109375" style="58" customWidth="1"/>
    <col min="4072" max="4072" width="13.28515625" style="58" customWidth="1"/>
    <col min="4073" max="4073" width="9.85546875" style="58" customWidth="1"/>
    <col min="4074" max="4074" width="17.140625" style="58" customWidth="1"/>
    <col min="4075" max="4075" width="9.140625" style="58" customWidth="1"/>
    <col min="4076" max="4076" width="10.85546875" style="58" customWidth="1"/>
    <col min="4077" max="4077" width="11.28515625" style="58" customWidth="1"/>
    <col min="4078" max="4078" width="16.28515625" style="58" customWidth="1"/>
    <col min="4079" max="4079" width="8.28515625" style="58" customWidth="1"/>
    <col min="4080" max="4080" width="10.28515625" style="58" customWidth="1"/>
    <col min="4081" max="4081" width="11.28515625" style="58" customWidth="1"/>
    <col min="4082" max="4082" width="9.7109375" style="58" customWidth="1"/>
    <col min="4083" max="4324" width="9.140625" style="58" customWidth="1"/>
    <col min="4325" max="4325" width="30.140625" style="58" customWidth="1"/>
    <col min="4326" max="4326" width="52.140625" style="58" customWidth="1"/>
    <col min="4327" max="4327" width="47.7109375" style="58" customWidth="1"/>
    <col min="4328" max="4328" width="13.28515625" style="58" customWidth="1"/>
    <col min="4329" max="4329" width="9.85546875" style="58" customWidth="1"/>
    <col min="4330" max="4330" width="17.140625" style="58" customWidth="1"/>
    <col min="4331" max="4331" width="9.140625" style="58" customWidth="1"/>
    <col min="4332" max="4332" width="10.85546875" style="58" customWidth="1"/>
    <col min="4333" max="4333" width="11.28515625" style="58" customWidth="1"/>
    <col min="4334" max="4334" width="16.28515625" style="58" customWidth="1"/>
    <col min="4335" max="4335" width="8.28515625" style="58" customWidth="1"/>
    <col min="4336" max="4336" width="10.28515625" style="58" customWidth="1"/>
    <col min="4337" max="4337" width="11.28515625" style="58" customWidth="1"/>
    <col min="4338" max="4338" width="9.7109375" style="58" customWidth="1"/>
    <col min="4339" max="4580" width="9.140625" style="58" customWidth="1"/>
    <col min="4581" max="4581" width="30.140625" style="58" customWidth="1"/>
    <col min="4582" max="4582" width="52.140625" style="58" customWidth="1"/>
    <col min="4583" max="4583" width="47.7109375" style="58" customWidth="1"/>
    <col min="4584" max="4584" width="13.28515625" style="58" customWidth="1"/>
    <col min="4585" max="4585" width="9.85546875" style="58" customWidth="1"/>
    <col min="4586" max="4586" width="17.140625" style="58" customWidth="1"/>
    <col min="4587" max="4587" width="9.140625" style="58" customWidth="1"/>
    <col min="4588" max="4588" width="10.85546875" style="58" customWidth="1"/>
    <col min="4589" max="4589" width="11.28515625" style="58" customWidth="1"/>
    <col min="4590" max="4590" width="16.28515625" style="58" customWidth="1"/>
    <col min="4591" max="4591" width="8.28515625" style="58" customWidth="1"/>
    <col min="4592" max="4592" width="10.28515625" style="58" customWidth="1"/>
    <col min="4593" max="4593" width="11.28515625" style="58" customWidth="1"/>
    <col min="4594" max="4594" width="9.7109375" style="58" customWidth="1"/>
    <col min="4595" max="4836" width="9.140625" style="58" customWidth="1"/>
    <col min="4837" max="4837" width="30.140625" style="58" customWidth="1"/>
    <col min="4838" max="4838" width="52.140625" style="58" customWidth="1"/>
    <col min="4839" max="4839" width="47.7109375" style="58" customWidth="1"/>
    <col min="4840" max="4840" width="13.28515625" style="58" customWidth="1"/>
    <col min="4841" max="4841" width="9.85546875" style="58" customWidth="1"/>
    <col min="4842" max="4842" width="17.140625" style="58" customWidth="1"/>
    <col min="4843" max="4843" width="9.140625" style="58" customWidth="1"/>
    <col min="4844" max="4844" width="10.85546875" style="58" customWidth="1"/>
    <col min="4845" max="4845" width="11.28515625" style="58" customWidth="1"/>
    <col min="4846" max="4846" width="16.28515625" style="58" customWidth="1"/>
    <col min="4847" max="4847" width="8.28515625" style="58" customWidth="1"/>
    <col min="4848" max="4848" width="10.28515625" style="58" customWidth="1"/>
    <col min="4849" max="4849" width="11.28515625" style="58" customWidth="1"/>
    <col min="4850" max="4850" width="9.7109375" style="58" customWidth="1"/>
    <col min="4851" max="5092" width="9.140625" style="58" customWidth="1"/>
    <col min="5093" max="5093" width="30.140625" style="58" customWidth="1"/>
    <col min="5094" max="5094" width="52.140625" style="58" customWidth="1"/>
    <col min="5095" max="5095" width="47.7109375" style="58" customWidth="1"/>
    <col min="5096" max="5096" width="13.28515625" style="58" customWidth="1"/>
    <col min="5097" max="5097" width="9.85546875" style="58" customWidth="1"/>
    <col min="5098" max="5098" width="17.140625" style="58" customWidth="1"/>
    <col min="5099" max="5099" width="9.140625" style="58" customWidth="1"/>
    <col min="5100" max="5100" width="10.85546875" style="58" customWidth="1"/>
    <col min="5101" max="5101" width="11.28515625" style="58" customWidth="1"/>
    <col min="5102" max="5102" width="16.28515625" style="58" customWidth="1"/>
    <col min="5103" max="5103" width="8.28515625" style="58" customWidth="1"/>
    <col min="5104" max="5104" width="10.28515625" style="58" customWidth="1"/>
    <col min="5105" max="5105" width="11.28515625" style="58" customWidth="1"/>
    <col min="5106" max="5106" width="9.7109375" style="58" customWidth="1"/>
    <col min="5107" max="5348" width="9.140625" style="58" customWidth="1"/>
    <col min="5349" max="5349" width="30.140625" style="58" customWidth="1"/>
    <col min="5350" max="5350" width="52.140625" style="58" customWidth="1"/>
    <col min="5351" max="5351" width="47.7109375" style="58" customWidth="1"/>
    <col min="5352" max="5352" width="13.28515625" style="58" customWidth="1"/>
    <col min="5353" max="5353" width="9.85546875" style="58" customWidth="1"/>
    <col min="5354" max="5354" width="17.140625" style="58" customWidth="1"/>
    <col min="5355" max="5355" width="9.140625" style="58" customWidth="1"/>
    <col min="5356" max="5356" width="10.85546875" style="58" customWidth="1"/>
    <col min="5357" max="5357" width="11.28515625" style="58" customWidth="1"/>
    <col min="5358" max="5358" width="16.28515625" style="58" customWidth="1"/>
    <col min="5359" max="5359" width="8.28515625" style="58" customWidth="1"/>
    <col min="5360" max="5360" width="10.28515625" style="58" customWidth="1"/>
    <col min="5361" max="5361" width="11.28515625" style="58" customWidth="1"/>
    <col min="5362" max="5362" width="9.7109375" style="58" customWidth="1"/>
    <col min="5363" max="5604" width="9.140625" style="58" customWidth="1"/>
    <col min="5605" max="5605" width="30.140625" style="58" customWidth="1"/>
    <col min="5606" max="5606" width="52.140625" style="58" customWidth="1"/>
    <col min="5607" max="5607" width="47.7109375" style="58" customWidth="1"/>
    <col min="5608" max="5608" width="13.28515625" style="58" customWidth="1"/>
    <col min="5609" max="5609" width="9.85546875" style="58" customWidth="1"/>
    <col min="5610" max="5610" width="17.140625" style="58" customWidth="1"/>
    <col min="5611" max="5611" width="9.140625" style="58" customWidth="1"/>
    <col min="5612" max="5612" width="10.85546875" style="58" customWidth="1"/>
    <col min="5613" max="5613" width="11.28515625" style="58" customWidth="1"/>
    <col min="5614" max="5614" width="16.28515625" style="58" customWidth="1"/>
    <col min="5615" max="5615" width="8.28515625" style="58" customWidth="1"/>
    <col min="5616" max="5616" width="10.28515625" style="58" customWidth="1"/>
    <col min="5617" max="5617" width="11.28515625" style="58" customWidth="1"/>
    <col min="5618" max="5618" width="9.7109375" style="58" customWidth="1"/>
    <col min="5619" max="5860" width="9.140625" style="58" customWidth="1"/>
    <col min="5861" max="5861" width="30.140625" style="58" customWidth="1"/>
    <col min="5862" max="5862" width="52.140625" style="58" customWidth="1"/>
    <col min="5863" max="5863" width="47.7109375" style="58" customWidth="1"/>
    <col min="5864" max="5864" width="13.28515625" style="58" customWidth="1"/>
    <col min="5865" max="5865" width="9.85546875" style="58" customWidth="1"/>
    <col min="5866" max="5866" width="17.140625" style="58" customWidth="1"/>
    <col min="5867" max="5867" width="9.140625" style="58" customWidth="1"/>
    <col min="5868" max="5868" width="10.85546875" style="58" customWidth="1"/>
    <col min="5869" max="5869" width="11.28515625" style="58" customWidth="1"/>
    <col min="5870" max="5870" width="16.28515625" style="58" customWidth="1"/>
    <col min="5871" max="5871" width="8.28515625" style="58" customWidth="1"/>
    <col min="5872" max="5872" width="10.28515625" style="58" customWidth="1"/>
    <col min="5873" max="5873" width="11.28515625" style="58" customWidth="1"/>
    <col min="5874" max="5874" width="9.7109375" style="58" customWidth="1"/>
    <col min="5875" max="6116" width="9.140625" style="58" customWidth="1"/>
    <col min="6117" max="6117" width="30.140625" style="58" customWidth="1"/>
    <col min="6118" max="6118" width="52.140625" style="58" customWidth="1"/>
    <col min="6119" max="6119" width="47.7109375" style="58" customWidth="1"/>
    <col min="6120" max="6120" width="13.28515625" style="58" customWidth="1"/>
    <col min="6121" max="6121" width="9.85546875" style="58" customWidth="1"/>
    <col min="6122" max="6122" width="17.140625" style="58" customWidth="1"/>
    <col min="6123" max="6123" width="9.140625" style="58" customWidth="1"/>
    <col min="6124" max="6124" width="10.85546875" style="58" customWidth="1"/>
    <col min="6125" max="6125" width="11.28515625" style="58" customWidth="1"/>
    <col min="6126" max="6126" width="16.28515625" style="58" customWidth="1"/>
    <col min="6127" max="6127" width="8.28515625" style="58" customWidth="1"/>
    <col min="6128" max="6128" width="10.28515625" style="58" customWidth="1"/>
    <col min="6129" max="6129" width="11.28515625" style="58" customWidth="1"/>
    <col min="6130" max="6130" width="9.7109375" style="58" customWidth="1"/>
    <col min="6131" max="6372" width="9.140625" style="58" customWidth="1"/>
    <col min="6373" max="6373" width="30.140625" style="58" customWidth="1"/>
    <col min="6374" max="6374" width="52.140625" style="58" customWidth="1"/>
    <col min="6375" max="6375" width="47.7109375" style="58" customWidth="1"/>
    <col min="6376" max="6376" width="13.28515625" style="58" customWidth="1"/>
    <col min="6377" max="6377" width="9.85546875" style="58" customWidth="1"/>
    <col min="6378" max="6378" width="17.140625" style="58" customWidth="1"/>
    <col min="6379" max="6379" width="9.140625" style="58" customWidth="1"/>
    <col min="6380" max="6380" width="10.85546875" style="58" customWidth="1"/>
    <col min="6381" max="6381" width="11.28515625" style="58" customWidth="1"/>
    <col min="6382" max="6382" width="16.28515625" style="58" customWidth="1"/>
    <col min="6383" max="6383" width="8.28515625" style="58" customWidth="1"/>
    <col min="6384" max="6384" width="10.28515625" style="58" customWidth="1"/>
    <col min="6385" max="6385" width="11.28515625" style="58" customWidth="1"/>
    <col min="6386" max="6386" width="9.7109375" style="58" customWidth="1"/>
    <col min="6387" max="6628" width="9.140625" style="58" customWidth="1"/>
    <col min="6629" max="6629" width="30.140625" style="58" customWidth="1"/>
    <col min="6630" max="6630" width="52.140625" style="58" customWidth="1"/>
    <col min="6631" max="6631" width="47.7109375" style="58" customWidth="1"/>
    <col min="6632" max="6632" width="13.28515625" style="58" customWidth="1"/>
    <col min="6633" max="6633" width="9.85546875" style="58" customWidth="1"/>
    <col min="6634" max="6634" width="17.140625" style="58" customWidth="1"/>
    <col min="6635" max="6635" width="9.140625" style="58" customWidth="1"/>
    <col min="6636" max="6636" width="10.85546875" style="58" customWidth="1"/>
    <col min="6637" max="6637" width="11.28515625" style="58" customWidth="1"/>
    <col min="6638" max="6638" width="16.28515625" style="58" customWidth="1"/>
    <col min="6639" max="6639" width="8.28515625" style="58" customWidth="1"/>
    <col min="6640" max="6640" width="10.28515625" style="58" customWidth="1"/>
    <col min="6641" max="6641" width="11.28515625" style="58" customWidth="1"/>
    <col min="6642" max="6642" width="9.7109375" style="58" customWidth="1"/>
    <col min="6643" max="6884" width="9.140625" style="58" customWidth="1"/>
    <col min="6885" max="6885" width="30.140625" style="58" customWidth="1"/>
    <col min="6886" max="6886" width="52.140625" style="58" customWidth="1"/>
    <col min="6887" max="6887" width="47.7109375" style="58" customWidth="1"/>
    <col min="6888" max="6888" width="13.28515625" style="58" customWidth="1"/>
    <col min="6889" max="6889" width="9.85546875" style="58" customWidth="1"/>
    <col min="6890" max="6890" width="17.140625" style="58" customWidth="1"/>
    <col min="6891" max="6891" width="9.140625" style="58" customWidth="1"/>
    <col min="6892" max="6892" width="10.85546875" style="58" customWidth="1"/>
    <col min="6893" max="6893" width="11.28515625" style="58" customWidth="1"/>
    <col min="6894" max="6894" width="16.28515625" style="58" customWidth="1"/>
    <col min="6895" max="6895" width="8.28515625" style="58" customWidth="1"/>
    <col min="6896" max="6896" width="10.28515625" style="58" customWidth="1"/>
    <col min="6897" max="6897" width="11.28515625" style="58" customWidth="1"/>
    <col min="6898" max="6898" width="9.7109375" style="58" customWidth="1"/>
    <col min="6899" max="7140" width="9.140625" style="58" customWidth="1"/>
    <col min="7141" max="7141" width="30.140625" style="58" customWidth="1"/>
    <col min="7142" max="7142" width="52.140625" style="58" customWidth="1"/>
    <col min="7143" max="7143" width="47.7109375" style="58" customWidth="1"/>
    <col min="7144" max="7144" width="13.28515625" style="58" customWidth="1"/>
    <col min="7145" max="7145" width="9.85546875" style="58" customWidth="1"/>
    <col min="7146" max="7146" width="17.140625" style="58" customWidth="1"/>
    <col min="7147" max="7147" width="9.140625" style="58" customWidth="1"/>
    <col min="7148" max="7148" width="10.85546875" style="58" customWidth="1"/>
    <col min="7149" max="7149" width="11.28515625" style="58" customWidth="1"/>
    <col min="7150" max="7150" width="16.28515625" style="58" customWidth="1"/>
    <col min="7151" max="7151" width="8.28515625" style="58" customWidth="1"/>
    <col min="7152" max="7152" width="10.28515625" style="58" customWidth="1"/>
    <col min="7153" max="7153" width="11.28515625" style="58" customWidth="1"/>
    <col min="7154" max="7154" width="9.7109375" style="58" customWidth="1"/>
    <col min="7155" max="7396" width="9.140625" style="58" customWidth="1"/>
    <col min="7397" max="7397" width="30.140625" style="58" customWidth="1"/>
    <col min="7398" max="7398" width="52.140625" style="58" customWidth="1"/>
    <col min="7399" max="7399" width="47.7109375" style="58" customWidth="1"/>
    <col min="7400" max="7400" width="13.28515625" style="58" customWidth="1"/>
    <col min="7401" max="7401" width="9.85546875" style="58" customWidth="1"/>
    <col min="7402" max="7402" width="17.140625" style="58" customWidth="1"/>
    <col min="7403" max="7403" width="9.140625" style="58" customWidth="1"/>
    <col min="7404" max="7404" width="10.85546875" style="58" customWidth="1"/>
    <col min="7405" max="7405" width="11.28515625" style="58" customWidth="1"/>
    <col min="7406" max="7406" width="16.28515625" style="58" customWidth="1"/>
    <col min="7407" max="7407" width="8.28515625" style="58" customWidth="1"/>
    <col min="7408" max="7408" width="10.28515625" style="58" customWidth="1"/>
    <col min="7409" max="7409" width="11.28515625" style="58" customWidth="1"/>
    <col min="7410" max="7410" width="9.7109375" style="58" customWidth="1"/>
    <col min="7411" max="7652" width="9.140625" style="58" customWidth="1"/>
    <col min="7653" max="7653" width="30.140625" style="58" customWidth="1"/>
    <col min="7654" max="7654" width="52.140625" style="58" customWidth="1"/>
    <col min="7655" max="7655" width="47.7109375" style="58" customWidth="1"/>
    <col min="7656" max="7656" width="13.28515625" style="58" customWidth="1"/>
    <col min="7657" max="7657" width="9.85546875" style="58" customWidth="1"/>
    <col min="7658" max="7658" width="17.140625" style="58" customWidth="1"/>
    <col min="7659" max="7659" width="9.140625" style="58" customWidth="1"/>
    <col min="7660" max="7660" width="10.85546875" style="58" customWidth="1"/>
    <col min="7661" max="7661" width="11.28515625" style="58" customWidth="1"/>
    <col min="7662" max="7662" width="16.28515625" style="58" customWidth="1"/>
    <col min="7663" max="7663" width="8.28515625" style="58" customWidth="1"/>
    <col min="7664" max="7664" width="10.28515625" style="58" customWidth="1"/>
    <col min="7665" max="7665" width="11.28515625" style="58" customWidth="1"/>
    <col min="7666" max="7666" width="9.7109375" style="58" customWidth="1"/>
    <col min="7667" max="7908" width="9.140625" style="58" customWidth="1"/>
    <col min="7909" max="7909" width="30.140625" style="58" customWidth="1"/>
    <col min="7910" max="7910" width="52.140625" style="58" customWidth="1"/>
    <col min="7911" max="7911" width="47.7109375" style="58" customWidth="1"/>
    <col min="7912" max="7912" width="13.28515625" style="58" customWidth="1"/>
    <col min="7913" max="7913" width="9.85546875" style="58" customWidth="1"/>
    <col min="7914" max="7914" width="17.140625" style="58" customWidth="1"/>
    <col min="7915" max="7915" width="9.140625" style="58" customWidth="1"/>
    <col min="7916" max="7916" width="10.85546875" style="58" customWidth="1"/>
    <col min="7917" max="7917" width="11.28515625" style="58" customWidth="1"/>
    <col min="7918" max="7918" width="16.28515625" style="58" customWidth="1"/>
    <col min="7919" max="7919" width="8.28515625" style="58" customWidth="1"/>
    <col min="7920" max="7920" width="10.28515625" style="58" customWidth="1"/>
    <col min="7921" max="7921" width="11.28515625" style="58" customWidth="1"/>
    <col min="7922" max="7922" width="9.7109375" style="58" customWidth="1"/>
    <col min="7923" max="8164" width="9.140625" style="58" customWidth="1"/>
    <col min="8165" max="8165" width="30.140625" style="58" customWidth="1"/>
    <col min="8166" max="8166" width="52.140625" style="58" customWidth="1"/>
    <col min="8167" max="8167" width="47.7109375" style="58" customWidth="1"/>
    <col min="8168" max="8168" width="13.28515625" style="58" customWidth="1"/>
    <col min="8169" max="8169" width="9.85546875" style="58" customWidth="1"/>
    <col min="8170" max="8170" width="17.140625" style="58" customWidth="1"/>
    <col min="8171" max="8171" width="9.140625" style="58" customWidth="1"/>
    <col min="8172" max="8172" width="10.85546875" style="58" customWidth="1"/>
    <col min="8173" max="8173" width="11.28515625" style="58" customWidth="1"/>
    <col min="8174" max="8174" width="16.28515625" style="58" customWidth="1"/>
    <col min="8175" max="8175" width="8.28515625" style="58" customWidth="1"/>
    <col min="8176" max="8176" width="10.28515625" style="58" customWidth="1"/>
    <col min="8177" max="8177" width="11.28515625" style="58" customWidth="1"/>
    <col min="8178" max="8178" width="9.7109375" style="58" customWidth="1"/>
    <col min="8179" max="8420" width="9.140625" style="58" customWidth="1"/>
    <col min="8421" max="8421" width="30.140625" style="58" customWidth="1"/>
    <col min="8422" max="8422" width="52.140625" style="58" customWidth="1"/>
    <col min="8423" max="8423" width="47.7109375" style="58" customWidth="1"/>
    <col min="8424" max="8424" width="13.28515625" style="58" customWidth="1"/>
    <col min="8425" max="8425" width="9.85546875" style="58" customWidth="1"/>
    <col min="8426" max="8426" width="17.140625" style="58" customWidth="1"/>
    <col min="8427" max="8427" width="9.140625" style="58" customWidth="1"/>
    <col min="8428" max="8428" width="10.85546875" style="58" customWidth="1"/>
    <col min="8429" max="8429" width="11.28515625" style="58" customWidth="1"/>
    <col min="8430" max="8430" width="16.28515625" style="58" customWidth="1"/>
    <col min="8431" max="8431" width="8.28515625" style="58" customWidth="1"/>
    <col min="8432" max="8432" width="10.28515625" style="58" customWidth="1"/>
    <col min="8433" max="8433" width="11.28515625" style="58" customWidth="1"/>
    <col min="8434" max="8434" width="9.7109375" style="58" customWidth="1"/>
    <col min="8435" max="8676" width="9.140625" style="58" customWidth="1"/>
    <col min="8677" max="8677" width="30.140625" style="58" customWidth="1"/>
    <col min="8678" max="8678" width="52.140625" style="58" customWidth="1"/>
    <col min="8679" max="8679" width="47.7109375" style="58" customWidth="1"/>
    <col min="8680" max="8680" width="13.28515625" style="58" customWidth="1"/>
    <col min="8681" max="8681" width="9.85546875" style="58" customWidth="1"/>
    <col min="8682" max="8682" width="17.140625" style="58" customWidth="1"/>
    <col min="8683" max="8683" width="9.140625" style="58" customWidth="1"/>
    <col min="8684" max="8684" width="10.85546875" style="58" customWidth="1"/>
    <col min="8685" max="8685" width="11.28515625" style="58" customWidth="1"/>
    <col min="8686" max="8686" width="16.28515625" style="58" customWidth="1"/>
    <col min="8687" max="8687" width="8.28515625" style="58" customWidth="1"/>
    <col min="8688" max="8688" width="10.28515625" style="58" customWidth="1"/>
    <col min="8689" max="8689" width="11.28515625" style="58" customWidth="1"/>
    <col min="8690" max="8690" width="9.7109375" style="58" customWidth="1"/>
    <col min="8691" max="8932" width="9.140625" style="58" customWidth="1"/>
    <col min="8933" max="8933" width="30.140625" style="58" customWidth="1"/>
    <col min="8934" max="8934" width="52.140625" style="58" customWidth="1"/>
    <col min="8935" max="8935" width="47.7109375" style="58" customWidth="1"/>
    <col min="8936" max="8936" width="13.28515625" style="58" customWidth="1"/>
    <col min="8937" max="8937" width="9.85546875" style="58" customWidth="1"/>
    <col min="8938" max="8938" width="17.140625" style="58" customWidth="1"/>
    <col min="8939" max="8939" width="9.140625" style="58" customWidth="1"/>
    <col min="8940" max="8940" width="10.85546875" style="58" customWidth="1"/>
    <col min="8941" max="8941" width="11.28515625" style="58" customWidth="1"/>
    <col min="8942" max="8942" width="16.28515625" style="58" customWidth="1"/>
    <col min="8943" max="8943" width="8.28515625" style="58" customWidth="1"/>
    <col min="8944" max="8944" width="10.28515625" style="58" customWidth="1"/>
    <col min="8945" max="8945" width="11.28515625" style="58" customWidth="1"/>
    <col min="8946" max="8946" width="9.7109375" style="58" customWidth="1"/>
    <col min="8947" max="9188" width="9.140625" style="58" customWidth="1"/>
    <col min="9189" max="9189" width="30.140625" style="58" customWidth="1"/>
    <col min="9190" max="9190" width="52.140625" style="58" customWidth="1"/>
    <col min="9191" max="9191" width="47.7109375" style="58" customWidth="1"/>
    <col min="9192" max="9192" width="13.28515625" style="58" customWidth="1"/>
    <col min="9193" max="9193" width="9.85546875" style="58" customWidth="1"/>
    <col min="9194" max="9194" width="17.140625" style="58" customWidth="1"/>
    <col min="9195" max="9195" width="9.140625" style="58" customWidth="1"/>
    <col min="9196" max="9196" width="10.85546875" style="58" customWidth="1"/>
    <col min="9197" max="9197" width="11.28515625" style="58" customWidth="1"/>
    <col min="9198" max="9198" width="16.28515625" style="58" customWidth="1"/>
    <col min="9199" max="9199" width="8.28515625" style="58" customWidth="1"/>
    <col min="9200" max="9200" width="10.28515625" style="58" customWidth="1"/>
    <col min="9201" max="9201" width="11.28515625" style="58" customWidth="1"/>
    <col min="9202" max="9202" width="9.7109375" style="58" customWidth="1"/>
    <col min="9203" max="9444" width="9.140625" style="58" customWidth="1"/>
    <col min="9445" max="9445" width="30.140625" style="58" customWidth="1"/>
    <col min="9446" max="9446" width="52.140625" style="58" customWidth="1"/>
    <col min="9447" max="9447" width="47.7109375" style="58" customWidth="1"/>
    <col min="9448" max="9448" width="13.28515625" style="58" customWidth="1"/>
    <col min="9449" max="9449" width="9.85546875" style="58" customWidth="1"/>
    <col min="9450" max="9450" width="17.140625" style="58" customWidth="1"/>
    <col min="9451" max="9451" width="9.140625" style="58" customWidth="1"/>
    <col min="9452" max="9452" width="10.85546875" style="58" customWidth="1"/>
    <col min="9453" max="9453" width="11.28515625" style="58" customWidth="1"/>
    <col min="9454" max="9454" width="16.28515625" style="58" customWidth="1"/>
    <col min="9455" max="9455" width="8.28515625" style="58" customWidth="1"/>
    <col min="9456" max="9456" width="10.28515625" style="58" customWidth="1"/>
    <col min="9457" max="9457" width="11.28515625" style="58" customWidth="1"/>
    <col min="9458" max="9458" width="9.7109375" style="58" customWidth="1"/>
    <col min="9459" max="9700" width="9.140625" style="58" customWidth="1"/>
    <col min="9701" max="9701" width="30.140625" style="58" customWidth="1"/>
    <col min="9702" max="9702" width="52.140625" style="58" customWidth="1"/>
    <col min="9703" max="9703" width="47.7109375" style="58" customWidth="1"/>
    <col min="9704" max="9704" width="13.28515625" style="58" customWidth="1"/>
    <col min="9705" max="9705" width="9.85546875" style="58" customWidth="1"/>
    <col min="9706" max="9706" width="17.140625" style="58" customWidth="1"/>
    <col min="9707" max="9707" width="9.140625" style="58" customWidth="1"/>
    <col min="9708" max="9708" width="10.85546875" style="58" customWidth="1"/>
    <col min="9709" max="9709" width="11.28515625" style="58" customWidth="1"/>
    <col min="9710" max="9710" width="16.28515625" style="58" customWidth="1"/>
    <col min="9711" max="9711" width="8.28515625" style="58" customWidth="1"/>
    <col min="9712" max="9712" width="10.28515625" style="58" customWidth="1"/>
    <col min="9713" max="9713" width="11.28515625" style="58" customWidth="1"/>
    <col min="9714" max="9714" width="9.7109375" style="58" customWidth="1"/>
    <col min="9715" max="9956" width="9.140625" style="58" customWidth="1"/>
    <col min="9957" max="9957" width="30.140625" style="58" customWidth="1"/>
    <col min="9958" max="9958" width="52.140625" style="58" customWidth="1"/>
    <col min="9959" max="9959" width="47.7109375" style="58" customWidth="1"/>
    <col min="9960" max="9960" width="13.28515625" style="58" customWidth="1"/>
    <col min="9961" max="9961" width="9.85546875" style="58" customWidth="1"/>
    <col min="9962" max="9962" width="17.140625" style="58" customWidth="1"/>
    <col min="9963" max="9963" width="9.140625" style="58" customWidth="1"/>
    <col min="9964" max="9964" width="10.85546875" style="58" customWidth="1"/>
    <col min="9965" max="9965" width="11.28515625" style="58" customWidth="1"/>
    <col min="9966" max="9966" width="16.28515625" style="58" customWidth="1"/>
    <col min="9967" max="9967" width="8.28515625" style="58" customWidth="1"/>
    <col min="9968" max="9968" width="10.28515625" style="58" customWidth="1"/>
    <col min="9969" max="9969" width="11.28515625" style="58" customWidth="1"/>
    <col min="9970" max="9970" width="9.7109375" style="58" customWidth="1"/>
    <col min="9971" max="10212" width="9.140625" style="58" customWidth="1"/>
    <col min="10213" max="10213" width="30.140625" style="58" customWidth="1"/>
    <col min="10214" max="10214" width="52.140625" style="58" customWidth="1"/>
    <col min="10215" max="10215" width="47.7109375" style="58" customWidth="1"/>
    <col min="10216" max="10216" width="13.28515625" style="58" customWidth="1"/>
    <col min="10217" max="10217" width="9.85546875" style="58" customWidth="1"/>
    <col min="10218" max="10218" width="17.140625" style="58" customWidth="1"/>
    <col min="10219" max="10219" width="9.140625" style="58" customWidth="1"/>
    <col min="10220" max="10220" width="10.85546875" style="58" customWidth="1"/>
    <col min="10221" max="10221" width="11.28515625" style="58" customWidth="1"/>
    <col min="10222" max="10222" width="16.28515625" style="58" customWidth="1"/>
    <col min="10223" max="10223" width="8.28515625" style="58" customWidth="1"/>
    <col min="10224" max="10224" width="10.28515625" style="58" customWidth="1"/>
    <col min="10225" max="10225" width="11.28515625" style="58" customWidth="1"/>
    <col min="10226" max="10226" width="9.7109375" style="58" customWidth="1"/>
    <col min="10227" max="10468" width="9.140625" style="58" customWidth="1"/>
    <col min="10469" max="10469" width="30.140625" style="58" customWidth="1"/>
    <col min="10470" max="10470" width="52.140625" style="58" customWidth="1"/>
    <col min="10471" max="10471" width="47.7109375" style="58" customWidth="1"/>
    <col min="10472" max="10472" width="13.28515625" style="58" customWidth="1"/>
    <col min="10473" max="10473" width="9.85546875" style="58" customWidth="1"/>
    <col min="10474" max="10474" width="17.140625" style="58" customWidth="1"/>
    <col min="10475" max="10475" width="9.140625" style="58" customWidth="1"/>
    <col min="10476" max="10476" width="10.85546875" style="58" customWidth="1"/>
    <col min="10477" max="10477" width="11.28515625" style="58" customWidth="1"/>
    <col min="10478" max="10478" width="16.28515625" style="58" customWidth="1"/>
    <col min="10479" max="10479" width="8.28515625" style="58" customWidth="1"/>
    <col min="10480" max="10480" width="10.28515625" style="58" customWidth="1"/>
    <col min="10481" max="10481" width="11.28515625" style="58" customWidth="1"/>
    <col min="10482" max="10482" width="9.7109375" style="58" customWidth="1"/>
    <col min="10483" max="10724" width="9.140625" style="58" customWidth="1"/>
    <col min="10725" max="10725" width="30.140625" style="58" customWidth="1"/>
    <col min="10726" max="10726" width="52.140625" style="58" customWidth="1"/>
    <col min="10727" max="10727" width="47.7109375" style="58" customWidth="1"/>
    <col min="10728" max="10728" width="13.28515625" style="58" customWidth="1"/>
    <col min="10729" max="10729" width="9.85546875" style="58" customWidth="1"/>
    <col min="10730" max="10730" width="17.140625" style="58" customWidth="1"/>
    <col min="10731" max="10731" width="9.140625" style="58" customWidth="1"/>
    <col min="10732" max="10732" width="10.85546875" style="58" customWidth="1"/>
    <col min="10733" max="10733" width="11.28515625" style="58" customWidth="1"/>
    <col min="10734" max="10734" width="16.28515625" style="58" customWidth="1"/>
    <col min="10735" max="10735" width="8.28515625" style="58" customWidth="1"/>
    <col min="10736" max="10736" width="10.28515625" style="58" customWidth="1"/>
    <col min="10737" max="10737" width="11.28515625" style="58" customWidth="1"/>
    <col min="10738" max="10738" width="9.7109375" style="58" customWidth="1"/>
    <col min="10739" max="10980" width="9.140625" style="58" customWidth="1"/>
    <col min="10981" max="10981" width="30.140625" style="58" customWidth="1"/>
    <col min="10982" max="10982" width="52.140625" style="58" customWidth="1"/>
    <col min="10983" max="10983" width="47.7109375" style="58" customWidth="1"/>
    <col min="10984" max="10984" width="13.28515625" style="58" customWidth="1"/>
    <col min="10985" max="10985" width="9.85546875" style="58" customWidth="1"/>
    <col min="10986" max="10986" width="17.140625" style="58" customWidth="1"/>
    <col min="10987" max="10987" width="9.140625" style="58" customWidth="1"/>
    <col min="10988" max="10988" width="10.85546875" style="58" customWidth="1"/>
    <col min="10989" max="10989" width="11.28515625" style="58" customWidth="1"/>
    <col min="10990" max="10990" width="16.28515625" style="58" customWidth="1"/>
    <col min="10991" max="10991" width="8.28515625" style="58" customWidth="1"/>
    <col min="10992" max="10992" width="10.28515625" style="58" customWidth="1"/>
    <col min="10993" max="10993" width="11.28515625" style="58" customWidth="1"/>
    <col min="10994" max="10994" width="9.7109375" style="58" customWidth="1"/>
    <col min="10995" max="11236" width="9.140625" style="58" customWidth="1"/>
    <col min="11237" max="11237" width="30.140625" style="58" customWidth="1"/>
    <col min="11238" max="11238" width="52.140625" style="58" customWidth="1"/>
    <col min="11239" max="11239" width="47.7109375" style="58" customWidth="1"/>
    <col min="11240" max="11240" width="13.28515625" style="58" customWidth="1"/>
    <col min="11241" max="11241" width="9.85546875" style="58" customWidth="1"/>
    <col min="11242" max="11242" width="17.140625" style="58" customWidth="1"/>
    <col min="11243" max="11243" width="9.140625" style="58" customWidth="1"/>
    <col min="11244" max="11244" width="10.85546875" style="58" customWidth="1"/>
    <col min="11245" max="11245" width="11.28515625" style="58" customWidth="1"/>
    <col min="11246" max="11246" width="16.28515625" style="58" customWidth="1"/>
    <col min="11247" max="11247" width="8.28515625" style="58" customWidth="1"/>
    <col min="11248" max="11248" width="10.28515625" style="58" customWidth="1"/>
    <col min="11249" max="11249" width="11.28515625" style="58" customWidth="1"/>
    <col min="11250" max="11250" width="9.7109375" style="58" customWidth="1"/>
    <col min="11251" max="11492" width="9.140625" style="58" customWidth="1"/>
    <col min="11493" max="11493" width="30.140625" style="58" customWidth="1"/>
    <col min="11494" max="11494" width="52.140625" style="58" customWidth="1"/>
    <col min="11495" max="11495" width="47.7109375" style="58" customWidth="1"/>
    <col min="11496" max="11496" width="13.28515625" style="58" customWidth="1"/>
    <col min="11497" max="11497" width="9.85546875" style="58" customWidth="1"/>
    <col min="11498" max="11498" width="17.140625" style="58" customWidth="1"/>
    <col min="11499" max="11499" width="9.140625" style="58" customWidth="1"/>
    <col min="11500" max="11500" width="10.85546875" style="58" customWidth="1"/>
    <col min="11501" max="11501" width="11.28515625" style="58" customWidth="1"/>
    <col min="11502" max="11502" width="16.28515625" style="58" customWidth="1"/>
    <col min="11503" max="11503" width="8.28515625" style="58" customWidth="1"/>
    <col min="11504" max="11504" width="10.28515625" style="58" customWidth="1"/>
    <col min="11505" max="11505" width="11.28515625" style="58" customWidth="1"/>
    <col min="11506" max="11506" width="9.7109375" style="58" customWidth="1"/>
    <col min="11507" max="11748" width="9.140625" style="58" customWidth="1"/>
    <col min="11749" max="11749" width="30.140625" style="58" customWidth="1"/>
    <col min="11750" max="11750" width="52.140625" style="58" customWidth="1"/>
    <col min="11751" max="11751" width="47.7109375" style="58" customWidth="1"/>
    <col min="11752" max="11752" width="13.28515625" style="58" customWidth="1"/>
    <col min="11753" max="11753" width="9.85546875" style="58" customWidth="1"/>
    <col min="11754" max="11754" width="17.140625" style="58" customWidth="1"/>
    <col min="11755" max="11755" width="9.140625" style="58" customWidth="1"/>
    <col min="11756" max="11756" width="10.85546875" style="58" customWidth="1"/>
    <col min="11757" max="11757" width="11.28515625" style="58" customWidth="1"/>
    <col min="11758" max="11758" width="16.28515625" style="58" customWidth="1"/>
    <col min="11759" max="11759" width="8.28515625" style="58" customWidth="1"/>
    <col min="11760" max="11760" width="10.28515625" style="58" customWidth="1"/>
    <col min="11761" max="11761" width="11.28515625" style="58" customWidth="1"/>
    <col min="11762" max="11762" width="9.7109375" style="58" customWidth="1"/>
    <col min="11763" max="12004" width="9.140625" style="58" customWidth="1"/>
    <col min="12005" max="12005" width="30.140625" style="58" customWidth="1"/>
    <col min="12006" max="12006" width="52.140625" style="58" customWidth="1"/>
    <col min="12007" max="12007" width="47.7109375" style="58" customWidth="1"/>
    <col min="12008" max="12008" width="13.28515625" style="58" customWidth="1"/>
    <col min="12009" max="12009" width="9.85546875" style="58" customWidth="1"/>
    <col min="12010" max="12010" width="17.140625" style="58" customWidth="1"/>
    <col min="12011" max="12011" width="9.140625" style="58" customWidth="1"/>
    <col min="12012" max="12012" width="10.85546875" style="58" customWidth="1"/>
    <col min="12013" max="12013" width="11.28515625" style="58" customWidth="1"/>
    <col min="12014" max="12014" width="16.28515625" style="58" customWidth="1"/>
    <col min="12015" max="12015" width="8.28515625" style="58" customWidth="1"/>
    <col min="12016" max="12016" width="10.28515625" style="58" customWidth="1"/>
    <col min="12017" max="12017" width="11.28515625" style="58" customWidth="1"/>
    <col min="12018" max="12018" width="9.7109375" style="58" customWidth="1"/>
    <col min="12019" max="12260" width="9.140625" style="58" customWidth="1"/>
    <col min="12261" max="12261" width="30.140625" style="58" customWidth="1"/>
    <col min="12262" max="12262" width="52.140625" style="58" customWidth="1"/>
    <col min="12263" max="12263" width="47.7109375" style="58" customWidth="1"/>
    <col min="12264" max="12264" width="13.28515625" style="58" customWidth="1"/>
    <col min="12265" max="12265" width="9.85546875" style="58" customWidth="1"/>
    <col min="12266" max="12266" width="17.140625" style="58" customWidth="1"/>
    <col min="12267" max="12267" width="9.140625" style="58" customWidth="1"/>
    <col min="12268" max="12268" width="10.85546875" style="58" customWidth="1"/>
    <col min="12269" max="12269" width="11.28515625" style="58" customWidth="1"/>
    <col min="12270" max="12270" width="16.28515625" style="58" customWidth="1"/>
    <col min="12271" max="12271" width="8.28515625" style="58" customWidth="1"/>
    <col min="12272" max="12272" width="10.28515625" style="58" customWidth="1"/>
    <col min="12273" max="12273" width="11.28515625" style="58" customWidth="1"/>
    <col min="12274" max="12274" width="9.7109375" style="58" customWidth="1"/>
    <col min="12275" max="12516" width="9.140625" style="58" customWidth="1"/>
    <col min="12517" max="12517" width="30.140625" style="58" customWidth="1"/>
    <col min="12518" max="12518" width="52.140625" style="58" customWidth="1"/>
    <col min="12519" max="12519" width="47.7109375" style="58" customWidth="1"/>
    <col min="12520" max="12520" width="13.28515625" style="58" customWidth="1"/>
    <col min="12521" max="12521" width="9.85546875" style="58" customWidth="1"/>
    <col min="12522" max="12522" width="17.140625" style="58" customWidth="1"/>
    <col min="12523" max="12523" width="9.140625" style="58" customWidth="1"/>
    <col min="12524" max="12524" width="10.85546875" style="58" customWidth="1"/>
    <col min="12525" max="12525" width="11.28515625" style="58" customWidth="1"/>
    <col min="12526" max="12526" width="16.28515625" style="58" customWidth="1"/>
    <col min="12527" max="12527" width="8.28515625" style="58" customWidth="1"/>
    <col min="12528" max="12528" width="10.28515625" style="58" customWidth="1"/>
    <col min="12529" max="12529" width="11.28515625" style="58" customWidth="1"/>
    <col min="12530" max="12530" width="9.7109375" style="58" customWidth="1"/>
    <col min="12531" max="12772" width="9.140625" style="58" customWidth="1"/>
    <col min="12773" max="12773" width="30.140625" style="58" customWidth="1"/>
    <col min="12774" max="12774" width="52.140625" style="58" customWidth="1"/>
    <col min="12775" max="12775" width="47.7109375" style="58" customWidth="1"/>
    <col min="12776" max="12776" width="13.28515625" style="58" customWidth="1"/>
    <col min="12777" max="12777" width="9.85546875" style="58" customWidth="1"/>
    <col min="12778" max="12778" width="17.140625" style="58" customWidth="1"/>
    <col min="12779" max="12779" width="9.140625" style="58" customWidth="1"/>
    <col min="12780" max="12780" width="10.85546875" style="58" customWidth="1"/>
    <col min="12781" max="12781" width="11.28515625" style="58" customWidth="1"/>
    <col min="12782" max="12782" width="16.28515625" style="58" customWidth="1"/>
    <col min="12783" max="12783" width="8.28515625" style="58" customWidth="1"/>
    <col min="12784" max="12784" width="10.28515625" style="58" customWidth="1"/>
    <col min="12785" max="12785" width="11.28515625" style="58" customWidth="1"/>
    <col min="12786" max="12786" width="9.7109375" style="58" customWidth="1"/>
    <col min="12787" max="13028" width="9.140625" style="58" customWidth="1"/>
    <col min="13029" max="13029" width="30.140625" style="58" customWidth="1"/>
    <col min="13030" max="13030" width="52.140625" style="58" customWidth="1"/>
    <col min="13031" max="13031" width="47.7109375" style="58" customWidth="1"/>
    <col min="13032" max="13032" width="13.28515625" style="58" customWidth="1"/>
    <col min="13033" max="13033" width="9.85546875" style="58" customWidth="1"/>
    <col min="13034" max="13034" width="17.140625" style="58" customWidth="1"/>
    <col min="13035" max="13035" width="9.140625" style="58" customWidth="1"/>
    <col min="13036" max="13036" width="10.85546875" style="58" customWidth="1"/>
    <col min="13037" max="13037" width="11.28515625" style="58" customWidth="1"/>
    <col min="13038" max="13038" width="16.28515625" style="58" customWidth="1"/>
    <col min="13039" max="13039" width="8.28515625" style="58" customWidth="1"/>
    <col min="13040" max="13040" width="10.28515625" style="58" customWidth="1"/>
    <col min="13041" max="13041" width="11.28515625" style="58" customWidth="1"/>
    <col min="13042" max="13042" width="9.7109375" style="58" customWidth="1"/>
    <col min="13043" max="13284" width="9.140625" style="58" customWidth="1"/>
    <col min="13285" max="13285" width="30.140625" style="58" customWidth="1"/>
    <col min="13286" max="13286" width="52.140625" style="58" customWidth="1"/>
    <col min="13287" max="13287" width="47.7109375" style="58" customWidth="1"/>
    <col min="13288" max="13288" width="13.28515625" style="58" customWidth="1"/>
    <col min="13289" max="13289" width="9.85546875" style="58" customWidth="1"/>
    <col min="13290" max="13290" width="17.140625" style="58" customWidth="1"/>
    <col min="13291" max="13291" width="9.140625" style="58" customWidth="1"/>
    <col min="13292" max="13292" width="10.85546875" style="58" customWidth="1"/>
    <col min="13293" max="13293" width="11.28515625" style="58" customWidth="1"/>
    <col min="13294" max="13294" width="16.28515625" style="58" customWidth="1"/>
    <col min="13295" max="13295" width="8.28515625" style="58" customWidth="1"/>
    <col min="13296" max="13296" width="10.28515625" style="58" customWidth="1"/>
    <col min="13297" max="13297" width="11.28515625" style="58" customWidth="1"/>
    <col min="13298" max="13298" width="9.7109375" style="58" customWidth="1"/>
    <col min="13299" max="13540" width="9.140625" style="58" customWidth="1"/>
    <col min="13541" max="13541" width="30.140625" style="58" customWidth="1"/>
    <col min="13542" max="13542" width="52.140625" style="58" customWidth="1"/>
    <col min="13543" max="13543" width="47.7109375" style="58" customWidth="1"/>
    <col min="13544" max="13544" width="13.28515625" style="58" customWidth="1"/>
    <col min="13545" max="13545" width="9.85546875" style="58" customWidth="1"/>
    <col min="13546" max="13546" width="17.140625" style="58" customWidth="1"/>
    <col min="13547" max="13547" width="9.140625" style="58" customWidth="1"/>
    <col min="13548" max="13548" width="10.85546875" style="58" customWidth="1"/>
    <col min="13549" max="13549" width="11.28515625" style="58" customWidth="1"/>
    <col min="13550" max="13550" width="16.28515625" style="58" customWidth="1"/>
    <col min="13551" max="13551" width="8.28515625" style="58" customWidth="1"/>
    <col min="13552" max="13552" width="10.28515625" style="58" customWidth="1"/>
    <col min="13553" max="13553" width="11.28515625" style="58" customWidth="1"/>
    <col min="13554" max="13554" width="9.7109375" style="58" customWidth="1"/>
    <col min="13555" max="13796" width="9.140625" style="58" customWidth="1"/>
    <col min="13797" max="13797" width="30.140625" style="58" customWidth="1"/>
    <col min="13798" max="13798" width="52.140625" style="58" customWidth="1"/>
    <col min="13799" max="13799" width="47.7109375" style="58" customWidth="1"/>
    <col min="13800" max="13800" width="13.28515625" style="58" customWidth="1"/>
    <col min="13801" max="13801" width="9.85546875" style="58" customWidth="1"/>
    <col min="13802" max="13802" width="17.140625" style="58" customWidth="1"/>
    <col min="13803" max="13803" width="9.140625" style="58" customWidth="1"/>
    <col min="13804" max="13804" width="10.85546875" style="58" customWidth="1"/>
    <col min="13805" max="13805" width="11.28515625" style="58" customWidth="1"/>
    <col min="13806" max="13806" width="16.28515625" style="58" customWidth="1"/>
    <col min="13807" max="13807" width="8.28515625" style="58" customWidth="1"/>
    <col min="13808" max="13808" width="10.28515625" style="58" customWidth="1"/>
    <col min="13809" max="13809" width="11.28515625" style="58" customWidth="1"/>
    <col min="13810" max="13810" width="9.7109375" style="58" customWidth="1"/>
    <col min="13811" max="14052" width="9.140625" style="58" customWidth="1"/>
    <col min="14053" max="14053" width="30.140625" style="58" customWidth="1"/>
    <col min="14054" max="14054" width="52.140625" style="58" customWidth="1"/>
    <col min="14055" max="14055" width="47.7109375" style="58" customWidth="1"/>
    <col min="14056" max="14056" width="13.28515625" style="58" customWidth="1"/>
    <col min="14057" max="14057" width="9.85546875" style="58" customWidth="1"/>
    <col min="14058" max="14058" width="17.140625" style="58" customWidth="1"/>
    <col min="14059" max="14059" width="9.140625" style="58" customWidth="1"/>
    <col min="14060" max="14060" width="10.85546875" style="58" customWidth="1"/>
    <col min="14061" max="14061" width="11.28515625" style="58" customWidth="1"/>
    <col min="14062" max="14062" width="16.28515625" style="58" customWidth="1"/>
    <col min="14063" max="14063" width="8.28515625" style="58" customWidth="1"/>
    <col min="14064" max="14064" width="10.28515625" style="58" customWidth="1"/>
    <col min="14065" max="14065" width="11.28515625" style="58" customWidth="1"/>
    <col min="14066" max="14066" width="9.7109375" style="58" customWidth="1"/>
    <col min="14067" max="14308" width="9.140625" style="58" customWidth="1"/>
    <col min="14309" max="14309" width="30.140625" style="58" customWidth="1"/>
    <col min="14310" max="14310" width="52.140625" style="58" customWidth="1"/>
    <col min="14311" max="14311" width="47.7109375" style="58" customWidth="1"/>
    <col min="14312" max="14312" width="13.28515625" style="58" customWidth="1"/>
    <col min="14313" max="14313" width="9.85546875" style="58" customWidth="1"/>
    <col min="14314" max="14314" width="17.140625" style="58" customWidth="1"/>
    <col min="14315" max="14315" width="9.140625" style="58" customWidth="1"/>
    <col min="14316" max="14316" width="10.85546875" style="58" customWidth="1"/>
    <col min="14317" max="14317" width="11.28515625" style="58" customWidth="1"/>
    <col min="14318" max="14318" width="16.28515625" style="58" customWidth="1"/>
    <col min="14319" max="14319" width="8.28515625" style="58" customWidth="1"/>
    <col min="14320" max="14320" width="10.28515625" style="58" customWidth="1"/>
    <col min="14321" max="14321" width="11.28515625" style="58" customWidth="1"/>
    <col min="14322" max="14322" width="9.7109375" style="58" customWidth="1"/>
    <col min="14323" max="14564" width="9.140625" style="58" customWidth="1"/>
    <col min="14565" max="14565" width="30.140625" style="58" customWidth="1"/>
    <col min="14566" max="14566" width="52.140625" style="58" customWidth="1"/>
    <col min="14567" max="14567" width="47.7109375" style="58" customWidth="1"/>
    <col min="14568" max="14568" width="13.28515625" style="58" customWidth="1"/>
    <col min="14569" max="14569" width="9.85546875" style="58" customWidth="1"/>
    <col min="14570" max="14570" width="17.140625" style="58" customWidth="1"/>
    <col min="14571" max="14571" width="9.140625" style="58" customWidth="1"/>
    <col min="14572" max="14572" width="10.85546875" style="58" customWidth="1"/>
    <col min="14573" max="14573" width="11.28515625" style="58" customWidth="1"/>
    <col min="14574" max="14574" width="16.28515625" style="58" customWidth="1"/>
    <col min="14575" max="14575" width="8.28515625" style="58" customWidth="1"/>
    <col min="14576" max="14576" width="10.28515625" style="58" customWidth="1"/>
    <col min="14577" max="14577" width="11.28515625" style="58" customWidth="1"/>
    <col min="14578" max="14578" width="9.7109375" style="58" customWidth="1"/>
    <col min="14579" max="14820" width="9.140625" style="58" customWidth="1"/>
    <col min="14821" max="14821" width="30.140625" style="58" customWidth="1"/>
    <col min="14822" max="14822" width="52.140625" style="58" customWidth="1"/>
    <col min="14823" max="14823" width="47.7109375" style="58" customWidth="1"/>
    <col min="14824" max="14824" width="13.28515625" style="58" customWidth="1"/>
    <col min="14825" max="14825" width="9.85546875" style="58" customWidth="1"/>
    <col min="14826" max="14826" width="17.140625" style="58" customWidth="1"/>
    <col min="14827" max="14827" width="9.140625" style="58" customWidth="1"/>
    <col min="14828" max="14828" width="10.85546875" style="58" customWidth="1"/>
    <col min="14829" max="14829" width="11.28515625" style="58" customWidth="1"/>
    <col min="14830" max="14830" width="16.28515625" style="58" customWidth="1"/>
    <col min="14831" max="14831" width="8.28515625" style="58" customWidth="1"/>
    <col min="14832" max="14832" width="10.28515625" style="58" customWidth="1"/>
    <col min="14833" max="14833" width="11.28515625" style="58" customWidth="1"/>
    <col min="14834" max="14834" width="9.7109375" style="58" customWidth="1"/>
    <col min="14835" max="15076" width="9.140625" style="58" customWidth="1"/>
    <col min="15077" max="15077" width="30.140625" style="58" customWidth="1"/>
    <col min="15078" max="15078" width="52.140625" style="58" customWidth="1"/>
    <col min="15079" max="15079" width="47.7109375" style="58" customWidth="1"/>
    <col min="15080" max="15080" width="13.28515625" style="58" customWidth="1"/>
    <col min="15081" max="15081" width="9.85546875" style="58" customWidth="1"/>
    <col min="15082" max="15082" width="17.140625" style="58" customWidth="1"/>
    <col min="15083" max="15083" width="9.140625" style="58" customWidth="1"/>
    <col min="15084" max="15084" width="10.85546875" style="58" customWidth="1"/>
    <col min="15085" max="15085" width="11.28515625" style="58" customWidth="1"/>
    <col min="15086" max="15086" width="16.28515625" style="58" customWidth="1"/>
    <col min="15087" max="15087" width="8.28515625" style="58" customWidth="1"/>
    <col min="15088" max="15088" width="10.28515625" style="58" customWidth="1"/>
    <col min="15089" max="15089" width="11.28515625" style="58" customWidth="1"/>
    <col min="15090" max="15090" width="9.7109375" style="58" customWidth="1"/>
    <col min="15091" max="15332" width="9.140625" style="58" customWidth="1"/>
    <col min="15333" max="15333" width="30.140625" style="58" customWidth="1"/>
    <col min="15334" max="15334" width="52.140625" style="58" customWidth="1"/>
    <col min="15335" max="15335" width="47.7109375" style="58" customWidth="1"/>
    <col min="15336" max="15336" width="13.28515625" style="58" customWidth="1"/>
    <col min="15337" max="15337" width="9.85546875" style="58" customWidth="1"/>
    <col min="15338" max="15338" width="17.140625" style="58" customWidth="1"/>
    <col min="15339" max="15339" width="9.140625" style="58" customWidth="1"/>
    <col min="15340" max="15340" width="10.85546875" style="58" customWidth="1"/>
    <col min="15341" max="15341" width="11.28515625" style="58" customWidth="1"/>
    <col min="15342" max="15342" width="16.28515625" style="58" customWidth="1"/>
    <col min="15343" max="15343" width="8.28515625" style="58" customWidth="1"/>
    <col min="15344" max="15344" width="10.28515625" style="58" customWidth="1"/>
    <col min="15345" max="15345" width="11.28515625" style="58" customWidth="1"/>
    <col min="15346" max="15346" width="9.7109375" style="58" customWidth="1"/>
    <col min="15347" max="15588" width="9.140625" style="58" customWidth="1"/>
    <col min="15589" max="15589" width="30.140625" style="58" customWidth="1"/>
    <col min="15590" max="15590" width="52.140625" style="58" customWidth="1"/>
    <col min="15591" max="15591" width="47.7109375" style="58" customWidth="1"/>
    <col min="15592" max="15592" width="13.28515625" style="58" customWidth="1"/>
    <col min="15593" max="15593" width="9.85546875" style="58" customWidth="1"/>
    <col min="15594" max="15594" width="17.140625" style="58" customWidth="1"/>
    <col min="15595" max="15595" width="9.140625" style="58" customWidth="1"/>
    <col min="15596" max="15596" width="10.85546875" style="58" customWidth="1"/>
    <col min="15597" max="15597" width="11.28515625" style="58" customWidth="1"/>
    <col min="15598" max="15598" width="16.28515625" style="58" customWidth="1"/>
    <col min="15599" max="15599" width="8.28515625" style="58" customWidth="1"/>
    <col min="15600" max="15600" width="10.28515625" style="58" customWidth="1"/>
    <col min="15601" max="15601" width="11.28515625" style="58" customWidth="1"/>
    <col min="15602" max="15602" width="9.7109375" style="58" customWidth="1"/>
    <col min="15603" max="15844" width="9.140625" style="58" customWidth="1"/>
    <col min="15845" max="15845" width="30.140625" style="58" customWidth="1"/>
    <col min="15846" max="15846" width="52.140625" style="58" customWidth="1"/>
    <col min="15847" max="15847" width="47.7109375" style="58" customWidth="1"/>
    <col min="15848" max="15848" width="13.28515625" style="58" customWidth="1"/>
    <col min="15849" max="15849" width="9.85546875" style="58" customWidth="1"/>
    <col min="15850" max="15850" width="17.140625" style="58" customWidth="1"/>
    <col min="15851" max="15851" width="9.140625" style="58" customWidth="1"/>
    <col min="15852" max="15852" width="10.85546875" style="58" customWidth="1"/>
    <col min="15853" max="15853" width="11.28515625" style="58" customWidth="1"/>
    <col min="15854" max="15854" width="16.28515625" style="58" customWidth="1"/>
    <col min="15855" max="15855" width="8.28515625" style="58" customWidth="1"/>
    <col min="15856" max="15856" width="10.28515625" style="58" customWidth="1"/>
    <col min="15857" max="15857" width="11.28515625" style="58" customWidth="1"/>
    <col min="15858" max="15858" width="9.7109375" style="58" customWidth="1"/>
    <col min="15859" max="16100" width="9.140625" style="58" customWidth="1"/>
    <col min="16101" max="16101" width="30.140625" style="58" customWidth="1"/>
    <col min="16102" max="16102" width="52.140625" style="58" customWidth="1"/>
    <col min="16103" max="16103" width="47.7109375" style="58" customWidth="1"/>
    <col min="16104" max="16104" width="13.28515625" style="58" customWidth="1"/>
    <col min="16105" max="16105" width="9.85546875" style="58" customWidth="1"/>
    <col min="16106" max="16106" width="17.140625" style="58" customWidth="1"/>
    <col min="16107" max="16107" width="9.140625" style="58" customWidth="1"/>
    <col min="16108" max="16108" width="10.85546875" style="58" customWidth="1"/>
    <col min="16109" max="16109" width="11.28515625" style="58" customWidth="1"/>
    <col min="16110" max="16110" width="16.28515625" style="58" customWidth="1"/>
    <col min="16111" max="16111" width="8.28515625" style="58" customWidth="1"/>
    <col min="16112" max="16112" width="10.28515625" style="58" customWidth="1"/>
    <col min="16113" max="16113" width="11.28515625" style="58" customWidth="1"/>
    <col min="16114" max="16114" width="9.7109375" style="58" customWidth="1"/>
    <col min="16115" max="16384" width="9.140625" style="58" customWidth="1"/>
  </cols>
  <sheetData>
    <row r="1" spans="1:16" x14ac:dyDescent="0.25">
      <c r="A1" s="149" t="s">
        <v>99</v>
      </c>
      <c r="B1" s="180" t="s">
        <v>100</v>
      </c>
      <c r="C1" s="149" t="s">
        <v>101</v>
      </c>
      <c r="D1" s="149" t="s">
        <v>102</v>
      </c>
      <c r="E1" s="149" t="s">
        <v>103</v>
      </c>
      <c r="F1" s="149" t="s">
        <v>104</v>
      </c>
      <c r="G1" s="149" t="s">
        <v>105</v>
      </c>
      <c r="H1" s="149" t="s">
        <v>106</v>
      </c>
      <c r="I1" s="151" t="s">
        <v>107</v>
      </c>
      <c r="J1" s="151" t="s">
        <v>108</v>
      </c>
      <c r="K1" s="149" t="s">
        <v>109</v>
      </c>
      <c r="L1" s="151" t="s">
        <v>86</v>
      </c>
      <c r="M1" s="181" t="s">
        <v>53</v>
      </c>
      <c r="N1" s="181" t="s">
        <v>86</v>
      </c>
      <c r="O1" s="181" t="s">
        <v>53</v>
      </c>
      <c r="P1" s="181" t="s">
        <v>86</v>
      </c>
    </row>
    <row r="2" spans="1:16" x14ac:dyDescent="0.25">
      <c r="A2" s="311">
        <v>1209</v>
      </c>
      <c r="B2" s="312" t="s">
        <v>1011</v>
      </c>
      <c r="C2" s="313" t="s">
        <v>250</v>
      </c>
      <c r="D2" s="313" t="s">
        <v>123</v>
      </c>
      <c r="E2" s="313" t="s">
        <v>124</v>
      </c>
      <c r="F2" s="313" t="s">
        <v>128</v>
      </c>
      <c r="G2" s="313" t="s">
        <v>1012</v>
      </c>
      <c r="H2" s="313" t="s">
        <v>126</v>
      </c>
      <c r="I2" s="314"/>
      <c r="J2" s="314">
        <v>410</v>
      </c>
      <c r="K2" s="313" t="s">
        <v>1013</v>
      </c>
      <c r="L2" s="109">
        <f>I2+J2*EERR!$D$2</f>
        <v>273634</v>
      </c>
      <c r="M2" s="109">
        <f>L2/EERR!$D$2</f>
        <v>410</v>
      </c>
      <c r="N2" s="109">
        <f>SUMIF(Abr!$B$3:$B$113,A2,Abr!$V$3:$V$113)</f>
        <v>0</v>
      </c>
    </row>
    <row r="3" spans="1:16" x14ac:dyDescent="0.25">
      <c r="A3" s="311">
        <v>1210</v>
      </c>
      <c r="B3" s="312" t="s">
        <v>1014</v>
      </c>
      <c r="C3" s="313" t="s">
        <v>250</v>
      </c>
      <c r="D3" s="313" t="s">
        <v>123</v>
      </c>
      <c r="E3" s="313" t="s">
        <v>124</v>
      </c>
      <c r="F3" s="313" t="s">
        <v>350</v>
      </c>
      <c r="G3" s="313" t="s">
        <v>1015</v>
      </c>
      <c r="H3" s="313" t="s">
        <v>126</v>
      </c>
      <c r="I3" s="314"/>
      <c r="J3" s="314">
        <v>820</v>
      </c>
      <c r="K3" s="313" t="s">
        <v>1016</v>
      </c>
      <c r="L3" s="109">
        <f>I3+J3*EERR!$D$2</f>
        <v>547268</v>
      </c>
      <c r="M3" s="109">
        <f>L3/EERR!$D$2</f>
        <v>820</v>
      </c>
      <c r="N3" s="109">
        <f>SUMIF(Abr!$B$3:$B$113,A3,Abr!$V$3:$V$113)</f>
        <v>0</v>
      </c>
      <c r="O3" s="182">
        <f>+A3-A2</f>
        <v>1</v>
      </c>
    </row>
    <row r="4" spans="1:16" x14ac:dyDescent="0.25">
      <c r="A4" s="311">
        <v>1211</v>
      </c>
      <c r="B4" s="312" t="s">
        <v>1017</v>
      </c>
      <c r="C4" s="313" t="s">
        <v>249</v>
      </c>
      <c r="D4" s="313" t="s">
        <v>123</v>
      </c>
      <c r="E4" s="313" t="s">
        <v>127</v>
      </c>
      <c r="F4" s="313" t="s">
        <v>128</v>
      </c>
      <c r="G4" s="313" t="s">
        <v>1018</v>
      </c>
      <c r="H4" s="313" t="s">
        <v>127</v>
      </c>
      <c r="I4" s="314">
        <v>331284</v>
      </c>
      <c r="J4" s="314"/>
      <c r="K4" s="313" t="s">
        <v>1019</v>
      </c>
      <c r="L4" s="109">
        <f>I4+J4*EERR!$D$2</f>
        <v>331284</v>
      </c>
      <c r="M4" s="109">
        <f>L4/EERR!$D$2</f>
        <v>496.37998201977825</v>
      </c>
      <c r="N4" s="109">
        <f>SUMIF(Abr!$B$3:$B$113,A4,Abr!$V$3:$V$113)</f>
        <v>331284</v>
      </c>
      <c r="O4" s="182">
        <f t="shared" ref="O4:O66" si="0">+A4-A3</f>
        <v>1</v>
      </c>
    </row>
    <row r="5" spans="1:16" x14ac:dyDescent="0.25">
      <c r="A5" s="311">
        <v>1212</v>
      </c>
      <c r="B5" s="312" t="s">
        <v>1020</v>
      </c>
      <c r="C5" s="313" t="s">
        <v>250</v>
      </c>
      <c r="D5" s="313" t="s">
        <v>123</v>
      </c>
      <c r="E5" s="313" t="s">
        <v>124</v>
      </c>
      <c r="F5" s="313" t="s">
        <v>128</v>
      </c>
      <c r="G5" s="313" t="s">
        <v>1021</v>
      </c>
      <c r="H5" s="313" t="s">
        <v>126</v>
      </c>
      <c r="I5" s="314"/>
      <c r="J5" s="314">
        <v>615</v>
      </c>
      <c r="K5" s="313" t="s">
        <v>1022</v>
      </c>
      <c r="L5" s="109">
        <f>I5+J5*EERR!$D$2</f>
        <v>410451</v>
      </c>
      <c r="M5" s="109">
        <f>L5/EERR!$D$2</f>
        <v>615</v>
      </c>
      <c r="N5" s="109">
        <f>SUMIF(Abr!$B$3:$B$113,A5,Abr!$V$3:$V$113)</f>
        <v>0</v>
      </c>
      <c r="O5" s="182">
        <f t="shared" si="0"/>
        <v>1</v>
      </c>
    </row>
    <row r="6" spans="1:16" x14ac:dyDescent="0.25">
      <c r="A6" s="311">
        <v>1213</v>
      </c>
      <c r="B6" s="312" t="s">
        <v>1023</v>
      </c>
      <c r="C6" s="313" t="s">
        <v>249</v>
      </c>
      <c r="D6" s="313" t="s">
        <v>123</v>
      </c>
      <c r="E6" s="313" t="s">
        <v>127</v>
      </c>
      <c r="F6" s="313" t="s">
        <v>128</v>
      </c>
      <c r="G6" s="313" t="s">
        <v>1025</v>
      </c>
      <c r="H6" s="313" t="s">
        <v>127</v>
      </c>
      <c r="I6" s="314">
        <v>165642</v>
      </c>
      <c r="J6" s="314"/>
      <c r="K6" s="313" t="s">
        <v>1024</v>
      </c>
      <c r="L6" s="109">
        <f>I6+J6*EERR!$D$2</f>
        <v>165642</v>
      </c>
      <c r="M6" s="109">
        <f>L6/EERR!$D$2</f>
        <v>248.18999100988913</v>
      </c>
      <c r="N6" s="109">
        <v>104621435.0226</v>
      </c>
      <c r="O6" s="182">
        <f t="shared" si="0"/>
        <v>1</v>
      </c>
    </row>
    <row r="7" spans="1:16" x14ac:dyDescent="0.25">
      <c r="A7" s="315">
        <v>1213</v>
      </c>
      <c r="B7" s="326" t="s">
        <v>1023</v>
      </c>
      <c r="C7" s="316" t="s">
        <v>249</v>
      </c>
      <c r="D7" s="316" t="s">
        <v>123</v>
      </c>
      <c r="E7" s="316" t="s">
        <v>302</v>
      </c>
      <c r="F7" s="316" t="s">
        <v>128</v>
      </c>
      <c r="G7" s="316" t="s">
        <v>1025</v>
      </c>
      <c r="H7" s="316" t="s">
        <v>127</v>
      </c>
      <c r="I7" s="317">
        <v>-165642</v>
      </c>
      <c r="J7" s="317"/>
      <c r="K7" s="316" t="s">
        <v>1024</v>
      </c>
      <c r="L7" s="219">
        <f>I7+J7*EERR!$D$2</f>
        <v>-165642</v>
      </c>
      <c r="M7" s="219">
        <f>L7/EERR!$D$2</f>
        <v>-248.18999100988913</v>
      </c>
      <c r="N7" s="219">
        <f>SUMIF(Abr!$B$3:$B$113,A7,Abr!$V$3:$V$113)</f>
        <v>0</v>
      </c>
      <c r="O7" s="182">
        <f t="shared" si="0"/>
        <v>0</v>
      </c>
    </row>
    <row r="8" spans="1:16" x14ac:dyDescent="0.25">
      <c r="A8" s="311">
        <v>1214</v>
      </c>
      <c r="B8" s="312" t="s">
        <v>1026</v>
      </c>
      <c r="C8" s="313" t="s">
        <v>249</v>
      </c>
      <c r="D8" s="313" t="s">
        <v>123</v>
      </c>
      <c r="E8" s="313" t="s">
        <v>127</v>
      </c>
      <c r="F8" s="313" t="s">
        <v>129</v>
      </c>
      <c r="G8" s="313" t="s">
        <v>1027</v>
      </c>
      <c r="H8" s="313" t="s">
        <v>127</v>
      </c>
      <c r="I8" s="314">
        <v>328357</v>
      </c>
      <c r="J8" s="314"/>
      <c r="K8" s="313" t="s">
        <v>1028</v>
      </c>
      <c r="L8" s="109">
        <f>I8+J8*EERR!$D$2</f>
        <v>328357</v>
      </c>
      <c r="M8" s="109">
        <f>L8/EERR!$D$2</f>
        <v>491.99430626311062</v>
      </c>
      <c r="N8" s="109">
        <f>SUMIF(Abr!$B$3:$B$113,A8,Abr!$V$3:$V$113)</f>
        <v>0</v>
      </c>
      <c r="O8" s="182">
        <f t="shared" si="0"/>
        <v>1</v>
      </c>
    </row>
    <row r="9" spans="1:16" x14ac:dyDescent="0.25">
      <c r="A9" s="311">
        <v>1215</v>
      </c>
      <c r="B9" s="312" t="s">
        <v>1029</v>
      </c>
      <c r="C9" s="313" t="s">
        <v>250</v>
      </c>
      <c r="D9" s="313" t="s">
        <v>123</v>
      </c>
      <c r="E9" s="313" t="s">
        <v>124</v>
      </c>
      <c r="F9" s="313" t="s">
        <v>128</v>
      </c>
      <c r="G9" s="313" t="s">
        <v>1030</v>
      </c>
      <c r="H9" s="313" t="s">
        <v>126</v>
      </c>
      <c r="I9" s="314"/>
      <c r="J9" s="314">
        <v>194.75</v>
      </c>
      <c r="K9" s="313" t="s">
        <v>1031</v>
      </c>
      <c r="L9" s="109">
        <f>I9+J9*EERR!$D$2</f>
        <v>129976.15</v>
      </c>
      <c r="M9" s="109">
        <f>L9/EERR!$D$2</f>
        <v>194.75</v>
      </c>
      <c r="N9" s="109">
        <f>SUMIF(Abr!$B$3:$B$113,A9,Abr!$V$3:$V$113)</f>
        <v>0</v>
      </c>
      <c r="O9" s="182">
        <f t="shared" si="0"/>
        <v>1</v>
      </c>
    </row>
    <row r="10" spans="1:16" x14ac:dyDescent="0.25">
      <c r="A10" s="311">
        <v>1216</v>
      </c>
      <c r="B10" s="312" t="s">
        <v>1032</v>
      </c>
      <c r="C10" s="313" t="s">
        <v>250</v>
      </c>
      <c r="D10" s="313" t="s">
        <v>123</v>
      </c>
      <c r="E10" s="313" t="s">
        <v>124</v>
      </c>
      <c r="F10" s="313" t="s">
        <v>129</v>
      </c>
      <c r="G10" s="313" t="s">
        <v>1033</v>
      </c>
      <c r="H10" s="313" t="s">
        <v>126</v>
      </c>
      <c r="I10" s="314"/>
      <c r="J10" s="314">
        <v>205</v>
      </c>
      <c r="K10" s="313" t="s">
        <v>1034</v>
      </c>
      <c r="L10" s="109">
        <f>I10+J10*EERR!$D$2</f>
        <v>136817</v>
      </c>
      <c r="M10" s="109">
        <f>L10/EERR!$D$2</f>
        <v>205</v>
      </c>
      <c r="N10" s="109">
        <f>SUMIF(Abr!$B$3:$B$113,A10,Abr!$V$3:$V$113)</f>
        <v>136817</v>
      </c>
      <c r="O10" s="182">
        <f t="shared" si="0"/>
        <v>1</v>
      </c>
    </row>
    <row r="11" spans="1:16" x14ac:dyDescent="0.25">
      <c r="A11" s="311">
        <v>1217</v>
      </c>
      <c r="B11" s="312" t="s">
        <v>1035</v>
      </c>
      <c r="C11" s="313" t="s">
        <v>250</v>
      </c>
      <c r="D11" s="313" t="s">
        <v>123</v>
      </c>
      <c r="E11" s="313" t="s">
        <v>124</v>
      </c>
      <c r="F11" s="313" t="s">
        <v>125</v>
      </c>
      <c r="G11" s="313" t="s">
        <v>422</v>
      </c>
      <c r="H11" s="313" t="s">
        <v>126</v>
      </c>
      <c r="I11" s="314"/>
      <c r="J11" s="314">
        <v>615</v>
      </c>
      <c r="K11" s="313" t="s">
        <v>1036</v>
      </c>
      <c r="L11" s="109">
        <f>I11+J11*EERR!$D$2</f>
        <v>410451</v>
      </c>
      <c r="M11" s="109">
        <f>L11/EERR!$D$2</f>
        <v>615</v>
      </c>
      <c r="N11" s="109">
        <f>SUMIF(Abr!$B$3:$B$113,A11,Abr!$V$3:$V$113)</f>
        <v>0</v>
      </c>
      <c r="O11" s="182">
        <f t="shared" si="0"/>
        <v>1</v>
      </c>
    </row>
    <row r="12" spans="1:16" x14ac:dyDescent="0.25">
      <c r="A12" s="311">
        <v>1218</v>
      </c>
      <c r="B12" s="312" t="s">
        <v>1037</v>
      </c>
      <c r="C12" s="313" t="s">
        <v>250</v>
      </c>
      <c r="D12" s="313" t="s">
        <v>123</v>
      </c>
      <c r="E12" s="313" t="s">
        <v>124</v>
      </c>
      <c r="F12" s="313" t="s">
        <v>129</v>
      </c>
      <c r="G12" s="313" t="s">
        <v>1038</v>
      </c>
      <c r="H12" s="313" t="s">
        <v>126</v>
      </c>
      <c r="I12" s="314"/>
      <c r="J12" s="314">
        <v>205</v>
      </c>
      <c r="K12" s="313" t="s">
        <v>1039</v>
      </c>
      <c r="L12" s="109">
        <f>I12+J12*EERR!$D$2</f>
        <v>136817</v>
      </c>
      <c r="M12" s="109">
        <f>L12/EERR!$D$2</f>
        <v>205</v>
      </c>
      <c r="N12" s="109">
        <f>SUMIF(Abr!$B$3:$B$113,A12,Abr!$V$3:$V$113)</f>
        <v>0</v>
      </c>
      <c r="O12" s="182">
        <f t="shared" si="0"/>
        <v>1</v>
      </c>
    </row>
    <row r="13" spans="1:16" x14ac:dyDescent="0.25">
      <c r="A13" s="311">
        <v>1219</v>
      </c>
      <c r="B13" s="312" t="s">
        <v>1040</v>
      </c>
      <c r="C13" s="313" t="s">
        <v>250</v>
      </c>
      <c r="D13" s="313" t="s">
        <v>123</v>
      </c>
      <c r="E13" s="313" t="s">
        <v>124</v>
      </c>
      <c r="F13" s="313" t="s">
        <v>129</v>
      </c>
      <c r="G13" s="313" t="s">
        <v>1041</v>
      </c>
      <c r="H13" s="313" t="s">
        <v>126</v>
      </c>
      <c r="I13" s="314"/>
      <c r="J13" s="314">
        <v>205</v>
      </c>
      <c r="K13" s="313" t="s">
        <v>1042</v>
      </c>
      <c r="L13" s="109">
        <f>I13+J13*EERR!$D$2</f>
        <v>136817</v>
      </c>
      <c r="M13" s="109">
        <f>L13/EERR!$D$2</f>
        <v>205</v>
      </c>
      <c r="N13" s="109">
        <f>SUMIF(Abr!$B$3:$B$113,A13,Abr!$V$3:$V$113)</f>
        <v>0</v>
      </c>
      <c r="O13" s="182">
        <f t="shared" si="0"/>
        <v>1</v>
      </c>
    </row>
    <row r="14" spans="1:16" x14ac:dyDescent="0.25">
      <c r="A14" s="311">
        <v>1220</v>
      </c>
      <c r="B14" s="312" t="s">
        <v>1043</v>
      </c>
      <c r="C14" s="313" t="s">
        <v>250</v>
      </c>
      <c r="D14" s="313" t="s">
        <v>123</v>
      </c>
      <c r="E14" s="313" t="s">
        <v>124</v>
      </c>
      <c r="F14" s="313" t="s">
        <v>128</v>
      </c>
      <c r="G14" s="313" t="s">
        <v>1044</v>
      </c>
      <c r="H14" s="313" t="s">
        <v>126</v>
      </c>
      <c r="I14" s="314"/>
      <c r="J14" s="314">
        <v>205</v>
      </c>
      <c r="K14" s="313" t="s">
        <v>1045</v>
      </c>
      <c r="L14" s="109">
        <f>I14+J14*EERR!$D$2</f>
        <v>136817</v>
      </c>
      <c r="M14" s="109">
        <f>L14/EERR!$D$2</f>
        <v>205</v>
      </c>
      <c r="N14" s="300">
        <f>SUMIF(Abr!$B$3:$B$113,A14,Abr!$V$3:$V$113)</f>
        <v>0</v>
      </c>
      <c r="O14" s="182">
        <f t="shared" si="0"/>
        <v>1</v>
      </c>
      <c r="P14" s="58" t="s">
        <v>337</v>
      </c>
    </row>
    <row r="15" spans="1:16" x14ac:dyDescent="0.25">
      <c r="A15" s="311">
        <v>1221</v>
      </c>
      <c r="B15" s="312" t="s">
        <v>1046</v>
      </c>
      <c r="C15" s="313" t="s">
        <v>250</v>
      </c>
      <c r="D15" s="313" t="s">
        <v>123</v>
      </c>
      <c r="E15" s="313" t="s">
        <v>124</v>
      </c>
      <c r="F15" s="313" t="s">
        <v>129</v>
      </c>
      <c r="G15" s="313" t="s">
        <v>1047</v>
      </c>
      <c r="H15" s="313" t="s">
        <v>126</v>
      </c>
      <c r="I15" s="314"/>
      <c r="J15" s="314">
        <v>205</v>
      </c>
      <c r="K15" s="313" t="s">
        <v>1048</v>
      </c>
      <c r="L15" s="109">
        <f>I15+J15*EERR!$D$2</f>
        <v>136817</v>
      </c>
      <c r="M15" s="109">
        <f>L15/EERR!$D$2</f>
        <v>205</v>
      </c>
      <c r="N15" s="109">
        <f>SUMIF(Abr!$B$3:$B$113,A15,Abr!$V$3:$V$113)</f>
        <v>0</v>
      </c>
      <c r="O15" s="182">
        <f t="shared" si="0"/>
        <v>1</v>
      </c>
    </row>
    <row r="16" spans="1:16" x14ac:dyDescent="0.25">
      <c r="A16" s="311">
        <v>1222</v>
      </c>
      <c r="B16" s="312" t="s">
        <v>1049</v>
      </c>
      <c r="C16" s="313" t="s">
        <v>250</v>
      </c>
      <c r="D16" s="313" t="s">
        <v>123</v>
      </c>
      <c r="E16" s="313" t="s">
        <v>124</v>
      </c>
      <c r="F16" s="313" t="s">
        <v>129</v>
      </c>
      <c r="G16" s="313" t="s">
        <v>1050</v>
      </c>
      <c r="H16" s="313" t="s">
        <v>126</v>
      </c>
      <c r="I16" s="314"/>
      <c r="J16" s="314">
        <v>480</v>
      </c>
      <c r="K16" s="313" t="s">
        <v>1051</v>
      </c>
      <c r="L16" s="109">
        <f>I16+J16*EERR!$D$2</f>
        <v>320352</v>
      </c>
      <c r="M16" s="109">
        <f>L16/EERR!$D$2</f>
        <v>480</v>
      </c>
      <c r="N16" s="109">
        <f>SUMIF(Abr!$B$3:$B$113,A16,Abr!$V$3:$V$113)</f>
        <v>0</v>
      </c>
      <c r="O16" s="182">
        <f t="shared" si="0"/>
        <v>1</v>
      </c>
    </row>
    <row r="17" spans="1:15" x14ac:dyDescent="0.25">
      <c r="A17" s="311">
        <v>1223</v>
      </c>
      <c r="B17" s="312" t="s">
        <v>1052</v>
      </c>
      <c r="C17" s="313" t="s">
        <v>250</v>
      </c>
      <c r="D17" s="313" t="s">
        <v>123</v>
      </c>
      <c r="E17" s="313" t="s">
        <v>124</v>
      </c>
      <c r="F17" s="313" t="s">
        <v>128</v>
      </c>
      <c r="G17" s="313" t="s">
        <v>449</v>
      </c>
      <c r="H17" s="313" t="s">
        <v>126</v>
      </c>
      <c r="I17" s="314"/>
      <c r="J17" s="314">
        <v>389</v>
      </c>
      <c r="K17" s="313" t="s">
        <v>1053</v>
      </c>
      <c r="L17" s="109">
        <f>I17+J17*EERR!$D$2</f>
        <v>259618.59999999998</v>
      </c>
      <c r="M17" s="109">
        <f>L17/EERR!$D$2</f>
        <v>389</v>
      </c>
      <c r="N17" s="109">
        <f>SUMIF(Abr!$B$3:$B$113,A17,Abr!$V$3:$V$113)</f>
        <v>0</v>
      </c>
      <c r="O17" s="182">
        <f t="shared" si="0"/>
        <v>1</v>
      </c>
    </row>
    <row r="18" spans="1:15" x14ac:dyDescent="0.25">
      <c r="A18" s="311">
        <v>1224</v>
      </c>
      <c r="B18" s="312" t="s">
        <v>1054</v>
      </c>
      <c r="C18" s="313" t="s">
        <v>250</v>
      </c>
      <c r="D18" s="313" t="s">
        <v>123</v>
      </c>
      <c r="E18" s="313" t="s">
        <v>124</v>
      </c>
      <c r="F18" s="313" t="s">
        <v>129</v>
      </c>
      <c r="G18" s="313" t="s">
        <v>446</v>
      </c>
      <c r="H18" s="313" t="s">
        <v>126</v>
      </c>
      <c r="I18" s="314"/>
      <c r="J18" s="314">
        <v>1025</v>
      </c>
      <c r="K18" s="313" t="s">
        <v>1055</v>
      </c>
      <c r="L18" s="109">
        <f>I18+J18*EERR!$D$2</f>
        <v>684085</v>
      </c>
      <c r="M18" s="109">
        <f>L18/EERR!$D$2</f>
        <v>1025</v>
      </c>
      <c r="N18" s="109">
        <f>SUMIF(Abr!$B$3:$B$113,A18,Abr!$V$3:$V$113)</f>
        <v>0</v>
      </c>
      <c r="O18" s="182">
        <f t="shared" si="0"/>
        <v>1</v>
      </c>
    </row>
    <row r="19" spans="1:15" x14ac:dyDescent="0.25">
      <c r="A19" s="311">
        <v>1225</v>
      </c>
      <c r="B19" s="312" t="s">
        <v>1056</v>
      </c>
      <c r="C19" s="313" t="s">
        <v>250</v>
      </c>
      <c r="D19" s="313" t="s">
        <v>123</v>
      </c>
      <c r="E19" s="313" t="s">
        <v>124</v>
      </c>
      <c r="F19" s="313" t="s">
        <v>128</v>
      </c>
      <c r="G19" s="313" t="s">
        <v>449</v>
      </c>
      <c r="H19" s="313" t="s">
        <v>126</v>
      </c>
      <c r="I19" s="314"/>
      <c r="J19" s="314">
        <v>0.75</v>
      </c>
      <c r="K19" s="313" t="s">
        <v>1057</v>
      </c>
      <c r="L19" s="109">
        <v>131857.435</v>
      </c>
      <c r="M19" s="109">
        <v>194.75</v>
      </c>
      <c r="N19" s="109">
        <v>0</v>
      </c>
      <c r="O19" s="182">
        <f t="shared" si="0"/>
        <v>1</v>
      </c>
    </row>
    <row r="20" spans="1:15" x14ac:dyDescent="0.25">
      <c r="A20" s="311">
        <v>1226</v>
      </c>
      <c r="B20" s="312" t="s">
        <v>1058</v>
      </c>
      <c r="C20" s="313" t="s">
        <v>250</v>
      </c>
      <c r="D20" s="313" t="s">
        <v>123</v>
      </c>
      <c r="E20" s="313" t="s">
        <v>124</v>
      </c>
      <c r="F20" s="313" t="s">
        <v>128</v>
      </c>
      <c r="G20" s="313" t="s">
        <v>449</v>
      </c>
      <c r="H20" s="313" t="s">
        <v>126</v>
      </c>
      <c r="I20" s="314"/>
      <c r="J20" s="314">
        <v>0.75</v>
      </c>
      <c r="K20" s="313" t="s">
        <v>1059</v>
      </c>
      <c r="L20" s="109">
        <f>I20+J20*EERR!$D$2</f>
        <v>500.54999999999995</v>
      </c>
      <c r="M20" s="109">
        <f>L20/EERR!$D$2</f>
        <v>0.75</v>
      </c>
      <c r="N20" s="109">
        <f>SUMIF(Abr!$B$3:$B$113,A20,Abr!$V$3:$V$113)</f>
        <v>0</v>
      </c>
      <c r="O20" s="182">
        <f t="shared" si="0"/>
        <v>1</v>
      </c>
    </row>
    <row r="21" spans="1:15" x14ac:dyDescent="0.25">
      <c r="A21" s="315">
        <v>1226</v>
      </c>
      <c r="B21" s="326" t="s">
        <v>1058</v>
      </c>
      <c r="C21" s="316" t="s">
        <v>250</v>
      </c>
      <c r="D21" s="316" t="s">
        <v>123</v>
      </c>
      <c r="E21" s="316" t="s">
        <v>320</v>
      </c>
      <c r="F21" s="316" t="s">
        <v>128</v>
      </c>
      <c r="G21" s="316" t="s">
        <v>449</v>
      </c>
      <c r="H21" s="316" t="s">
        <v>126</v>
      </c>
      <c r="I21" s="317"/>
      <c r="J21" s="317">
        <v>-0.75</v>
      </c>
      <c r="K21" s="316" t="s">
        <v>1059</v>
      </c>
      <c r="L21" s="219">
        <f>I21+J21*EERR!$D$2</f>
        <v>-500.54999999999995</v>
      </c>
      <c r="M21" s="219">
        <f>L21/EERR!$D$2</f>
        <v>-0.75</v>
      </c>
      <c r="N21" s="109">
        <f>SUMIF(Abr!$B$3:$B$113,A21,Abr!$V$3:$V$113)</f>
        <v>0</v>
      </c>
      <c r="O21" s="182">
        <f t="shared" si="0"/>
        <v>0</v>
      </c>
    </row>
    <row r="22" spans="1:15" x14ac:dyDescent="0.25">
      <c r="A22" s="311">
        <v>1227</v>
      </c>
      <c r="B22" s="312" t="s">
        <v>1060</v>
      </c>
      <c r="C22" s="313" t="s">
        <v>249</v>
      </c>
      <c r="D22" s="313" t="s">
        <v>123</v>
      </c>
      <c r="E22" s="313" t="s">
        <v>127</v>
      </c>
      <c r="F22" s="313" t="s">
        <v>128</v>
      </c>
      <c r="G22" s="313" t="s">
        <v>733</v>
      </c>
      <c r="H22" s="313" t="s">
        <v>127</v>
      </c>
      <c r="I22" s="314">
        <v>14000</v>
      </c>
      <c r="J22" s="314"/>
      <c r="K22" s="313" t="s">
        <v>1061</v>
      </c>
      <c r="L22" s="109">
        <f>I22+J22*EERR!$D$2</f>
        <v>14000</v>
      </c>
      <c r="M22" s="109">
        <f>L22/EERR!$D$2</f>
        <v>20.976925382079713</v>
      </c>
      <c r="N22" s="109">
        <f>SUMIF(Abr!$B$3:$B$113,A22,Abr!$V$3:$V$113)</f>
        <v>0</v>
      </c>
      <c r="O22" s="182">
        <f t="shared" si="0"/>
        <v>1</v>
      </c>
    </row>
    <row r="23" spans="1:15" x14ac:dyDescent="0.25">
      <c r="A23" s="311">
        <v>1228</v>
      </c>
      <c r="B23" s="312" t="s">
        <v>1062</v>
      </c>
      <c r="C23" s="313" t="s">
        <v>250</v>
      </c>
      <c r="D23" s="313" t="s">
        <v>123</v>
      </c>
      <c r="E23" s="313" t="s">
        <v>124</v>
      </c>
      <c r="F23" s="313" t="s">
        <v>128</v>
      </c>
      <c r="G23" s="313" t="s">
        <v>1063</v>
      </c>
      <c r="H23" s="313" t="s">
        <v>126</v>
      </c>
      <c r="I23" s="314"/>
      <c r="J23" s="314">
        <v>240</v>
      </c>
      <c r="K23" s="313" t="s">
        <v>1064</v>
      </c>
      <c r="L23" s="109">
        <f>I23+J23*EERR!$D$2</f>
        <v>160176</v>
      </c>
      <c r="M23" s="109">
        <f>L23/EERR!$D$2</f>
        <v>240</v>
      </c>
      <c r="N23" s="109">
        <f>SUMIF(Abr!$B$3:$B$113,A23,Abr!$V$3:$V$113)</f>
        <v>0</v>
      </c>
      <c r="O23" s="182">
        <f t="shared" si="0"/>
        <v>1</v>
      </c>
    </row>
    <row r="24" spans="1:15" x14ac:dyDescent="0.25">
      <c r="A24" s="311">
        <v>1229</v>
      </c>
      <c r="B24" s="312" t="s">
        <v>1065</v>
      </c>
      <c r="C24" s="313" t="s">
        <v>250</v>
      </c>
      <c r="D24" s="313" t="s">
        <v>123</v>
      </c>
      <c r="E24" s="313" t="s">
        <v>124</v>
      </c>
      <c r="F24" s="313" t="s">
        <v>128</v>
      </c>
      <c r="G24" s="313" t="s">
        <v>452</v>
      </c>
      <c r="H24" s="313" t="s">
        <v>126</v>
      </c>
      <c r="I24" s="314"/>
      <c r="J24" s="314">
        <v>205</v>
      </c>
      <c r="K24" s="313" t="s">
        <v>1066</v>
      </c>
      <c r="L24" s="109">
        <f>I24+J24*EERR!$D$2</f>
        <v>136817</v>
      </c>
      <c r="M24" s="109">
        <f>L24/EERR!$D$2</f>
        <v>205</v>
      </c>
      <c r="N24" s="109">
        <f>SUMIF(Abr!$B$3:$B$113,A24,Abr!$V$3:$V$113)</f>
        <v>0</v>
      </c>
      <c r="O24" s="182">
        <f t="shared" si="0"/>
        <v>1</v>
      </c>
    </row>
    <row r="25" spans="1:15" x14ac:dyDescent="0.25">
      <c r="A25" s="311">
        <v>1230</v>
      </c>
      <c r="B25" s="312" t="s">
        <v>1067</v>
      </c>
      <c r="C25" s="313" t="s">
        <v>250</v>
      </c>
      <c r="D25" s="313" t="s">
        <v>123</v>
      </c>
      <c r="E25" s="313" t="s">
        <v>124</v>
      </c>
      <c r="F25" s="313" t="s">
        <v>128</v>
      </c>
      <c r="G25" s="313" t="s">
        <v>452</v>
      </c>
      <c r="H25" s="313" t="s">
        <v>126</v>
      </c>
      <c r="I25" s="314"/>
      <c r="J25" s="314">
        <v>185.25</v>
      </c>
      <c r="K25" s="313" t="s">
        <v>1068</v>
      </c>
      <c r="L25" s="109">
        <f>I25+J25*EERR!$D$2</f>
        <v>123635.84999999999</v>
      </c>
      <c r="M25" s="109">
        <f>L25/EERR!$D$2</f>
        <v>185.25</v>
      </c>
      <c r="N25" s="109">
        <f>SUMIF(Abr!$B$3:$B$113,A25,Abr!$V$3:$V$113)</f>
        <v>123635.84999999999</v>
      </c>
      <c r="O25" s="182">
        <f t="shared" si="0"/>
        <v>1</v>
      </c>
    </row>
    <row r="26" spans="1:15" x14ac:dyDescent="0.25">
      <c r="A26" s="311">
        <v>1231</v>
      </c>
      <c r="B26" s="312" t="s">
        <v>1069</v>
      </c>
      <c r="C26" s="313" t="s">
        <v>249</v>
      </c>
      <c r="D26" s="313" t="s">
        <v>123</v>
      </c>
      <c r="E26" s="313" t="s">
        <v>127</v>
      </c>
      <c r="F26" s="313" t="s">
        <v>128</v>
      </c>
      <c r="G26" s="313" t="s">
        <v>461</v>
      </c>
      <c r="H26" s="313" t="s">
        <v>127</v>
      </c>
      <c r="I26" s="314">
        <v>309621</v>
      </c>
      <c r="J26" s="314"/>
      <c r="K26" s="313" t="s">
        <v>1070</v>
      </c>
      <c r="L26" s="109">
        <f>I26+J26*EERR!$D$2</f>
        <v>309621</v>
      </c>
      <c r="M26" s="109">
        <f>L26/EERR!$D$2</f>
        <v>463.92118669463594</v>
      </c>
      <c r="N26" s="109">
        <f>SUMIF(Abr!$B$3:$B$113,A26,Abr!$V$3:$V$113)</f>
        <v>0</v>
      </c>
      <c r="O26" s="182">
        <f t="shared" si="0"/>
        <v>1</v>
      </c>
    </row>
    <row r="27" spans="1:15" x14ac:dyDescent="0.25">
      <c r="A27" s="311">
        <v>1232</v>
      </c>
      <c r="B27" s="312" t="s">
        <v>1071</v>
      </c>
      <c r="C27" s="313" t="s">
        <v>250</v>
      </c>
      <c r="D27" s="313" t="s">
        <v>123</v>
      </c>
      <c r="E27" s="313" t="s">
        <v>124</v>
      </c>
      <c r="F27" s="313" t="s">
        <v>129</v>
      </c>
      <c r="G27" s="313" t="s">
        <v>1072</v>
      </c>
      <c r="H27" s="313" t="s">
        <v>126</v>
      </c>
      <c r="I27" s="314"/>
      <c r="J27" s="314">
        <v>240</v>
      </c>
      <c r="K27" s="313" t="s">
        <v>1073</v>
      </c>
      <c r="L27" s="109">
        <f>I27+J27*EERR!$D$2</f>
        <v>160176</v>
      </c>
      <c r="M27" s="109">
        <f>L27/EERR!$D$2</f>
        <v>240</v>
      </c>
      <c r="N27" s="109">
        <f>SUMIF(Abr!$B$3:$B$113,A27,Abr!$V$3:$V$113)</f>
        <v>0</v>
      </c>
      <c r="O27" s="182">
        <f t="shared" si="0"/>
        <v>1</v>
      </c>
    </row>
    <row r="28" spans="1:15" x14ac:dyDescent="0.25">
      <c r="A28" s="311">
        <v>1233</v>
      </c>
      <c r="B28" s="312" t="s">
        <v>1074</v>
      </c>
      <c r="C28" s="313" t="s">
        <v>250</v>
      </c>
      <c r="D28" s="313" t="s">
        <v>123</v>
      </c>
      <c r="E28" s="313" t="s">
        <v>124</v>
      </c>
      <c r="F28" s="313" t="s">
        <v>128</v>
      </c>
      <c r="G28" s="313" t="s">
        <v>1075</v>
      </c>
      <c r="H28" s="313" t="s">
        <v>126</v>
      </c>
      <c r="I28" s="314"/>
      <c r="J28" s="314">
        <v>390</v>
      </c>
      <c r="K28" s="313" t="s">
        <v>1076</v>
      </c>
      <c r="L28" s="109">
        <f>I28+J28*EERR!$D$2</f>
        <v>260286</v>
      </c>
      <c r="M28" s="109">
        <f>L28/EERR!$D$2</f>
        <v>390</v>
      </c>
      <c r="N28" s="109">
        <f>SUMIF(Abr!$B$3:$B$113,A28,Abr!$V$3:$V$113)</f>
        <v>0</v>
      </c>
      <c r="O28" s="182">
        <f t="shared" si="0"/>
        <v>1</v>
      </c>
    </row>
    <row r="29" spans="1:15" x14ac:dyDescent="0.25">
      <c r="A29" s="311">
        <v>1234</v>
      </c>
      <c r="B29" s="312" t="s">
        <v>1077</v>
      </c>
      <c r="C29" s="313" t="s">
        <v>249</v>
      </c>
      <c r="D29" s="313" t="s">
        <v>123</v>
      </c>
      <c r="E29" s="313" t="s">
        <v>127</v>
      </c>
      <c r="F29" s="313" t="s">
        <v>128</v>
      </c>
      <c r="G29" s="313" t="s">
        <v>1078</v>
      </c>
      <c r="H29" s="313" t="s">
        <v>127</v>
      </c>
      <c r="I29" s="314">
        <v>6000</v>
      </c>
      <c r="J29" s="314"/>
      <c r="K29" s="313" t="s">
        <v>1079</v>
      </c>
      <c r="L29" s="109">
        <f>I29+J29*EERR!$D$2</f>
        <v>6000</v>
      </c>
      <c r="M29" s="109">
        <f>L29/EERR!$D$2</f>
        <v>8.9901108780341623</v>
      </c>
      <c r="N29" s="109">
        <f>SUMIF(Abr!$B$3:$B$113,A29,Abr!$V$3:$V$113)</f>
        <v>0</v>
      </c>
      <c r="O29" s="182">
        <f t="shared" si="0"/>
        <v>1</v>
      </c>
    </row>
    <row r="30" spans="1:15" x14ac:dyDescent="0.25">
      <c r="A30" s="311">
        <v>1235</v>
      </c>
      <c r="B30" s="312" t="s">
        <v>1080</v>
      </c>
      <c r="C30" s="313" t="s">
        <v>250</v>
      </c>
      <c r="D30" s="313" t="s">
        <v>123</v>
      </c>
      <c r="E30" s="313" t="s">
        <v>124</v>
      </c>
      <c r="F30" s="313" t="s">
        <v>125</v>
      </c>
      <c r="G30" s="313" t="s">
        <v>1081</v>
      </c>
      <c r="H30" s="313" t="s">
        <v>126</v>
      </c>
      <c r="I30" s="314"/>
      <c r="J30" s="314">
        <v>615</v>
      </c>
      <c r="K30" s="313" t="s">
        <v>1082</v>
      </c>
      <c r="L30" s="109">
        <f>I30+J30*EERR!$D$2</f>
        <v>410451</v>
      </c>
      <c r="M30" s="109">
        <f>L30/EERR!$D$2</f>
        <v>615</v>
      </c>
      <c r="N30" s="109">
        <f>SUMIF(Abr!$B$3:$B$113,A30,Abr!$V$3:$V$113)</f>
        <v>0</v>
      </c>
      <c r="O30" s="182">
        <f t="shared" si="0"/>
        <v>1</v>
      </c>
    </row>
    <row r="31" spans="1:15" x14ac:dyDescent="0.25">
      <c r="A31" s="311">
        <v>1236</v>
      </c>
      <c r="B31" s="312" t="s">
        <v>1083</v>
      </c>
      <c r="C31" s="313" t="s">
        <v>250</v>
      </c>
      <c r="D31" s="313" t="s">
        <v>123</v>
      </c>
      <c r="E31" s="313" t="s">
        <v>124</v>
      </c>
      <c r="F31" s="313" t="s">
        <v>129</v>
      </c>
      <c r="G31" s="313" t="s">
        <v>1084</v>
      </c>
      <c r="H31" s="313" t="s">
        <v>126</v>
      </c>
      <c r="I31" s="314"/>
      <c r="J31" s="314">
        <v>200</v>
      </c>
      <c r="K31" s="313" t="s">
        <v>1085</v>
      </c>
      <c r="L31" s="109">
        <f>I31+J31*EERR!$D$2</f>
        <v>133480</v>
      </c>
      <c r="M31" s="109">
        <f>L31/EERR!$D$2</f>
        <v>200</v>
      </c>
      <c r="N31" s="109">
        <f>SUMIF(Abr!$B$3:$B$113,A31,Abr!$V$3:$V$113)</f>
        <v>0</v>
      </c>
      <c r="O31" s="182">
        <f t="shared" si="0"/>
        <v>1</v>
      </c>
    </row>
    <row r="32" spans="1:15" x14ac:dyDescent="0.25">
      <c r="A32" s="311">
        <v>1237</v>
      </c>
      <c r="B32" s="312" t="s">
        <v>1086</v>
      </c>
      <c r="C32" s="313" t="s">
        <v>250</v>
      </c>
      <c r="D32" s="313" t="s">
        <v>123</v>
      </c>
      <c r="E32" s="313" t="s">
        <v>124</v>
      </c>
      <c r="F32" s="313" t="s">
        <v>128</v>
      </c>
      <c r="G32" s="313" t="s">
        <v>1087</v>
      </c>
      <c r="H32" s="313" t="s">
        <v>126</v>
      </c>
      <c r="I32" s="314"/>
      <c r="J32" s="314">
        <v>200</v>
      </c>
      <c r="K32" s="313" t="s">
        <v>1088</v>
      </c>
      <c r="L32" s="109">
        <f>I32+J32*EERR!$D$2</f>
        <v>133480</v>
      </c>
      <c r="M32" s="109">
        <f>L32/EERR!$D$2</f>
        <v>200</v>
      </c>
      <c r="N32" s="109">
        <f>SUMIF(Abr!$B$3:$B$113,A32,Abr!$V$3:$V$113)</f>
        <v>0</v>
      </c>
      <c r="O32" s="182">
        <f t="shared" si="0"/>
        <v>1</v>
      </c>
    </row>
    <row r="33" spans="1:15" x14ac:dyDescent="0.25">
      <c r="A33" s="311">
        <v>1238</v>
      </c>
      <c r="B33" s="312" t="s">
        <v>1089</v>
      </c>
      <c r="C33" s="313" t="s">
        <v>250</v>
      </c>
      <c r="D33" s="313" t="s">
        <v>123</v>
      </c>
      <c r="E33" s="313" t="s">
        <v>124</v>
      </c>
      <c r="F33" s="313" t="s">
        <v>128</v>
      </c>
      <c r="G33" s="313" t="s">
        <v>1090</v>
      </c>
      <c r="H33" s="313" t="s">
        <v>126</v>
      </c>
      <c r="I33" s="314"/>
      <c r="J33" s="314">
        <v>195</v>
      </c>
      <c r="K33" s="313" t="s">
        <v>1091</v>
      </c>
      <c r="L33" s="109">
        <f>I33+J33*EERR!$D$2</f>
        <v>130143</v>
      </c>
      <c r="M33" s="109">
        <f>L33/EERR!$D$2</f>
        <v>195</v>
      </c>
      <c r="N33" s="109">
        <f>SUMIF(Abr!$B$3:$B$113,A33,Abr!$V$3:$V$113)</f>
        <v>0</v>
      </c>
      <c r="O33" s="182">
        <f t="shared" si="0"/>
        <v>1</v>
      </c>
    </row>
    <row r="34" spans="1:15" x14ac:dyDescent="0.25">
      <c r="A34" s="311">
        <v>1239</v>
      </c>
      <c r="B34" s="312" t="s">
        <v>1092</v>
      </c>
      <c r="C34" s="313" t="s">
        <v>250</v>
      </c>
      <c r="D34" s="313" t="s">
        <v>123</v>
      </c>
      <c r="E34" s="313" t="s">
        <v>124</v>
      </c>
      <c r="F34" s="313" t="s">
        <v>129</v>
      </c>
      <c r="G34" s="313" t="s">
        <v>480</v>
      </c>
      <c r="H34" s="313" t="s">
        <v>126</v>
      </c>
      <c r="I34" s="314"/>
      <c r="J34" s="314">
        <v>410</v>
      </c>
      <c r="K34" s="313" t="s">
        <v>1093</v>
      </c>
      <c r="L34" s="109">
        <f>I34+J34*EERR!$D$2</f>
        <v>273634</v>
      </c>
      <c r="M34" s="109">
        <f>L34/EERR!$D$2</f>
        <v>410</v>
      </c>
      <c r="N34" s="109">
        <f>SUMIF(Abr!$B$3:$B$113,A34,Abr!$V$3:$V$113)</f>
        <v>0</v>
      </c>
      <c r="O34" s="182">
        <f t="shared" si="0"/>
        <v>1</v>
      </c>
    </row>
    <row r="35" spans="1:15" x14ac:dyDescent="0.25">
      <c r="A35" s="311">
        <v>1240</v>
      </c>
      <c r="B35" s="312" t="s">
        <v>1094</v>
      </c>
      <c r="C35" s="313" t="s">
        <v>250</v>
      </c>
      <c r="D35" s="313" t="s">
        <v>123</v>
      </c>
      <c r="E35" s="313" t="s">
        <v>124</v>
      </c>
      <c r="F35" s="313" t="s">
        <v>128</v>
      </c>
      <c r="G35" s="313" t="s">
        <v>483</v>
      </c>
      <c r="H35" s="313" t="s">
        <v>126</v>
      </c>
      <c r="I35" s="314"/>
      <c r="J35" s="314">
        <v>615</v>
      </c>
      <c r="K35" s="313" t="s">
        <v>1095</v>
      </c>
      <c r="L35" s="109">
        <f>I35+J35*EERR!$D$2</f>
        <v>410451</v>
      </c>
      <c r="M35" s="109">
        <f>L35/EERR!$D$2</f>
        <v>615</v>
      </c>
      <c r="N35" s="109">
        <f>SUMIF(Abr!$B$3:$B$113,A35,Abr!$V$3:$V$113)</f>
        <v>0</v>
      </c>
      <c r="O35" s="182">
        <f t="shared" si="0"/>
        <v>1</v>
      </c>
    </row>
    <row r="36" spans="1:15" x14ac:dyDescent="0.25">
      <c r="A36" s="311">
        <v>1241</v>
      </c>
      <c r="B36" s="312" t="s">
        <v>1096</v>
      </c>
      <c r="C36" s="313" t="s">
        <v>250</v>
      </c>
      <c r="D36" s="313" t="s">
        <v>123</v>
      </c>
      <c r="E36" s="313" t="s">
        <v>124</v>
      </c>
      <c r="F36" s="313" t="s">
        <v>128</v>
      </c>
      <c r="G36" s="313" t="s">
        <v>1097</v>
      </c>
      <c r="H36" s="313" t="s">
        <v>126</v>
      </c>
      <c r="I36" s="314"/>
      <c r="J36" s="314">
        <v>25</v>
      </c>
      <c r="K36" s="313" t="s">
        <v>1098</v>
      </c>
      <c r="L36" s="109">
        <f>I36+J36*EERR!$D$2</f>
        <v>16685</v>
      </c>
      <c r="M36" s="109">
        <f>L36/EERR!$D$2</f>
        <v>25</v>
      </c>
      <c r="N36" s="109">
        <f>SUMIF(Abr!$B$3:$B$113,A36,Abr!$V$3:$V$113)</f>
        <v>0</v>
      </c>
      <c r="O36" s="182">
        <f t="shared" si="0"/>
        <v>1</v>
      </c>
    </row>
    <row r="37" spans="1:15" x14ac:dyDescent="0.25">
      <c r="A37" s="311">
        <v>1242</v>
      </c>
      <c r="B37" s="312" t="s">
        <v>1099</v>
      </c>
      <c r="C37" s="313" t="s">
        <v>250</v>
      </c>
      <c r="D37" s="313" t="s">
        <v>123</v>
      </c>
      <c r="E37" s="313" t="s">
        <v>124</v>
      </c>
      <c r="F37" s="313" t="s">
        <v>128</v>
      </c>
      <c r="G37" s="313" t="s">
        <v>1100</v>
      </c>
      <c r="H37" s="313" t="s">
        <v>126</v>
      </c>
      <c r="I37" s="314"/>
      <c r="J37" s="314">
        <v>200</v>
      </c>
      <c r="K37" s="313" t="s">
        <v>1101</v>
      </c>
      <c r="L37" s="109">
        <f>I37+J37*EERR!$D$2</f>
        <v>133480</v>
      </c>
      <c r="M37" s="109">
        <f>L37/EERR!$D$2</f>
        <v>200</v>
      </c>
      <c r="N37" s="109">
        <f>SUMIF(Abr!$B$3:$B$113,A37,Abr!$V$3:$V$113)</f>
        <v>0</v>
      </c>
      <c r="O37" s="182">
        <f t="shared" si="0"/>
        <v>1</v>
      </c>
    </row>
    <row r="38" spans="1:15" x14ac:dyDescent="0.25">
      <c r="A38" s="311">
        <v>1243</v>
      </c>
      <c r="B38" s="312" t="s">
        <v>1102</v>
      </c>
      <c r="C38" s="313" t="s">
        <v>250</v>
      </c>
      <c r="D38" s="313" t="s">
        <v>123</v>
      </c>
      <c r="E38" s="313" t="s">
        <v>124</v>
      </c>
      <c r="F38" s="313" t="s">
        <v>129</v>
      </c>
      <c r="G38" s="313" t="s">
        <v>1103</v>
      </c>
      <c r="H38" s="313" t="s">
        <v>126</v>
      </c>
      <c r="I38" s="314"/>
      <c r="J38" s="314">
        <v>615</v>
      </c>
      <c r="K38" s="313" t="s">
        <v>1104</v>
      </c>
      <c r="L38" s="109">
        <f>I38+J38*EERR!$D$2</f>
        <v>410451</v>
      </c>
      <c r="M38" s="109">
        <f>L38/EERR!$D$2</f>
        <v>615</v>
      </c>
      <c r="N38" s="109">
        <f>SUMIF(Abr!$B$3:$B$113,A38,Abr!$V$3:$V$113)</f>
        <v>0</v>
      </c>
      <c r="O38" s="182">
        <f t="shared" si="0"/>
        <v>1</v>
      </c>
    </row>
    <row r="39" spans="1:15" x14ac:dyDescent="0.25">
      <c r="A39" s="311">
        <v>1244</v>
      </c>
      <c r="B39" s="312" t="s">
        <v>1105</v>
      </c>
      <c r="C39" s="313" t="s">
        <v>250</v>
      </c>
      <c r="D39" s="313" t="s">
        <v>123</v>
      </c>
      <c r="E39" s="313" t="s">
        <v>124</v>
      </c>
      <c r="F39" s="313" t="s">
        <v>129</v>
      </c>
      <c r="G39" s="313" t="s">
        <v>1106</v>
      </c>
      <c r="H39" s="313" t="s">
        <v>126</v>
      </c>
      <c r="I39" s="314"/>
      <c r="J39" s="314">
        <v>205</v>
      </c>
      <c r="K39" s="313" t="s">
        <v>1107</v>
      </c>
      <c r="L39" s="109">
        <f>I39+J39*EERR!$D$2</f>
        <v>136817</v>
      </c>
      <c r="M39" s="109">
        <f>L39/EERR!$D$2</f>
        <v>205</v>
      </c>
      <c r="N39" s="109">
        <f>SUMIF(Abr!$B$3:$B$113,A39,Abr!$V$3:$V$113)</f>
        <v>0</v>
      </c>
      <c r="O39" s="182">
        <f t="shared" si="0"/>
        <v>1</v>
      </c>
    </row>
    <row r="40" spans="1:15" x14ac:dyDescent="0.25">
      <c r="A40" s="311">
        <v>1245</v>
      </c>
      <c r="B40" s="312" t="s">
        <v>1108</v>
      </c>
      <c r="C40" s="313" t="s">
        <v>250</v>
      </c>
      <c r="D40" s="313" t="s">
        <v>123</v>
      </c>
      <c r="E40" s="313" t="s">
        <v>124</v>
      </c>
      <c r="F40" s="313" t="s">
        <v>128</v>
      </c>
      <c r="G40" s="313" t="s">
        <v>1109</v>
      </c>
      <c r="H40" s="313" t="s">
        <v>126</v>
      </c>
      <c r="I40" s="314"/>
      <c r="J40" s="314">
        <v>410</v>
      </c>
      <c r="K40" s="313" t="s">
        <v>1110</v>
      </c>
      <c r="L40" s="109">
        <f>I40+J40*EERR!$D$2</f>
        <v>273634</v>
      </c>
      <c r="M40" s="109">
        <f>L40/EERR!$D$2</f>
        <v>410</v>
      </c>
      <c r="N40" s="109">
        <f>SUMIF(Abr!$B$3:$B$113,A40,Abr!$V$3:$V$113)</f>
        <v>0</v>
      </c>
      <c r="O40" s="182">
        <f t="shared" si="0"/>
        <v>1</v>
      </c>
    </row>
    <row r="41" spans="1:15" x14ac:dyDescent="0.25">
      <c r="A41" s="311">
        <v>1246</v>
      </c>
      <c r="B41" s="312" t="s">
        <v>1111</v>
      </c>
      <c r="C41" s="313" t="s">
        <v>250</v>
      </c>
      <c r="D41" s="313" t="s">
        <v>123</v>
      </c>
      <c r="E41" s="313" t="s">
        <v>124</v>
      </c>
      <c r="F41" s="313" t="s">
        <v>128</v>
      </c>
      <c r="G41" s="313" t="s">
        <v>1112</v>
      </c>
      <c r="H41" s="313" t="s">
        <v>126</v>
      </c>
      <c r="I41" s="314"/>
      <c r="J41" s="314">
        <v>410</v>
      </c>
      <c r="K41" s="313" t="s">
        <v>1113</v>
      </c>
      <c r="L41" s="109">
        <f>I41+J41*EERR!$D$2</f>
        <v>273634</v>
      </c>
      <c r="M41" s="109">
        <f>L41/EERR!$D$2</f>
        <v>410</v>
      </c>
      <c r="N41" s="109">
        <f>SUMIF(Abr!$B$3:$B$113,A41,Abr!$V$3:$V$113)</f>
        <v>0</v>
      </c>
      <c r="O41" s="182">
        <f t="shared" si="0"/>
        <v>1</v>
      </c>
    </row>
    <row r="42" spans="1:15" x14ac:dyDescent="0.25">
      <c r="A42" s="311">
        <v>1247</v>
      </c>
      <c r="B42" s="312" t="s">
        <v>1114</v>
      </c>
      <c r="C42" s="313" t="s">
        <v>250</v>
      </c>
      <c r="D42" s="313" t="s">
        <v>123</v>
      </c>
      <c r="E42" s="313" t="s">
        <v>124</v>
      </c>
      <c r="F42" s="313" t="s">
        <v>129</v>
      </c>
      <c r="G42" s="313" t="s">
        <v>1115</v>
      </c>
      <c r="H42" s="313" t="s">
        <v>126</v>
      </c>
      <c r="I42" s="314"/>
      <c r="J42" s="314">
        <v>200</v>
      </c>
      <c r="K42" s="313" t="s">
        <v>1116</v>
      </c>
      <c r="L42" s="109">
        <f>I42+J42*EERR!$D$2</f>
        <v>133480</v>
      </c>
      <c r="M42" s="109">
        <f>L42/EERR!$D$2</f>
        <v>200</v>
      </c>
      <c r="N42" s="109">
        <f>SUMIF(Abr!$B$3:$B$113,A42,Abr!$V$3:$V$113)</f>
        <v>0</v>
      </c>
      <c r="O42" s="182">
        <f t="shared" si="0"/>
        <v>1</v>
      </c>
    </row>
    <row r="43" spans="1:15" x14ac:dyDescent="0.25">
      <c r="A43" s="311">
        <v>1248</v>
      </c>
      <c r="B43" s="312" t="s">
        <v>1117</v>
      </c>
      <c r="C43" s="313" t="s">
        <v>250</v>
      </c>
      <c r="D43" s="313" t="s">
        <v>123</v>
      </c>
      <c r="E43" s="313" t="s">
        <v>124</v>
      </c>
      <c r="F43" s="313" t="s">
        <v>129</v>
      </c>
      <c r="G43" s="313" t="s">
        <v>1118</v>
      </c>
      <c r="H43" s="313" t="s">
        <v>126</v>
      </c>
      <c r="I43" s="314"/>
      <c r="J43" s="314">
        <v>205</v>
      </c>
      <c r="K43" s="313" t="s">
        <v>1119</v>
      </c>
      <c r="L43" s="109">
        <f>I43+J43*EERR!$D$2</f>
        <v>136817</v>
      </c>
      <c r="M43" s="109">
        <f>L43/EERR!$D$2</f>
        <v>205</v>
      </c>
      <c r="N43" s="109">
        <f>SUMIF(Abr!$B$3:$B$113,A43,Abr!$V$3:$V$113)</f>
        <v>0</v>
      </c>
      <c r="O43" s="182">
        <f t="shared" si="0"/>
        <v>1</v>
      </c>
    </row>
    <row r="44" spans="1:15" x14ac:dyDescent="0.25">
      <c r="A44" s="311">
        <v>1249</v>
      </c>
      <c r="B44" s="312" t="s">
        <v>1120</v>
      </c>
      <c r="C44" s="313" t="s">
        <v>250</v>
      </c>
      <c r="D44" s="313" t="s">
        <v>123</v>
      </c>
      <c r="E44" s="313" t="s">
        <v>124</v>
      </c>
      <c r="F44" s="313" t="s">
        <v>129</v>
      </c>
      <c r="G44" s="313" t="s">
        <v>528</v>
      </c>
      <c r="H44" s="313" t="s">
        <v>126</v>
      </c>
      <c r="I44" s="314"/>
      <c r="J44" s="314">
        <v>410</v>
      </c>
      <c r="K44" s="313" t="s">
        <v>1121</v>
      </c>
      <c r="L44" s="109">
        <f>I44+J44*EERR!$D$2</f>
        <v>273634</v>
      </c>
      <c r="M44" s="109">
        <f>L44/EERR!$D$2</f>
        <v>410</v>
      </c>
      <c r="N44" s="109">
        <f>SUMIF(Abr!$B$3:$B$113,A44,Abr!$V$3:$V$113)</f>
        <v>0</v>
      </c>
      <c r="O44" s="182">
        <f t="shared" si="0"/>
        <v>1</v>
      </c>
    </row>
    <row r="45" spans="1:15" x14ac:dyDescent="0.25">
      <c r="A45" s="311">
        <v>1250</v>
      </c>
      <c r="B45" s="312" t="s">
        <v>1122</v>
      </c>
      <c r="C45" s="313" t="s">
        <v>250</v>
      </c>
      <c r="D45" s="313" t="s">
        <v>123</v>
      </c>
      <c r="E45" s="313" t="s">
        <v>124</v>
      </c>
      <c r="F45" s="313" t="s">
        <v>129</v>
      </c>
      <c r="G45" s="313" t="s">
        <v>1123</v>
      </c>
      <c r="H45" s="313" t="s">
        <v>126</v>
      </c>
      <c r="I45" s="314"/>
      <c r="J45" s="314">
        <v>205</v>
      </c>
      <c r="K45" s="313" t="s">
        <v>1124</v>
      </c>
      <c r="L45" s="109">
        <f>I45+J45*EERR!$D$2</f>
        <v>136817</v>
      </c>
      <c r="M45" s="109">
        <f>L45/EERR!$D$2</f>
        <v>205</v>
      </c>
      <c r="N45" s="109">
        <f>SUMIF(Abr!$B$3:$B$113,A45,Abr!$V$3:$V$113)</f>
        <v>273634</v>
      </c>
      <c r="O45" s="182">
        <f t="shared" si="0"/>
        <v>1</v>
      </c>
    </row>
    <row r="46" spans="1:15" x14ac:dyDescent="0.25">
      <c r="A46" s="311">
        <v>1251</v>
      </c>
      <c r="B46" s="312" t="s">
        <v>1125</v>
      </c>
      <c r="C46" s="313" t="s">
        <v>250</v>
      </c>
      <c r="D46" s="313" t="s">
        <v>123</v>
      </c>
      <c r="E46" s="313" t="s">
        <v>124</v>
      </c>
      <c r="F46" s="313" t="s">
        <v>128</v>
      </c>
      <c r="G46" s="313" t="s">
        <v>555</v>
      </c>
      <c r="H46" s="313" t="s">
        <v>126</v>
      </c>
      <c r="I46" s="314"/>
      <c r="J46" s="314">
        <v>615</v>
      </c>
      <c r="K46" s="313" t="s">
        <v>1126</v>
      </c>
      <c r="L46" s="109">
        <f>I46+J46*EERR!$D$2</f>
        <v>410451</v>
      </c>
      <c r="M46" s="109">
        <f>L46/EERR!$D$2</f>
        <v>615</v>
      </c>
      <c r="N46" s="109">
        <f>SUMIF(Abr!$B$3:$B$113,A46,Abr!$V$3:$V$113)</f>
        <v>0</v>
      </c>
      <c r="O46" s="182">
        <f t="shared" si="0"/>
        <v>1</v>
      </c>
    </row>
    <row r="47" spans="1:15" x14ac:dyDescent="0.25">
      <c r="A47" s="311">
        <v>1252</v>
      </c>
      <c r="B47" s="312" t="s">
        <v>1127</v>
      </c>
      <c r="C47" s="313" t="s">
        <v>250</v>
      </c>
      <c r="D47" s="313" t="s">
        <v>123</v>
      </c>
      <c r="E47" s="313" t="s">
        <v>124</v>
      </c>
      <c r="F47" s="313" t="s">
        <v>128</v>
      </c>
      <c r="G47" s="313" t="s">
        <v>555</v>
      </c>
      <c r="H47" s="313" t="s">
        <v>126</v>
      </c>
      <c r="I47" s="314"/>
      <c r="J47" s="314">
        <v>584.25</v>
      </c>
      <c r="K47" s="313" t="s">
        <v>1128</v>
      </c>
      <c r="L47" s="109">
        <f>I47+J47*EERR!$D$2</f>
        <v>389928.45</v>
      </c>
      <c r="M47" s="109">
        <f>L47/EERR!$D$2</f>
        <v>584.25</v>
      </c>
      <c r="N47" s="109">
        <f>SUMIF(Abr!$B$3:$B$113,A47,Abr!$V$3:$V$113)</f>
        <v>0</v>
      </c>
      <c r="O47" s="182">
        <f t="shared" si="0"/>
        <v>1</v>
      </c>
    </row>
    <row r="48" spans="1:15" x14ac:dyDescent="0.25">
      <c r="A48" s="311">
        <v>1253</v>
      </c>
      <c r="B48" s="312" t="s">
        <v>1129</v>
      </c>
      <c r="C48" s="313" t="s">
        <v>250</v>
      </c>
      <c r="D48" s="313" t="s">
        <v>123</v>
      </c>
      <c r="E48" s="313" t="s">
        <v>124</v>
      </c>
      <c r="F48" s="313" t="s">
        <v>129</v>
      </c>
      <c r="G48" s="313" t="s">
        <v>1130</v>
      </c>
      <c r="H48" s="313" t="s">
        <v>126</v>
      </c>
      <c r="I48" s="314"/>
      <c r="J48" s="314">
        <v>195</v>
      </c>
      <c r="K48" s="313" t="s">
        <v>1131</v>
      </c>
      <c r="L48" s="109">
        <f>I48+J48*EERR!$D$2</f>
        <v>130143</v>
      </c>
      <c r="M48" s="109">
        <f>L48/EERR!$D$2</f>
        <v>195</v>
      </c>
      <c r="N48" s="109">
        <f>SUMIF(Abr!$B$3:$B$113,A48,Abr!$V$3:$V$113)</f>
        <v>266960</v>
      </c>
      <c r="O48" s="182">
        <f t="shared" si="0"/>
        <v>1</v>
      </c>
    </row>
    <row r="49" spans="1:15" x14ac:dyDescent="0.25">
      <c r="A49" s="311">
        <v>1254</v>
      </c>
      <c r="B49" s="312" t="s">
        <v>1132</v>
      </c>
      <c r="C49" s="313" t="s">
        <v>250</v>
      </c>
      <c r="D49" s="313" t="s">
        <v>123</v>
      </c>
      <c r="E49" s="313" t="s">
        <v>124</v>
      </c>
      <c r="F49" s="313" t="s">
        <v>128</v>
      </c>
      <c r="G49" s="313" t="s">
        <v>1133</v>
      </c>
      <c r="H49" s="313" t="s">
        <v>126</v>
      </c>
      <c r="I49" s="314"/>
      <c r="J49" s="314">
        <v>195</v>
      </c>
      <c r="K49" s="313" t="s">
        <v>1134</v>
      </c>
      <c r="L49" s="109">
        <f>I49+J49*EERR!$D$2</f>
        <v>130143</v>
      </c>
      <c r="M49" s="109">
        <f>L49/EERR!$D$2</f>
        <v>195</v>
      </c>
      <c r="N49" s="109">
        <f>SUMIF(Abr!$B$3:$B$113,A49,Abr!$V$3:$V$113)</f>
        <v>397103</v>
      </c>
      <c r="O49" s="182">
        <f t="shared" si="0"/>
        <v>1</v>
      </c>
    </row>
    <row r="50" spans="1:15" x14ac:dyDescent="0.25">
      <c r="A50" s="311">
        <v>1255</v>
      </c>
      <c r="B50" s="312" t="s">
        <v>1135</v>
      </c>
      <c r="C50" s="313" t="s">
        <v>250</v>
      </c>
      <c r="D50" s="313" t="s">
        <v>123</v>
      </c>
      <c r="E50" s="313" t="s">
        <v>124</v>
      </c>
      <c r="F50" s="313" t="s">
        <v>128</v>
      </c>
      <c r="G50" s="313" t="s">
        <v>1136</v>
      </c>
      <c r="H50" s="313" t="s">
        <v>126</v>
      </c>
      <c r="I50" s="314"/>
      <c r="J50" s="314">
        <v>205</v>
      </c>
      <c r="K50" s="313" t="s">
        <v>1137</v>
      </c>
      <c r="L50" s="109">
        <f>I50+J50*EERR!$D$2</f>
        <v>136817</v>
      </c>
      <c r="M50" s="109">
        <f>L50/EERR!$D$2</f>
        <v>205</v>
      </c>
      <c r="N50" s="109">
        <f>SUMIF(Abr!$B$3:$B$113,A50,Abr!$V$3:$V$113)</f>
        <v>0</v>
      </c>
      <c r="O50" s="182">
        <f t="shared" si="0"/>
        <v>1</v>
      </c>
    </row>
    <row r="51" spans="1:15" x14ac:dyDescent="0.25">
      <c r="A51" s="311">
        <v>1256</v>
      </c>
      <c r="B51" s="312" t="s">
        <v>1138</v>
      </c>
      <c r="C51" s="313" t="s">
        <v>250</v>
      </c>
      <c r="D51" s="313" t="s">
        <v>123</v>
      </c>
      <c r="E51" s="313" t="s">
        <v>124</v>
      </c>
      <c r="F51" s="313" t="s">
        <v>129</v>
      </c>
      <c r="G51" s="313" t="s">
        <v>1139</v>
      </c>
      <c r="H51" s="313" t="s">
        <v>126</v>
      </c>
      <c r="I51" s="314"/>
      <c r="J51" s="314">
        <v>200</v>
      </c>
      <c r="K51" s="313" t="s">
        <v>1140</v>
      </c>
      <c r="L51" s="109">
        <f>I51+J51*EERR!$D$2</f>
        <v>133480</v>
      </c>
      <c r="M51" s="109">
        <f>L51/EERR!$D$2</f>
        <v>200</v>
      </c>
      <c r="N51" s="109">
        <f>SUMIF(Abr!$B$3:$B$113,A51,Abr!$V$3:$V$113)</f>
        <v>0</v>
      </c>
      <c r="O51" s="182">
        <f t="shared" si="0"/>
        <v>1</v>
      </c>
    </row>
    <row r="52" spans="1:15" x14ac:dyDescent="0.25">
      <c r="A52" s="311">
        <v>1257</v>
      </c>
      <c r="B52" s="312" t="s">
        <v>1141</v>
      </c>
      <c r="C52" s="313" t="s">
        <v>250</v>
      </c>
      <c r="D52" s="313" t="s">
        <v>123</v>
      </c>
      <c r="E52" s="313" t="s">
        <v>124</v>
      </c>
      <c r="F52" s="313" t="s">
        <v>128</v>
      </c>
      <c r="G52" s="313" t="s">
        <v>1142</v>
      </c>
      <c r="H52" s="313" t="s">
        <v>126</v>
      </c>
      <c r="I52" s="314"/>
      <c r="J52" s="314">
        <v>240</v>
      </c>
      <c r="K52" s="313" t="s">
        <v>1143</v>
      </c>
      <c r="L52" s="109">
        <f>I52+J52*EERR!$D$2</f>
        <v>160176</v>
      </c>
      <c r="M52" s="109">
        <f>L52/EERR!$D$2</f>
        <v>240</v>
      </c>
      <c r="N52" s="109">
        <f>SUMIF(Abr!$B$3:$B$113,A52,Abr!$V$3:$V$113)</f>
        <v>0</v>
      </c>
      <c r="O52" s="182">
        <f t="shared" si="0"/>
        <v>1</v>
      </c>
    </row>
    <row r="53" spans="1:15" x14ac:dyDescent="0.25">
      <c r="A53" s="311">
        <v>1258</v>
      </c>
      <c r="B53" s="312" t="s">
        <v>1144</v>
      </c>
      <c r="C53" s="313" t="s">
        <v>250</v>
      </c>
      <c r="D53" s="313" t="s">
        <v>123</v>
      </c>
      <c r="E53" s="313" t="s">
        <v>124</v>
      </c>
      <c r="F53" s="313" t="s">
        <v>128</v>
      </c>
      <c r="G53" s="313" t="s">
        <v>1145</v>
      </c>
      <c r="H53" s="313" t="s">
        <v>126</v>
      </c>
      <c r="I53" s="314"/>
      <c r="J53" s="314">
        <v>205</v>
      </c>
      <c r="K53" s="313" t="s">
        <v>1146</v>
      </c>
      <c r="L53" s="109">
        <f>I53+J53*EERR!$D$2</f>
        <v>136817</v>
      </c>
      <c r="M53" s="109">
        <f>L53/EERR!$D$2</f>
        <v>205</v>
      </c>
      <c r="N53" s="109">
        <f>SUMIF(Abr!$B$3:$B$113,A53,Abr!$V$3:$V$113)</f>
        <v>0</v>
      </c>
      <c r="O53" s="182">
        <f t="shared" si="0"/>
        <v>1</v>
      </c>
    </row>
    <row r="54" spans="1:15" x14ac:dyDescent="0.25">
      <c r="A54" s="311">
        <v>1259</v>
      </c>
      <c r="B54" s="312" t="s">
        <v>1147</v>
      </c>
      <c r="C54" s="313" t="s">
        <v>250</v>
      </c>
      <c r="D54" s="313" t="s">
        <v>123</v>
      </c>
      <c r="E54" s="313" t="s">
        <v>124</v>
      </c>
      <c r="F54" s="313" t="s">
        <v>129</v>
      </c>
      <c r="G54" s="313" t="s">
        <v>1148</v>
      </c>
      <c r="H54" s="313" t="s">
        <v>126</v>
      </c>
      <c r="I54" s="314"/>
      <c r="J54" s="314">
        <v>101</v>
      </c>
      <c r="K54" s="313" t="s">
        <v>1149</v>
      </c>
      <c r="L54" s="109">
        <f>I54+J54*EERR!$D$2</f>
        <v>67407.399999999994</v>
      </c>
      <c r="M54" s="109">
        <f>L54/EERR!$D$2</f>
        <v>101</v>
      </c>
      <c r="N54" s="109">
        <f>SUMIF(Abr!$B$3:$B$113,A54,Abr!$V$3:$V$113)</f>
        <v>0</v>
      </c>
      <c r="O54" s="182">
        <f t="shared" si="0"/>
        <v>1</v>
      </c>
    </row>
    <row r="55" spans="1:15" x14ac:dyDescent="0.25">
      <c r="A55" s="311">
        <v>1260</v>
      </c>
      <c r="B55" s="312" t="s">
        <v>1150</v>
      </c>
      <c r="C55" s="313" t="s">
        <v>250</v>
      </c>
      <c r="D55" s="313" t="s">
        <v>123</v>
      </c>
      <c r="E55" s="313" t="s">
        <v>124</v>
      </c>
      <c r="F55" s="313" t="s">
        <v>129</v>
      </c>
      <c r="G55" s="313" t="s">
        <v>736</v>
      </c>
      <c r="H55" s="313" t="s">
        <v>126</v>
      </c>
      <c r="I55" s="314"/>
      <c r="J55" s="314">
        <v>37.049999999999997</v>
      </c>
      <c r="K55" s="313" t="s">
        <v>1151</v>
      </c>
      <c r="L55" s="109">
        <f>I55+J55*EERR!$D$2</f>
        <v>24727.17</v>
      </c>
      <c r="M55" s="109">
        <f>L55/EERR!$D$2</f>
        <v>37.049999999999997</v>
      </c>
      <c r="N55" s="109">
        <f>SUMIF(Abr!$B$3:$B$113,A55,Abr!$V$3:$V$113)</f>
        <v>0</v>
      </c>
      <c r="O55" s="182">
        <f t="shared" si="0"/>
        <v>1</v>
      </c>
    </row>
    <row r="56" spans="1:15" x14ac:dyDescent="0.25">
      <c r="A56" s="315">
        <v>1260</v>
      </c>
      <c r="B56" s="326" t="s">
        <v>1150</v>
      </c>
      <c r="C56" s="316" t="s">
        <v>250</v>
      </c>
      <c r="D56" s="316" t="s">
        <v>123</v>
      </c>
      <c r="E56" s="316" t="s">
        <v>320</v>
      </c>
      <c r="F56" s="316" t="s">
        <v>129</v>
      </c>
      <c r="G56" s="316" t="s">
        <v>736</v>
      </c>
      <c r="H56" s="316" t="s">
        <v>126</v>
      </c>
      <c r="I56" s="317"/>
      <c r="J56" s="317">
        <v>-37.049999999999997</v>
      </c>
      <c r="K56" s="313" t="s">
        <v>1151</v>
      </c>
      <c r="L56" s="109">
        <f>I56+J56*EERR!$D$2</f>
        <v>-24727.17</v>
      </c>
      <c r="M56" s="109">
        <f>L56/EERR!$D$2</f>
        <v>-37.049999999999997</v>
      </c>
      <c r="N56" s="109">
        <f>SUMIF(Abr!$B$3:$B$113,A56,Abr!$V$3:$V$113)</f>
        <v>0</v>
      </c>
      <c r="O56" s="182">
        <f t="shared" si="0"/>
        <v>0</v>
      </c>
    </row>
    <row r="57" spans="1:15" x14ac:dyDescent="0.25">
      <c r="A57" s="311">
        <v>1261</v>
      </c>
      <c r="B57" s="312" t="s">
        <v>1152</v>
      </c>
      <c r="C57" s="313" t="s">
        <v>250</v>
      </c>
      <c r="D57" s="313" t="s">
        <v>123</v>
      </c>
      <c r="E57" s="313" t="s">
        <v>124</v>
      </c>
      <c r="F57" s="313" t="s">
        <v>128</v>
      </c>
      <c r="G57" s="313" t="s">
        <v>1153</v>
      </c>
      <c r="H57" s="313" t="s">
        <v>126</v>
      </c>
      <c r="I57" s="314"/>
      <c r="J57" s="314">
        <v>195</v>
      </c>
      <c r="K57" s="313" t="s">
        <v>1154</v>
      </c>
      <c r="L57" s="109">
        <f>I57+J57*EERR!$D$2</f>
        <v>130143</v>
      </c>
      <c r="M57" s="109">
        <f>L57/EERR!$D$2</f>
        <v>195</v>
      </c>
      <c r="N57" s="109">
        <f>SUMIF(Abr!$B$3:$B$113,A57,Abr!$V$3:$V$113)</f>
        <v>130143</v>
      </c>
      <c r="O57" s="182">
        <f t="shared" si="0"/>
        <v>1</v>
      </c>
    </row>
    <row r="58" spans="1:15" x14ac:dyDescent="0.25">
      <c r="A58" s="311">
        <v>1262</v>
      </c>
      <c r="B58" s="312" t="s">
        <v>1155</v>
      </c>
      <c r="C58" s="313" t="s">
        <v>249</v>
      </c>
      <c r="D58" s="313" t="s">
        <v>123</v>
      </c>
      <c r="E58" s="313" t="s">
        <v>127</v>
      </c>
      <c r="F58" s="313" t="s">
        <v>129</v>
      </c>
      <c r="G58" s="313" t="s">
        <v>1156</v>
      </c>
      <c r="H58" s="313" t="s">
        <v>1157</v>
      </c>
      <c r="I58" s="314">
        <v>146156</v>
      </c>
      <c r="J58" s="314"/>
      <c r="K58" s="313" t="s">
        <v>1158</v>
      </c>
      <c r="L58" s="109">
        <f>I58+J58*EERR!$D$2</f>
        <v>146156</v>
      </c>
      <c r="M58" s="109">
        <f>L58/EERR!$D$2</f>
        <v>218.99310758166018</v>
      </c>
      <c r="N58" s="109">
        <f>SUMIF(Abr!$B$3:$B$113,A58,Abr!$V$3:$V$113)</f>
        <v>146156</v>
      </c>
      <c r="O58" s="182">
        <f t="shared" si="0"/>
        <v>1</v>
      </c>
    </row>
    <row r="59" spans="1:15" x14ac:dyDescent="0.25">
      <c r="A59" s="311">
        <v>1263</v>
      </c>
      <c r="B59" s="312" t="s">
        <v>1159</v>
      </c>
      <c r="C59" s="313" t="s">
        <v>250</v>
      </c>
      <c r="D59" s="313" t="s">
        <v>123</v>
      </c>
      <c r="E59" s="313" t="s">
        <v>124</v>
      </c>
      <c r="F59" s="313" t="s">
        <v>128</v>
      </c>
      <c r="G59" s="313" t="s">
        <v>1160</v>
      </c>
      <c r="H59" s="313" t="s">
        <v>126</v>
      </c>
      <c r="I59" s="314"/>
      <c r="J59" s="314">
        <v>605</v>
      </c>
      <c r="K59" s="313" t="s">
        <v>1161</v>
      </c>
      <c r="L59" s="109">
        <f>I59+J59*EERR!$D$2</f>
        <v>403777</v>
      </c>
      <c r="M59" s="109">
        <f>L59/EERR!$D$2</f>
        <v>605</v>
      </c>
      <c r="N59" s="109">
        <f>SUMIF(Abr!$B$3:$B$113,A59,Abr!$V$3:$V$113)</f>
        <v>0</v>
      </c>
      <c r="O59" s="182">
        <f t="shared" si="0"/>
        <v>1</v>
      </c>
    </row>
    <row r="60" spans="1:15" x14ac:dyDescent="0.25">
      <c r="A60" s="311">
        <v>1264</v>
      </c>
      <c r="B60" s="312" t="s">
        <v>1162</v>
      </c>
      <c r="C60" s="313" t="s">
        <v>250</v>
      </c>
      <c r="D60" s="313" t="s">
        <v>123</v>
      </c>
      <c r="E60" s="313" t="s">
        <v>124</v>
      </c>
      <c r="F60" s="313" t="s">
        <v>129</v>
      </c>
      <c r="G60" s="313" t="s">
        <v>1130</v>
      </c>
      <c r="H60" s="313" t="s">
        <v>126</v>
      </c>
      <c r="I60" s="314"/>
      <c r="J60" s="314">
        <v>205</v>
      </c>
      <c r="K60" s="313" t="s">
        <v>1163</v>
      </c>
      <c r="L60" s="109">
        <f>I60+J60*EERR!$D$2</f>
        <v>136817</v>
      </c>
      <c r="M60" s="109">
        <f>L60/EERR!$D$2</f>
        <v>205</v>
      </c>
      <c r="N60" s="109">
        <f>SUMIF(Abr!$B$3:$B$113,A60,Abr!$V$3:$V$113)</f>
        <v>0</v>
      </c>
      <c r="O60" s="182">
        <f t="shared" si="0"/>
        <v>1</v>
      </c>
    </row>
    <row r="61" spans="1:15" x14ac:dyDescent="0.25">
      <c r="A61" s="311">
        <v>1265</v>
      </c>
      <c r="B61" s="312" t="s">
        <v>1164</v>
      </c>
      <c r="C61" s="313" t="s">
        <v>250</v>
      </c>
      <c r="D61" s="313" t="s">
        <v>123</v>
      </c>
      <c r="E61" s="313" t="s">
        <v>124</v>
      </c>
      <c r="F61" s="313" t="s">
        <v>129</v>
      </c>
      <c r="G61" s="313" t="s">
        <v>613</v>
      </c>
      <c r="H61" s="313" t="s">
        <v>126</v>
      </c>
      <c r="I61" s="314"/>
      <c r="J61" s="314">
        <v>230</v>
      </c>
      <c r="K61" s="313" t="s">
        <v>1165</v>
      </c>
      <c r="L61" s="109">
        <f>I61+J61*EERR!$D$2</f>
        <v>153502</v>
      </c>
      <c r="M61" s="109">
        <f>L61/EERR!$D$2</f>
        <v>230</v>
      </c>
      <c r="N61" s="109">
        <f>SUMIF(Abr!$B$3:$B$113,A61,Abr!$V$3:$V$113)</f>
        <v>0</v>
      </c>
      <c r="O61" s="182">
        <f t="shared" si="0"/>
        <v>1</v>
      </c>
    </row>
    <row r="62" spans="1:15" x14ac:dyDescent="0.25">
      <c r="A62" s="311">
        <v>1266</v>
      </c>
      <c r="B62" s="312" t="s">
        <v>1166</v>
      </c>
      <c r="C62" s="313" t="s">
        <v>250</v>
      </c>
      <c r="D62" s="313" t="s">
        <v>123</v>
      </c>
      <c r="E62" s="313" t="s">
        <v>124</v>
      </c>
      <c r="F62" s="313" t="s">
        <v>128</v>
      </c>
      <c r="G62" s="313" t="s">
        <v>631</v>
      </c>
      <c r="H62" s="313" t="s">
        <v>126</v>
      </c>
      <c r="I62" s="314"/>
      <c r="J62" s="314">
        <v>460</v>
      </c>
      <c r="K62" s="313" t="s">
        <v>1167</v>
      </c>
      <c r="L62" s="109">
        <f>I62+J62*EERR!$D$2</f>
        <v>307004</v>
      </c>
      <c r="M62" s="109">
        <f>L62/EERR!$D$2</f>
        <v>460</v>
      </c>
      <c r="N62" s="109">
        <f>SUMIF(Abr!$B$3:$B$113,A62,Abr!$V$3:$V$113)</f>
        <v>0</v>
      </c>
      <c r="O62" s="182">
        <f t="shared" si="0"/>
        <v>1</v>
      </c>
    </row>
    <row r="63" spans="1:15" x14ac:dyDescent="0.25">
      <c r="A63" s="311">
        <v>1267</v>
      </c>
      <c r="B63" s="312" t="s">
        <v>1168</v>
      </c>
      <c r="C63" s="313" t="s">
        <v>250</v>
      </c>
      <c r="D63" s="313" t="s">
        <v>123</v>
      </c>
      <c r="E63" s="313" t="s">
        <v>124</v>
      </c>
      <c r="F63" s="313" t="s">
        <v>125</v>
      </c>
      <c r="G63" s="313" t="s">
        <v>1169</v>
      </c>
      <c r="H63" s="313" t="s">
        <v>126</v>
      </c>
      <c r="I63" s="314"/>
      <c r="J63" s="314">
        <v>230</v>
      </c>
      <c r="K63" s="313" t="s">
        <v>1170</v>
      </c>
      <c r="L63" s="109">
        <f>I63+J63*EERR!$D$2</f>
        <v>153502</v>
      </c>
      <c r="M63" s="109">
        <f>L63/EERR!$D$2</f>
        <v>230</v>
      </c>
      <c r="N63" s="109">
        <f>SUMIF(Abr!$B$3:$B$113,A63,Abr!$V$3:$V$113)</f>
        <v>0</v>
      </c>
      <c r="O63" s="182">
        <f t="shared" si="0"/>
        <v>1</v>
      </c>
    </row>
    <row r="64" spans="1:15" x14ac:dyDescent="0.25">
      <c r="A64" s="311">
        <v>1268</v>
      </c>
      <c r="B64" s="312" t="s">
        <v>1171</v>
      </c>
      <c r="C64" s="313" t="s">
        <v>249</v>
      </c>
      <c r="D64" s="313" t="s">
        <v>123</v>
      </c>
      <c r="E64" s="313" t="s">
        <v>127</v>
      </c>
      <c r="F64" s="313" t="s">
        <v>129</v>
      </c>
      <c r="G64" s="313" t="s">
        <v>594</v>
      </c>
      <c r="H64" s="313" t="s">
        <v>127</v>
      </c>
      <c r="I64" s="314">
        <v>483753</v>
      </c>
      <c r="J64" s="314"/>
      <c r="K64" s="313" t="s">
        <v>1172</v>
      </c>
      <c r="L64" s="109">
        <f>I64+J64*EERR!$D$2</f>
        <v>483753</v>
      </c>
      <c r="M64" s="109">
        <f>L64/EERR!$D$2</f>
        <v>724.83218459694342</v>
      </c>
      <c r="N64" s="109">
        <f>SUMIF(Abr!$B$3:$B$113,A64,Abr!$V$3:$V$113)</f>
        <v>0</v>
      </c>
      <c r="O64" s="182">
        <f t="shared" si="0"/>
        <v>1</v>
      </c>
    </row>
    <row r="65" spans="1:15" x14ac:dyDescent="0.25">
      <c r="A65" s="311">
        <v>1269</v>
      </c>
      <c r="B65" s="312" t="s">
        <v>1173</v>
      </c>
      <c r="C65" s="313" t="s">
        <v>250</v>
      </c>
      <c r="D65" s="313" t="s">
        <v>123</v>
      </c>
      <c r="E65" s="313" t="s">
        <v>124</v>
      </c>
      <c r="F65" s="313" t="s">
        <v>129</v>
      </c>
      <c r="G65" s="313" t="s">
        <v>1174</v>
      </c>
      <c r="H65" s="313" t="s">
        <v>126</v>
      </c>
      <c r="I65" s="314"/>
      <c r="J65" s="314">
        <v>185.25</v>
      </c>
      <c r="K65" s="313" t="s">
        <v>1175</v>
      </c>
      <c r="L65" s="109">
        <f>I65+J65*EERR!$D$2</f>
        <v>123635.84999999999</v>
      </c>
      <c r="M65" s="109">
        <f>L65/EERR!$D$2</f>
        <v>185.25</v>
      </c>
      <c r="N65" s="109">
        <f>SUMIF(Abr!$B$3:$B$113,A65,Abr!$V$3:$V$113)</f>
        <v>630859.85</v>
      </c>
      <c r="O65" s="182">
        <f t="shared" si="0"/>
        <v>1</v>
      </c>
    </row>
    <row r="66" spans="1:15" x14ac:dyDescent="0.25">
      <c r="A66" s="311">
        <v>1270</v>
      </c>
      <c r="B66" s="312" t="s">
        <v>1176</v>
      </c>
      <c r="C66" s="313" t="s">
        <v>250</v>
      </c>
      <c r="D66" s="313" t="s">
        <v>123</v>
      </c>
      <c r="E66" s="313" t="s">
        <v>124</v>
      </c>
      <c r="F66" s="313" t="s">
        <v>129</v>
      </c>
      <c r="G66" s="313" t="s">
        <v>1177</v>
      </c>
      <c r="H66" s="313" t="s">
        <v>126</v>
      </c>
      <c r="I66" s="314"/>
      <c r="J66" s="314">
        <v>195</v>
      </c>
      <c r="K66" s="313" t="s">
        <v>1178</v>
      </c>
      <c r="L66" s="109">
        <f>I66+J66*EERR!$D$2</f>
        <v>130143</v>
      </c>
      <c r="M66" s="109">
        <f>L66/EERR!$D$2</f>
        <v>195</v>
      </c>
      <c r="N66" s="109">
        <f>SUMIF(Abr!$B$3:$B$113,A66,Abr!$V$3:$V$113)</f>
        <v>0</v>
      </c>
      <c r="O66" s="182">
        <f t="shared" si="0"/>
        <v>1</v>
      </c>
    </row>
    <row r="67" spans="1:15" x14ac:dyDescent="0.25">
      <c r="A67" s="311">
        <v>1271</v>
      </c>
      <c r="B67" s="312" t="s">
        <v>1179</v>
      </c>
      <c r="C67" s="313" t="s">
        <v>250</v>
      </c>
      <c r="D67" s="313" t="s">
        <v>123</v>
      </c>
      <c r="E67" s="313" t="s">
        <v>124</v>
      </c>
      <c r="F67" s="313" t="s">
        <v>129</v>
      </c>
      <c r="G67" s="313" t="s">
        <v>1123</v>
      </c>
      <c r="H67" s="313" t="s">
        <v>126</v>
      </c>
      <c r="I67" s="314"/>
      <c r="J67" s="314">
        <v>205</v>
      </c>
      <c r="K67" s="313" t="s">
        <v>1180</v>
      </c>
      <c r="L67" s="109">
        <f>I67+J67*EERR!$D$2</f>
        <v>136817</v>
      </c>
      <c r="M67" s="109">
        <f>L67/EERR!$D$2</f>
        <v>205</v>
      </c>
      <c r="N67" s="109">
        <f>SUMIF(Abr!$B$3:$B$113,A67,Abr!$V$3:$V$113)</f>
        <v>0</v>
      </c>
      <c r="O67" s="182">
        <f t="shared" ref="O67:O83" si="1">+A67-A66</f>
        <v>1</v>
      </c>
    </row>
    <row r="68" spans="1:15" x14ac:dyDescent="0.25">
      <c r="A68" s="311">
        <v>1272</v>
      </c>
      <c r="B68" s="312" t="s">
        <v>1181</v>
      </c>
      <c r="C68" s="313" t="s">
        <v>250</v>
      </c>
      <c r="D68" s="313" t="s">
        <v>123</v>
      </c>
      <c r="E68" s="313" t="s">
        <v>124</v>
      </c>
      <c r="F68" s="313" t="s">
        <v>128</v>
      </c>
      <c r="G68" s="313" t="s">
        <v>1182</v>
      </c>
      <c r="H68" s="313" t="s">
        <v>126</v>
      </c>
      <c r="I68" s="314"/>
      <c r="J68" s="314">
        <v>205</v>
      </c>
      <c r="K68" s="313" t="s">
        <v>1183</v>
      </c>
      <c r="L68" s="109">
        <f>I68+J68*EERR!$D$2</f>
        <v>136817</v>
      </c>
      <c r="M68" s="109">
        <f>L68/EERR!$D$2</f>
        <v>205</v>
      </c>
      <c r="N68" s="109">
        <f>SUMIF(Abr!$B$3:$B$113,A68,Abr!$V$3:$V$113)</f>
        <v>136817</v>
      </c>
      <c r="O68" s="182">
        <f t="shared" si="1"/>
        <v>1</v>
      </c>
    </row>
    <row r="69" spans="1:15" x14ac:dyDescent="0.25">
      <c r="A69" s="311">
        <v>1273</v>
      </c>
      <c r="B69" s="312" t="s">
        <v>1184</v>
      </c>
      <c r="C69" s="313" t="s">
        <v>249</v>
      </c>
      <c r="D69" s="313" t="s">
        <v>123</v>
      </c>
      <c r="E69" s="313" t="s">
        <v>127</v>
      </c>
      <c r="F69" s="313" t="s">
        <v>125</v>
      </c>
      <c r="G69" s="313" t="s">
        <v>1185</v>
      </c>
      <c r="H69" s="313" t="s">
        <v>127</v>
      </c>
      <c r="I69" s="314">
        <v>161251</v>
      </c>
      <c r="J69" s="314"/>
      <c r="K69" s="313" t="s">
        <v>1186</v>
      </c>
      <c r="L69" s="109">
        <f>I69+J69*EERR!$D$2</f>
        <v>161251</v>
      </c>
      <c r="M69" s="109">
        <f>L69/EERR!$D$2</f>
        <v>241.61072819898112</v>
      </c>
      <c r="N69" s="109">
        <f>SUMIF(Abr!$B$3:$B$113,A69,Abr!$V$3:$V$113)</f>
        <v>323234</v>
      </c>
      <c r="O69" s="182">
        <f t="shared" si="1"/>
        <v>1</v>
      </c>
    </row>
    <row r="70" spans="1:15" x14ac:dyDescent="0.25">
      <c r="A70" s="311">
        <v>1274</v>
      </c>
      <c r="B70" s="312" t="s">
        <v>1187</v>
      </c>
      <c r="C70" s="313" t="s">
        <v>250</v>
      </c>
      <c r="D70" s="313" t="s">
        <v>123</v>
      </c>
      <c r="E70" s="313" t="s">
        <v>124</v>
      </c>
      <c r="F70" s="313" t="s">
        <v>129</v>
      </c>
      <c r="G70" s="313" t="s">
        <v>638</v>
      </c>
      <c r="H70" s="313" t="s">
        <v>126</v>
      </c>
      <c r="I70" s="314"/>
      <c r="J70" s="314">
        <v>665</v>
      </c>
      <c r="K70" s="313" t="s">
        <v>1188</v>
      </c>
      <c r="L70" s="109">
        <f>I70+J70*EERR!$D$2</f>
        <v>443821</v>
      </c>
      <c r="M70" s="109">
        <f>L70/EERR!$D$2</f>
        <v>665</v>
      </c>
      <c r="N70" s="109">
        <f>SUMIF(Abr!$B$3:$B$113,A70,Abr!$V$3:$V$113)</f>
        <v>0</v>
      </c>
      <c r="O70" s="182">
        <f t="shared" si="1"/>
        <v>1</v>
      </c>
    </row>
    <row r="71" spans="1:15" x14ac:dyDescent="0.25">
      <c r="A71" s="311">
        <v>1275</v>
      </c>
      <c r="B71" s="312" t="s">
        <v>1189</v>
      </c>
      <c r="C71" s="313" t="s">
        <v>250</v>
      </c>
      <c r="D71" s="313" t="s">
        <v>123</v>
      </c>
      <c r="E71" s="313" t="s">
        <v>124</v>
      </c>
      <c r="F71" s="313" t="s">
        <v>129</v>
      </c>
      <c r="G71" s="313" t="s">
        <v>1190</v>
      </c>
      <c r="H71" s="313" t="s">
        <v>126</v>
      </c>
      <c r="I71" s="314"/>
      <c r="J71" s="314">
        <v>845</v>
      </c>
      <c r="K71" s="313" t="s">
        <v>1191</v>
      </c>
      <c r="L71" s="109">
        <f>I71+J71*EERR!$D$2</f>
        <v>563953</v>
      </c>
      <c r="M71" s="109">
        <f>L71/EERR!$D$2</f>
        <v>845</v>
      </c>
      <c r="N71" s="109">
        <f>SUMIF(Abr!$B$3:$B$113,A71,Abr!$V$3:$V$113)</f>
        <v>0</v>
      </c>
      <c r="O71" s="182">
        <f t="shared" si="1"/>
        <v>1</v>
      </c>
    </row>
    <row r="72" spans="1:15" x14ac:dyDescent="0.25">
      <c r="A72" s="311">
        <v>1276</v>
      </c>
      <c r="B72" s="312" t="s">
        <v>1192</v>
      </c>
      <c r="C72" s="313" t="s">
        <v>249</v>
      </c>
      <c r="D72" s="313" t="s">
        <v>123</v>
      </c>
      <c r="E72" s="313" t="s">
        <v>127</v>
      </c>
      <c r="F72" s="313" t="s">
        <v>128</v>
      </c>
      <c r="G72" s="313" t="s">
        <v>636</v>
      </c>
      <c r="H72" s="313" t="s">
        <v>127</v>
      </c>
      <c r="I72" s="314">
        <v>180916</v>
      </c>
      <c r="J72" s="314"/>
      <c r="K72" s="313" t="s">
        <v>1193</v>
      </c>
      <c r="L72" s="109">
        <f>I72+J72*EERR!$D$2</f>
        <v>180916</v>
      </c>
      <c r="M72" s="109">
        <f>L72/EERR!$D$2</f>
        <v>271.0758166017381</v>
      </c>
      <c r="N72" s="109">
        <f>SUMIF(Abr!$B$3:$B$113,A72,Abr!$V$3:$V$113)</f>
        <v>0</v>
      </c>
      <c r="O72" s="182">
        <f t="shared" si="1"/>
        <v>1</v>
      </c>
    </row>
    <row r="73" spans="1:15" x14ac:dyDescent="0.25">
      <c r="A73" s="311">
        <v>1277</v>
      </c>
      <c r="B73" s="312" t="s">
        <v>1194</v>
      </c>
      <c r="C73" s="313" t="s">
        <v>249</v>
      </c>
      <c r="D73" s="313" t="s">
        <v>123</v>
      </c>
      <c r="E73" s="313" t="s">
        <v>127</v>
      </c>
      <c r="F73" s="313" t="s">
        <v>125</v>
      </c>
      <c r="G73" s="313" t="s">
        <v>1185</v>
      </c>
      <c r="H73" s="313" t="s">
        <v>127</v>
      </c>
      <c r="I73" s="314">
        <v>12000</v>
      </c>
      <c r="J73" s="314"/>
      <c r="K73" s="313" t="s">
        <v>1195</v>
      </c>
      <c r="L73" s="109">
        <f>I73+J73*EERR!$D$2</f>
        <v>12000</v>
      </c>
      <c r="M73" s="109">
        <f>L73/EERR!$D$2</f>
        <v>17.980221756068325</v>
      </c>
      <c r="N73" s="109">
        <f>SUMIF(Abr!$B$3:$B$113,A73,Abr!$V$3:$V$113)</f>
        <v>0</v>
      </c>
      <c r="O73" s="182">
        <f t="shared" si="1"/>
        <v>1</v>
      </c>
    </row>
    <row r="74" spans="1:15" x14ac:dyDescent="0.25">
      <c r="A74" s="311">
        <v>1278</v>
      </c>
      <c r="B74" s="312" t="s">
        <v>1196</v>
      </c>
      <c r="C74" s="313" t="s">
        <v>250</v>
      </c>
      <c r="D74" s="313" t="s">
        <v>123</v>
      </c>
      <c r="E74" s="313" t="s">
        <v>124</v>
      </c>
      <c r="F74" s="313" t="s">
        <v>125</v>
      </c>
      <c r="G74" s="313" t="s">
        <v>1197</v>
      </c>
      <c r="H74" s="313" t="s">
        <v>126</v>
      </c>
      <c r="I74" s="314"/>
      <c r="J74" s="314">
        <v>410</v>
      </c>
      <c r="K74" s="313" t="s">
        <v>1198</v>
      </c>
      <c r="L74" s="109">
        <f>I74+J74*EERR!$D$2</f>
        <v>273634</v>
      </c>
      <c r="M74" s="109">
        <f>L74/EERR!$D$2</f>
        <v>410</v>
      </c>
      <c r="N74" s="109">
        <f>SUMIF(Abr!$B$3:$B$113,A74,Abr!$V$3:$V$113)</f>
        <v>0</v>
      </c>
      <c r="O74" s="182">
        <f t="shared" si="1"/>
        <v>1</v>
      </c>
    </row>
    <row r="75" spans="1:15" x14ac:dyDescent="0.25">
      <c r="A75" s="311">
        <v>1279</v>
      </c>
      <c r="B75" s="312" t="s">
        <v>1199</v>
      </c>
      <c r="C75" s="313" t="s">
        <v>250</v>
      </c>
      <c r="D75" s="313" t="s">
        <v>123</v>
      </c>
      <c r="E75" s="313" t="s">
        <v>124</v>
      </c>
      <c r="F75" s="313" t="s">
        <v>129</v>
      </c>
      <c r="G75" s="313" t="s">
        <v>1200</v>
      </c>
      <c r="H75" s="313" t="s">
        <v>126</v>
      </c>
      <c r="I75" s="314"/>
      <c r="J75" s="314">
        <v>390</v>
      </c>
      <c r="K75" s="313" t="s">
        <v>1088</v>
      </c>
      <c r="L75" s="109">
        <f>I75+J75*EERR!$D$2</f>
        <v>260286</v>
      </c>
      <c r="M75" s="109">
        <f>L75/EERR!$D$2</f>
        <v>390</v>
      </c>
      <c r="N75" s="109">
        <f>SUMIF(Abr!$B$3:$B$113,A75,Abr!$V$3:$V$113)</f>
        <v>0</v>
      </c>
      <c r="O75" s="182">
        <f t="shared" si="1"/>
        <v>1</v>
      </c>
    </row>
    <row r="76" spans="1:15" x14ac:dyDescent="0.25">
      <c r="A76" s="311">
        <v>1280</v>
      </c>
      <c r="B76" s="312" t="s">
        <v>1201</v>
      </c>
      <c r="C76" s="313" t="s">
        <v>250</v>
      </c>
      <c r="D76" s="313" t="s">
        <v>123</v>
      </c>
      <c r="E76" s="313" t="s">
        <v>124</v>
      </c>
      <c r="F76" s="313" t="s">
        <v>128</v>
      </c>
      <c r="G76" s="313" t="s">
        <v>1136</v>
      </c>
      <c r="H76" s="313" t="s">
        <v>126</v>
      </c>
      <c r="I76" s="314"/>
      <c r="J76" s="314">
        <v>190</v>
      </c>
      <c r="K76" s="313" t="s">
        <v>1202</v>
      </c>
      <c r="L76" s="109">
        <f>I76+J76*EERR!$D$2</f>
        <v>126806</v>
      </c>
      <c r="M76" s="109">
        <f>L76/EERR!$D$2</f>
        <v>190</v>
      </c>
      <c r="N76" s="109">
        <f>SUMIF(Abr!$B$3:$B$113,A76,Abr!$V$3:$V$113)</f>
        <v>0</v>
      </c>
      <c r="O76" s="182">
        <f t="shared" si="1"/>
        <v>1</v>
      </c>
    </row>
    <row r="77" spans="1:15" x14ac:dyDescent="0.25">
      <c r="A77" s="311">
        <v>1281</v>
      </c>
      <c r="B77" s="312" t="s">
        <v>1203</v>
      </c>
      <c r="C77" s="313" t="s">
        <v>250</v>
      </c>
      <c r="D77" s="313" t="s">
        <v>123</v>
      </c>
      <c r="E77" s="313" t="s">
        <v>124</v>
      </c>
      <c r="F77" s="313" t="s">
        <v>125</v>
      </c>
      <c r="G77" s="313" t="s">
        <v>1204</v>
      </c>
      <c r="H77" s="313" t="s">
        <v>126</v>
      </c>
      <c r="I77" s="314"/>
      <c r="J77" s="314">
        <v>230</v>
      </c>
      <c r="K77" s="313" t="s">
        <v>1205</v>
      </c>
      <c r="L77" s="109">
        <f>I77+J77*EERR!$D$2</f>
        <v>153502</v>
      </c>
      <c r="M77" s="109">
        <f>L77/EERR!$D$2</f>
        <v>230</v>
      </c>
      <c r="N77" s="109">
        <f>SUMIF(Abr!$B$3:$B$113,A77,Abr!$V$3:$V$113)</f>
        <v>0</v>
      </c>
      <c r="O77" s="182">
        <f t="shared" si="1"/>
        <v>1</v>
      </c>
    </row>
    <row r="78" spans="1:15" x14ac:dyDescent="0.25">
      <c r="A78" s="311">
        <v>1282</v>
      </c>
      <c r="B78" s="312" t="s">
        <v>1206</v>
      </c>
      <c r="C78" s="313" t="s">
        <v>250</v>
      </c>
      <c r="D78" s="313" t="s">
        <v>123</v>
      </c>
      <c r="E78" s="313" t="s">
        <v>124</v>
      </c>
      <c r="F78" s="313" t="s">
        <v>129</v>
      </c>
      <c r="G78" s="313" t="s">
        <v>1207</v>
      </c>
      <c r="H78" s="313" t="s">
        <v>126</v>
      </c>
      <c r="I78" s="314"/>
      <c r="J78" s="314">
        <v>200</v>
      </c>
      <c r="K78" s="313" t="s">
        <v>1208</v>
      </c>
      <c r="L78" s="109">
        <f>I78+J78*EERR!$D$2</f>
        <v>133480</v>
      </c>
      <c r="M78" s="109">
        <f>L78/EERR!$D$2</f>
        <v>200</v>
      </c>
      <c r="N78" s="109">
        <f>SUMIF(Abr!$B$3:$B$113,A78,Abr!$V$3:$V$113)</f>
        <v>0</v>
      </c>
      <c r="O78" s="182">
        <f t="shared" si="1"/>
        <v>1</v>
      </c>
    </row>
    <row r="79" spans="1:15" x14ac:dyDescent="0.25">
      <c r="A79" s="311">
        <v>1283</v>
      </c>
      <c r="B79" s="312" t="s">
        <v>1209</v>
      </c>
      <c r="C79" s="313" t="s">
        <v>250</v>
      </c>
      <c r="D79" s="313" t="s">
        <v>123</v>
      </c>
      <c r="E79" s="313" t="s">
        <v>124</v>
      </c>
      <c r="F79" s="313" t="s">
        <v>129</v>
      </c>
      <c r="G79" s="313" t="s">
        <v>1210</v>
      </c>
      <c r="H79" s="313" t="s">
        <v>126</v>
      </c>
      <c r="I79" s="314"/>
      <c r="J79" s="314">
        <v>200</v>
      </c>
      <c r="K79" s="313" t="s">
        <v>1211</v>
      </c>
      <c r="L79" s="109">
        <f>I79+J79*EERR!$D$2</f>
        <v>133480</v>
      </c>
      <c r="M79" s="109">
        <f>L79/EERR!$D$2</f>
        <v>200</v>
      </c>
      <c r="N79" s="109">
        <f>SUMIF(Abr!$B$3:$B$113,A79,Abr!$V$3:$V$113)</f>
        <v>0</v>
      </c>
      <c r="O79" s="182">
        <f t="shared" si="1"/>
        <v>1</v>
      </c>
    </row>
    <row r="80" spans="1:15" x14ac:dyDescent="0.25">
      <c r="A80" s="311">
        <v>1284</v>
      </c>
      <c r="B80" s="312" t="s">
        <v>1212</v>
      </c>
      <c r="C80" s="313" t="s">
        <v>250</v>
      </c>
      <c r="D80" s="313" t="s">
        <v>123</v>
      </c>
      <c r="E80" s="313" t="s">
        <v>124</v>
      </c>
      <c r="F80" s="313" t="s">
        <v>128</v>
      </c>
      <c r="G80" s="313" t="s">
        <v>1213</v>
      </c>
      <c r="H80" s="313" t="s">
        <v>126</v>
      </c>
      <c r="I80" s="314"/>
      <c r="J80" s="314">
        <v>200</v>
      </c>
      <c r="K80" s="313" t="s">
        <v>1214</v>
      </c>
      <c r="L80" s="109">
        <f>I80+J80*EERR!$D$2</f>
        <v>133480</v>
      </c>
      <c r="M80" s="109">
        <f>L80/EERR!$D$2</f>
        <v>200</v>
      </c>
      <c r="N80" s="109">
        <f>SUMIF(Abr!$B$3:$B$113,A80,Abr!$V$3:$V$113)</f>
        <v>0</v>
      </c>
      <c r="O80" s="182">
        <f t="shared" si="1"/>
        <v>1</v>
      </c>
    </row>
    <row r="81" spans="1:18" x14ac:dyDescent="0.25">
      <c r="A81" s="311">
        <v>1285</v>
      </c>
      <c r="B81" s="312" t="s">
        <v>1215</v>
      </c>
      <c r="C81" s="313" t="s">
        <v>250</v>
      </c>
      <c r="D81" s="313" t="s">
        <v>123</v>
      </c>
      <c r="E81" s="313" t="s">
        <v>124</v>
      </c>
      <c r="F81" s="313" t="s">
        <v>128</v>
      </c>
      <c r="G81" s="313" t="s">
        <v>1216</v>
      </c>
      <c r="H81" s="313" t="s">
        <v>126</v>
      </c>
      <c r="I81" s="314"/>
      <c r="J81" s="314">
        <v>230</v>
      </c>
      <c r="K81" s="313" t="s">
        <v>1217</v>
      </c>
      <c r="L81" s="109">
        <f>I81+J81*EERR!$D$2</f>
        <v>153502</v>
      </c>
      <c r="M81" s="109">
        <f>L81/EERR!$D$2</f>
        <v>230</v>
      </c>
      <c r="N81" s="109">
        <f>SUMIF(Abr!$B$3:$B$113,A81,Abr!$V$3:$V$113)</f>
        <v>0</v>
      </c>
      <c r="O81" s="182">
        <f t="shared" si="1"/>
        <v>1</v>
      </c>
    </row>
    <row r="82" spans="1:18" x14ac:dyDescent="0.25">
      <c r="A82" s="311">
        <v>1286</v>
      </c>
      <c r="B82" s="312" t="s">
        <v>1218</v>
      </c>
      <c r="C82" s="313" t="s">
        <v>249</v>
      </c>
      <c r="D82" s="313" t="s">
        <v>123</v>
      </c>
      <c r="E82" s="313" t="s">
        <v>127</v>
      </c>
      <c r="F82" s="313" t="s">
        <v>309</v>
      </c>
      <c r="G82" s="313" t="s">
        <v>1219</v>
      </c>
      <c r="H82" s="313" t="s">
        <v>310</v>
      </c>
      <c r="I82" s="314">
        <v>50</v>
      </c>
      <c r="J82" s="314"/>
      <c r="K82" s="313" t="s">
        <v>1220</v>
      </c>
      <c r="L82" s="109">
        <f>I82+J82*EERR!$D$2</f>
        <v>50</v>
      </c>
      <c r="M82" s="109">
        <f>L82/EERR!$D$2</f>
        <v>7.4917590650284693E-2</v>
      </c>
      <c r="N82" s="109">
        <f>SUMIF(Abr!$B$3:$B$113,A82,Abr!$V$3:$V$113)</f>
        <v>0</v>
      </c>
      <c r="O82" s="182">
        <f t="shared" si="1"/>
        <v>1</v>
      </c>
    </row>
    <row r="83" spans="1:18" x14ac:dyDescent="0.25">
      <c r="A83" s="311">
        <v>1287</v>
      </c>
      <c r="B83" s="312" t="s">
        <v>1221</v>
      </c>
      <c r="C83" s="313" t="s">
        <v>250</v>
      </c>
      <c r="D83" s="313" t="s">
        <v>123</v>
      </c>
      <c r="E83" s="313" t="s">
        <v>124</v>
      </c>
      <c r="F83" s="313" t="s">
        <v>128</v>
      </c>
      <c r="G83" s="313" t="s">
        <v>658</v>
      </c>
      <c r="H83" s="313" t="s">
        <v>126</v>
      </c>
      <c r="I83" s="314"/>
      <c r="J83" s="314">
        <v>205</v>
      </c>
      <c r="K83" s="313" t="s">
        <v>1222</v>
      </c>
      <c r="L83" s="109">
        <f>I83+J83*EERR!$D$2</f>
        <v>136817</v>
      </c>
      <c r="M83" s="109">
        <f>L83/EERR!$D$2</f>
        <v>205</v>
      </c>
      <c r="N83" s="109">
        <f>SUMIF(Abr!$B$3:$B$113,A83,Abr!$V$3:$V$113)</f>
        <v>0</v>
      </c>
      <c r="O83" s="182">
        <f t="shared" si="1"/>
        <v>1</v>
      </c>
    </row>
    <row r="84" spans="1:18" x14ac:dyDescent="0.25">
      <c r="A84" s="311">
        <v>1288</v>
      </c>
      <c r="B84" s="312" t="s">
        <v>1223</v>
      </c>
      <c r="C84" s="313" t="s">
        <v>250</v>
      </c>
      <c r="D84" s="313" t="s">
        <v>123</v>
      </c>
      <c r="E84" s="313" t="s">
        <v>124</v>
      </c>
      <c r="F84" s="313" t="s">
        <v>128</v>
      </c>
      <c r="G84" s="313" t="s">
        <v>1224</v>
      </c>
      <c r="H84" s="313" t="s">
        <v>126</v>
      </c>
      <c r="I84" s="314"/>
      <c r="J84" s="314">
        <v>205</v>
      </c>
      <c r="K84" s="313" t="s">
        <v>1225</v>
      </c>
      <c r="L84" s="109">
        <f>I84+J84*EERR!$D$2</f>
        <v>136817</v>
      </c>
      <c r="M84" s="109">
        <f>L84/EERR!$D$2</f>
        <v>205</v>
      </c>
      <c r="N84" s="109">
        <f>SUMIF(Abr!$B$3:$B$113,A84,Abr!$V$3:$V$113)</f>
        <v>0</v>
      </c>
      <c r="O84" s="182">
        <f t="shared" ref="O84:O126" si="2">+A84-A83</f>
        <v>1</v>
      </c>
    </row>
    <row r="85" spans="1:18" x14ac:dyDescent="0.25">
      <c r="A85" s="311">
        <v>1289</v>
      </c>
      <c r="B85" s="312" t="s">
        <v>1226</v>
      </c>
      <c r="C85" s="313" t="s">
        <v>250</v>
      </c>
      <c r="D85" s="313" t="s">
        <v>123</v>
      </c>
      <c r="E85" s="313" t="s">
        <v>124</v>
      </c>
      <c r="F85" s="313" t="s">
        <v>128</v>
      </c>
      <c r="G85" s="313" t="s">
        <v>690</v>
      </c>
      <c r="H85" s="313" t="s">
        <v>126</v>
      </c>
      <c r="I85" s="314"/>
      <c r="J85" s="314">
        <v>205</v>
      </c>
      <c r="K85" s="313" t="s">
        <v>1227</v>
      </c>
      <c r="L85" s="109">
        <f>I85+J85*EERR!$D$2</f>
        <v>136817</v>
      </c>
      <c r="M85" s="109">
        <f>L85/EERR!$D$2</f>
        <v>205</v>
      </c>
      <c r="N85" s="109">
        <f>SUMIF(Abr!$B$3:$B$113,A85,Abr!$V$3:$V$113)</f>
        <v>0</v>
      </c>
      <c r="O85" s="182">
        <f t="shared" si="2"/>
        <v>1</v>
      </c>
    </row>
    <row r="86" spans="1:18" x14ac:dyDescent="0.25">
      <c r="A86" s="311">
        <v>1290</v>
      </c>
      <c r="B86" s="312" t="s">
        <v>1228</v>
      </c>
      <c r="C86" s="313" t="s">
        <v>250</v>
      </c>
      <c r="D86" s="313" t="s">
        <v>123</v>
      </c>
      <c r="E86" s="313" t="s">
        <v>124</v>
      </c>
      <c r="F86" s="313" t="s">
        <v>128</v>
      </c>
      <c r="G86" s="313" t="s">
        <v>702</v>
      </c>
      <c r="H86" s="313" t="s">
        <v>126</v>
      </c>
      <c r="I86" s="314"/>
      <c r="J86" s="314">
        <v>615</v>
      </c>
      <c r="K86" s="313" t="s">
        <v>1229</v>
      </c>
      <c r="L86" s="109">
        <f>I86+J86*EERR!$D$2</f>
        <v>410451</v>
      </c>
      <c r="M86" s="109">
        <f>L86/EERR!$D$2</f>
        <v>615</v>
      </c>
      <c r="N86" s="109">
        <f>SUMIF(Abr!$B$3:$B$113,A86,Abr!$V$3:$V$113)</f>
        <v>0</v>
      </c>
      <c r="O86" s="182">
        <f t="shared" si="2"/>
        <v>1</v>
      </c>
    </row>
    <row r="87" spans="1:18" x14ac:dyDescent="0.25">
      <c r="A87" s="311">
        <v>1291</v>
      </c>
      <c r="B87" s="312" t="s">
        <v>1230</v>
      </c>
      <c r="C87" s="313" t="s">
        <v>250</v>
      </c>
      <c r="D87" s="313" t="s">
        <v>123</v>
      </c>
      <c r="E87" s="313" t="s">
        <v>124</v>
      </c>
      <c r="F87" s="313" t="s">
        <v>128</v>
      </c>
      <c r="G87" s="313" t="s">
        <v>702</v>
      </c>
      <c r="H87" s="313" t="s">
        <v>126</v>
      </c>
      <c r="I87" s="314"/>
      <c r="J87" s="314">
        <v>615</v>
      </c>
      <c r="K87" s="313" t="s">
        <v>1231</v>
      </c>
      <c r="L87" s="109">
        <f>I87+J87*EERR!$D$2</f>
        <v>410451</v>
      </c>
      <c r="M87" s="109">
        <f>L87/EERR!$D$2</f>
        <v>615</v>
      </c>
      <c r="N87" s="109">
        <f>SUMIF(Abr!$B$3:$B$113,A87,Abr!$V$3:$V$113)</f>
        <v>0</v>
      </c>
      <c r="O87" s="182">
        <f t="shared" si="2"/>
        <v>1</v>
      </c>
    </row>
    <row r="88" spans="1:18" x14ac:dyDescent="0.25">
      <c r="A88" s="311">
        <v>1292</v>
      </c>
      <c r="B88" s="312" t="s">
        <v>1232</v>
      </c>
      <c r="C88" s="313" t="s">
        <v>249</v>
      </c>
      <c r="D88" s="313" t="s">
        <v>123</v>
      </c>
      <c r="E88" s="313" t="s">
        <v>127</v>
      </c>
      <c r="F88" s="313" t="s">
        <v>125</v>
      </c>
      <c r="G88" s="313" t="s">
        <v>1233</v>
      </c>
      <c r="H88" s="313" t="s">
        <v>127</v>
      </c>
      <c r="I88" s="314">
        <v>157556</v>
      </c>
      <c r="J88" s="314"/>
      <c r="K88" s="313" t="s">
        <v>1234</v>
      </c>
      <c r="L88" s="219">
        <f>I88+J88*EERR!$D$2</f>
        <v>157556</v>
      </c>
      <c r="M88" s="219">
        <f>L88/EERR!$D$2</f>
        <v>236.07431824992508</v>
      </c>
      <c r="N88" s="219">
        <f>SUMIF(Abr!$B$3:$B$113,A88,Abr!$V$3:$V$113)</f>
        <v>0</v>
      </c>
      <c r="O88" s="182">
        <f t="shared" si="2"/>
        <v>1</v>
      </c>
    </row>
    <row r="89" spans="1:18" x14ac:dyDescent="0.25">
      <c r="A89" s="311">
        <v>1293</v>
      </c>
      <c r="B89" s="312" t="s">
        <v>1235</v>
      </c>
      <c r="C89" s="313" t="s">
        <v>250</v>
      </c>
      <c r="D89" s="313" t="s">
        <v>123</v>
      </c>
      <c r="E89" s="313" t="s">
        <v>124</v>
      </c>
      <c r="F89" s="313" t="s">
        <v>129</v>
      </c>
      <c r="G89" s="313" t="s">
        <v>1236</v>
      </c>
      <c r="H89" s="313" t="s">
        <v>126</v>
      </c>
      <c r="I89" s="314"/>
      <c r="J89" s="314">
        <v>205</v>
      </c>
      <c r="K89" s="313" t="s">
        <v>1237</v>
      </c>
      <c r="L89" s="109">
        <f>I89+J89*EERR!$D$2</f>
        <v>136817</v>
      </c>
      <c r="M89" s="109">
        <f>L89/EERR!$D$2</f>
        <v>205</v>
      </c>
      <c r="N89" s="109">
        <f>SUMIF(Abr!$B$3:$B$113,A89,Abr!$V$3:$V$113)</f>
        <v>0</v>
      </c>
      <c r="O89" s="182">
        <f t="shared" si="2"/>
        <v>1</v>
      </c>
    </row>
    <row r="90" spans="1:18" x14ac:dyDescent="0.25">
      <c r="A90" s="311">
        <v>1294</v>
      </c>
      <c r="B90" s="312" t="s">
        <v>1238</v>
      </c>
      <c r="C90" s="313" t="s">
        <v>249</v>
      </c>
      <c r="D90" s="313" t="s">
        <v>123</v>
      </c>
      <c r="E90" s="313" t="s">
        <v>127</v>
      </c>
      <c r="F90" s="313" t="s">
        <v>129</v>
      </c>
      <c r="G90" s="313" t="s">
        <v>1239</v>
      </c>
      <c r="H90" s="313" t="s">
        <v>127</v>
      </c>
      <c r="I90" s="314">
        <v>12000</v>
      </c>
      <c r="J90" s="314"/>
      <c r="K90" s="313" t="s">
        <v>1240</v>
      </c>
      <c r="L90" s="109">
        <f>I90+J90*EERR!$D$2</f>
        <v>12000</v>
      </c>
      <c r="M90" s="109">
        <f>L90/EERR!$D$2</f>
        <v>17.980221756068325</v>
      </c>
      <c r="N90" s="109">
        <f>SUMIF(Abr!$B$3:$B$113,A90,Abr!$V$3:$V$113)</f>
        <v>0</v>
      </c>
      <c r="O90" s="182">
        <f t="shared" si="2"/>
        <v>1</v>
      </c>
    </row>
    <row r="91" spans="1:18" x14ac:dyDescent="0.25">
      <c r="A91" s="311">
        <v>1295</v>
      </c>
      <c r="B91" s="312" t="s">
        <v>1241</v>
      </c>
      <c r="C91" s="313" t="s">
        <v>249</v>
      </c>
      <c r="D91" s="313" t="s">
        <v>123</v>
      </c>
      <c r="E91" s="313" t="s">
        <v>127</v>
      </c>
      <c r="F91" s="313" t="s">
        <v>128</v>
      </c>
      <c r="G91" s="313" t="s">
        <v>1242</v>
      </c>
      <c r="H91" s="313" t="s">
        <v>127</v>
      </c>
      <c r="I91" s="314">
        <v>153883</v>
      </c>
      <c r="J91" s="314"/>
      <c r="K91" s="313" t="s">
        <v>1243</v>
      </c>
      <c r="L91" s="109">
        <f>I91+J91*EERR!$D$2</f>
        <v>153883</v>
      </c>
      <c r="M91" s="109">
        <f>L91/EERR!$D$2</f>
        <v>230.57087204075518</v>
      </c>
      <c r="N91" s="109">
        <f>SUMIF(Abr!$B$3:$B$113,A91,Abr!$V$3:$V$113)</f>
        <v>153883</v>
      </c>
      <c r="O91" s="182">
        <f t="shared" si="2"/>
        <v>1</v>
      </c>
      <c r="R91" s="58" t="s">
        <v>216</v>
      </c>
    </row>
    <row r="92" spans="1:18" x14ac:dyDescent="0.25">
      <c r="A92" s="311">
        <v>1296</v>
      </c>
      <c r="B92" s="312" t="s">
        <v>1244</v>
      </c>
      <c r="C92" s="313" t="s">
        <v>249</v>
      </c>
      <c r="D92" s="313" t="s">
        <v>123</v>
      </c>
      <c r="E92" s="313" t="s">
        <v>127</v>
      </c>
      <c r="F92" s="313" t="s">
        <v>309</v>
      </c>
      <c r="G92" s="313" t="s">
        <v>1245</v>
      </c>
      <c r="H92" s="313" t="s">
        <v>310</v>
      </c>
      <c r="I92" s="314">
        <v>6000</v>
      </c>
      <c r="J92" s="314"/>
      <c r="K92" s="313" t="s">
        <v>1246</v>
      </c>
      <c r="L92" s="109">
        <f>I92+J92*EERR!$D$2</f>
        <v>6000</v>
      </c>
      <c r="M92" s="109">
        <f>L92/EERR!$D$2</f>
        <v>8.9901108780341623</v>
      </c>
      <c r="N92" s="109">
        <f>SUMIF(Abr!$B$3:$B$113,A92,Abr!$V$3:$V$113)</f>
        <v>0</v>
      </c>
      <c r="O92" s="182">
        <f t="shared" si="2"/>
        <v>1</v>
      </c>
    </row>
    <row r="93" spans="1:18" x14ac:dyDescent="0.25">
      <c r="A93" s="311">
        <v>1297</v>
      </c>
      <c r="B93" s="312" t="s">
        <v>1247</v>
      </c>
      <c r="C93" s="313" t="s">
        <v>250</v>
      </c>
      <c r="D93" s="313" t="s">
        <v>123</v>
      </c>
      <c r="E93" s="313" t="s">
        <v>124</v>
      </c>
      <c r="F93" s="313" t="s">
        <v>129</v>
      </c>
      <c r="G93" s="313" t="s">
        <v>1174</v>
      </c>
      <c r="H93" s="313" t="s">
        <v>126</v>
      </c>
      <c r="I93" s="314"/>
      <c r="J93" s="314">
        <v>760</v>
      </c>
      <c r="K93" s="313" t="s">
        <v>1248</v>
      </c>
      <c r="L93" s="109">
        <f>I93+J93*EERR!$D$2</f>
        <v>507224</v>
      </c>
      <c r="M93" s="109">
        <f>L93/EERR!$D$2</f>
        <v>760</v>
      </c>
      <c r="N93" s="109">
        <f>SUMIF(Abr!$B$3:$B$113,A93,Abr!$V$3:$V$113)</f>
        <v>0</v>
      </c>
      <c r="O93" s="182">
        <f t="shared" si="2"/>
        <v>1</v>
      </c>
    </row>
    <row r="94" spans="1:18" x14ac:dyDescent="0.25">
      <c r="A94" s="311">
        <v>1298</v>
      </c>
      <c r="B94" s="312" t="s">
        <v>1249</v>
      </c>
      <c r="C94" s="313" t="s">
        <v>250</v>
      </c>
      <c r="D94" s="313" t="s">
        <v>123</v>
      </c>
      <c r="E94" s="313" t="s">
        <v>124</v>
      </c>
      <c r="F94" s="313" t="s">
        <v>128</v>
      </c>
      <c r="G94" s="313" t="s">
        <v>1250</v>
      </c>
      <c r="H94" s="313" t="s">
        <v>126</v>
      </c>
      <c r="I94" s="314"/>
      <c r="J94" s="314">
        <v>195</v>
      </c>
      <c r="K94" s="313" t="s">
        <v>1251</v>
      </c>
      <c r="L94" s="109">
        <f>I94+J94*EERR!$D$2</f>
        <v>130143</v>
      </c>
      <c r="M94" s="109">
        <f>L94/EERR!$D$2</f>
        <v>195</v>
      </c>
      <c r="N94" s="109">
        <f>SUMIF(Abr!$B$3:$B$113,A94,Abr!$V$3:$V$113)</f>
        <v>130143</v>
      </c>
      <c r="O94" s="182">
        <f t="shared" si="2"/>
        <v>1</v>
      </c>
    </row>
    <row r="95" spans="1:18" x14ac:dyDescent="0.25">
      <c r="A95" s="311">
        <v>1299</v>
      </c>
      <c r="B95" s="312" t="s">
        <v>1252</v>
      </c>
      <c r="C95" s="313" t="s">
        <v>249</v>
      </c>
      <c r="D95" s="313" t="s">
        <v>123</v>
      </c>
      <c r="E95" s="313" t="s">
        <v>127</v>
      </c>
      <c r="F95" s="313" t="s">
        <v>128</v>
      </c>
      <c r="G95" s="313" t="s">
        <v>1253</v>
      </c>
      <c r="H95" s="313" t="s">
        <v>127</v>
      </c>
      <c r="I95" s="314">
        <v>147258</v>
      </c>
      <c r="J95" s="314"/>
      <c r="K95" s="313" t="s">
        <v>1254</v>
      </c>
      <c r="L95" s="109">
        <f>I95+J95*EERR!$D$2</f>
        <v>147258</v>
      </c>
      <c r="M95" s="109">
        <f>L95/EERR!$D$2</f>
        <v>220.64429127959247</v>
      </c>
      <c r="N95" s="109">
        <f>SUMIF(Abr!$B$3:$B$113,A95,Abr!$V$3:$V$113)</f>
        <v>0</v>
      </c>
      <c r="O95" s="182">
        <f t="shared" si="2"/>
        <v>1</v>
      </c>
    </row>
    <row r="96" spans="1:18" x14ac:dyDescent="0.25">
      <c r="A96" s="311">
        <v>1300</v>
      </c>
      <c r="B96" s="312" t="s">
        <v>1255</v>
      </c>
      <c r="C96" s="313" t="s">
        <v>250</v>
      </c>
      <c r="D96" s="313" t="s">
        <v>123</v>
      </c>
      <c r="E96" s="313" t="s">
        <v>124</v>
      </c>
      <c r="F96" s="313" t="s">
        <v>129</v>
      </c>
      <c r="G96" s="313" t="s">
        <v>775</v>
      </c>
      <c r="H96" s="313" t="s">
        <v>126</v>
      </c>
      <c r="I96" s="314"/>
      <c r="J96" s="314">
        <v>390</v>
      </c>
      <c r="K96" s="313" t="s">
        <v>1256</v>
      </c>
      <c r="L96" s="109">
        <f>I96+J96*EERR!$D$2</f>
        <v>260286</v>
      </c>
      <c r="M96" s="109">
        <f>L96/EERR!$D$2</f>
        <v>390</v>
      </c>
      <c r="N96" s="109">
        <f>SUMIF(Abr!$B$3:$B$113,A96,Abr!$V$3:$V$113)</f>
        <v>0</v>
      </c>
      <c r="O96" s="182">
        <f t="shared" si="2"/>
        <v>1</v>
      </c>
    </row>
    <row r="97" spans="1:15" x14ac:dyDescent="0.25">
      <c r="A97" s="311">
        <v>1301</v>
      </c>
      <c r="B97" s="312" t="s">
        <v>1257</v>
      </c>
      <c r="C97" s="313" t="s">
        <v>250</v>
      </c>
      <c r="D97" s="313" t="s">
        <v>123</v>
      </c>
      <c r="E97" s="313" t="s">
        <v>124</v>
      </c>
      <c r="F97" s="313" t="s">
        <v>128</v>
      </c>
      <c r="G97" s="313" t="s">
        <v>1258</v>
      </c>
      <c r="H97" s="313" t="s">
        <v>126</v>
      </c>
      <c r="I97" s="314"/>
      <c r="J97" s="314">
        <v>410</v>
      </c>
      <c r="K97" s="313" t="s">
        <v>1259</v>
      </c>
      <c r="L97" s="109">
        <f>I97+J97*EERR!$D$2</f>
        <v>273634</v>
      </c>
      <c r="M97" s="109">
        <f>L97/EERR!$D$2</f>
        <v>410</v>
      </c>
      <c r="N97" s="109">
        <f>SUMIF(Abr!$B$3:$B$113,A97,Abr!$V$3:$V$113)</f>
        <v>0</v>
      </c>
      <c r="O97" s="182">
        <f t="shared" si="2"/>
        <v>1</v>
      </c>
    </row>
    <row r="98" spans="1:15" x14ac:dyDescent="0.25">
      <c r="A98" s="311">
        <v>1302</v>
      </c>
      <c r="B98" s="312" t="s">
        <v>1260</v>
      </c>
      <c r="C98" s="313" t="s">
        <v>250</v>
      </c>
      <c r="D98" s="313" t="s">
        <v>123</v>
      </c>
      <c r="E98" s="313" t="s">
        <v>124</v>
      </c>
      <c r="F98" s="313" t="s">
        <v>129</v>
      </c>
      <c r="G98" s="313" t="s">
        <v>1261</v>
      </c>
      <c r="H98" s="313" t="s">
        <v>126</v>
      </c>
      <c r="I98" s="314"/>
      <c r="J98" s="314">
        <v>195</v>
      </c>
      <c r="K98" s="313" t="s">
        <v>1262</v>
      </c>
      <c r="L98" s="109">
        <f>I98+J98*EERR!$D$2</f>
        <v>130143</v>
      </c>
      <c r="M98" s="109">
        <f>L98/EERR!$D$2</f>
        <v>195</v>
      </c>
      <c r="N98" s="109">
        <f>SUMIF(Abr!$B$3:$B$113,A98,Abr!$V$3:$V$113)</f>
        <v>0</v>
      </c>
      <c r="O98" s="182">
        <f t="shared" si="2"/>
        <v>1</v>
      </c>
    </row>
    <row r="99" spans="1:15" x14ac:dyDescent="0.25">
      <c r="A99" s="311">
        <v>1303</v>
      </c>
      <c r="B99" s="312" t="s">
        <v>1263</v>
      </c>
      <c r="C99" s="313" t="s">
        <v>250</v>
      </c>
      <c r="D99" s="313" t="s">
        <v>123</v>
      </c>
      <c r="E99" s="313" t="s">
        <v>124</v>
      </c>
      <c r="F99" s="313" t="s">
        <v>125</v>
      </c>
      <c r="G99" s="313" t="s">
        <v>1264</v>
      </c>
      <c r="H99" s="313" t="s">
        <v>126</v>
      </c>
      <c r="I99" s="314"/>
      <c r="J99" s="314">
        <v>220</v>
      </c>
      <c r="K99" s="313" t="s">
        <v>1170</v>
      </c>
      <c r="L99" s="109">
        <f>I99+J99*EERR!$D$2</f>
        <v>146828</v>
      </c>
      <c r="M99" s="109">
        <f>L99/EERR!$D$2</f>
        <v>220</v>
      </c>
      <c r="N99" s="109">
        <f>SUMIF(Abr!$B$3:$B$113,A99,Abr!$V$3:$V$113)</f>
        <v>0</v>
      </c>
      <c r="O99" s="182">
        <f t="shared" si="2"/>
        <v>1</v>
      </c>
    </row>
    <row r="100" spans="1:15" x14ac:dyDescent="0.25">
      <c r="A100" s="311">
        <v>1304</v>
      </c>
      <c r="B100" s="312" t="s">
        <v>1265</v>
      </c>
      <c r="C100" s="313" t="s">
        <v>250</v>
      </c>
      <c r="D100" s="313" t="s">
        <v>123</v>
      </c>
      <c r="E100" s="313" t="s">
        <v>124</v>
      </c>
      <c r="F100" s="313" t="s">
        <v>128</v>
      </c>
      <c r="G100" s="313" t="s">
        <v>1250</v>
      </c>
      <c r="H100" s="313" t="s">
        <v>126</v>
      </c>
      <c r="I100" s="314"/>
      <c r="J100" s="314">
        <v>195</v>
      </c>
      <c r="K100" s="313" t="s">
        <v>1266</v>
      </c>
      <c r="L100" s="109">
        <f>I100+J100*EERR!$D$2</f>
        <v>130143</v>
      </c>
      <c r="M100" s="109">
        <f>L100/EERR!$D$2</f>
        <v>195</v>
      </c>
      <c r="N100" s="109">
        <f>SUMIF(Abr!$B$3:$B$113,A100,Abr!$V$3:$V$113)</f>
        <v>397103</v>
      </c>
      <c r="O100" s="182">
        <f t="shared" si="2"/>
        <v>1</v>
      </c>
    </row>
    <row r="101" spans="1:15" x14ac:dyDescent="0.25">
      <c r="A101" s="311">
        <v>1305</v>
      </c>
      <c r="B101" s="312" t="s">
        <v>1267</v>
      </c>
      <c r="C101" s="313" t="s">
        <v>250</v>
      </c>
      <c r="D101" s="313" t="s">
        <v>123</v>
      </c>
      <c r="E101" s="313" t="s">
        <v>124</v>
      </c>
      <c r="F101" s="313" t="s">
        <v>128</v>
      </c>
      <c r="G101" s="313" t="s">
        <v>1133</v>
      </c>
      <c r="H101" s="313" t="s">
        <v>126</v>
      </c>
      <c r="I101" s="314"/>
      <c r="J101" s="314">
        <v>400</v>
      </c>
      <c r="K101" s="313" t="s">
        <v>1268</v>
      </c>
      <c r="L101" s="109">
        <f>I101+J101*EERR!$D$2</f>
        <v>266960</v>
      </c>
      <c r="M101" s="109">
        <f>L101/EERR!$D$2</f>
        <v>400</v>
      </c>
      <c r="N101" s="109">
        <f>SUMIF(Abr!$B$3:$B$113,A101,Abr!$V$3:$V$113)</f>
        <v>0</v>
      </c>
      <c r="O101" s="182">
        <f t="shared" si="2"/>
        <v>1</v>
      </c>
    </row>
    <row r="102" spans="1:15" x14ac:dyDescent="0.25">
      <c r="A102" s="311">
        <v>1306</v>
      </c>
      <c r="B102" s="312" t="s">
        <v>1269</v>
      </c>
      <c r="C102" s="313" t="s">
        <v>250</v>
      </c>
      <c r="D102" s="313" t="s">
        <v>123</v>
      </c>
      <c r="E102" s="313" t="s">
        <v>124</v>
      </c>
      <c r="F102" s="313" t="s">
        <v>128</v>
      </c>
      <c r="G102" s="313" t="s">
        <v>1270</v>
      </c>
      <c r="H102" s="313" t="s">
        <v>126</v>
      </c>
      <c r="I102" s="314"/>
      <c r="J102" s="314">
        <v>195</v>
      </c>
      <c r="K102" s="313" t="s">
        <v>1271</v>
      </c>
      <c r="L102" s="109">
        <f>I102+J102*EERR!$D$2</f>
        <v>130143</v>
      </c>
      <c r="M102" s="109">
        <f>L102/EERR!$D$2</f>
        <v>195</v>
      </c>
      <c r="N102" s="109">
        <f>SUMIF(Abr!$B$3:$B$113,A102,Abr!$V$3:$V$113)</f>
        <v>0</v>
      </c>
      <c r="O102" s="182">
        <f t="shared" si="2"/>
        <v>1</v>
      </c>
    </row>
    <row r="103" spans="1:15" x14ac:dyDescent="0.25">
      <c r="A103" s="311">
        <v>1307</v>
      </c>
      <c r="B103" s="312" t="s">
        <v>1272</v>
      </c>
      <c r="C103" s="313" t="s">
        <v>250</v>
      </c>
      <c r="D103" s="313" t="s">
        <v>123</v>
      </c>
      <c r="E103" s="313" t="s">
        <v>124</v>
      </c>
      <c r="F103" s="313" t="s">
        <v>129</v>
      </c>
      <c r="G103" s="313" t="s">
        <v>1273</v>
      </c>
      <c r="H103" s="313" t="s">
        <v>126</v>
      </c>
      <c r="I103" s="314"/>
      <c r="J103" s="314">
        <v>200</v>
      </c>
      <c r="K103" s="313" t="s">
        <v>1274</v>
      </c>
      <c r="L103" s="109">
        <f>I103+J103*EERR!$D$2</f>
        <v>133480</v>
      </c>
      <c r="M103" s="109">
        <f>L103/EERR!$D$2</f>
        <v>200</v>
      </c>
      <c r="N103" s="109">
        <f>SUMIF(Abr!$B$3:$B$113,A103,Abr!$V$3:$V$113)</f>
        <v>0</v>
      </c>
      <c r="O103" s="182">
        <f t="shared" si="2"/>
        <v>1</v>
      </c>
    </row>
    <row r="104" spans="1:15" x14ac:dyDescent="0.25">
      <c r="A104" s="311">
        <v>1308</v>
      </c>
      <c r="B104" s="312" t="s">
        <v>1275</v>
      </c>
      <c r="C104" s="313" t="s">
        <v>250</v>
      </c>
      <c r="D104" s="313" t="s">
        <v>123</v>
      </c>
      <c r="E104" s="313" t="s">
        <v>124</v>
      </c>
      <c r="F104" s="313" t="s">
        <v>125</v>
      </c>
      <c r="G104" s="313" t="s">
        <v>1276</v>
      </c>
      <c r="H104" s="313" t="s">
        <v>126</v>
      </c>
      <c r="I104" s="314"/>
      <c r="J104" s="314">
        <v>205</v>
      </c>
      <c r="K104" s="313" t="s">
        <v>1277</v>
      </c>
      <c r="L104" s="109">
        <f>I104+J104*EERR!$D$2</f>
        <v>136817</v>
      </c>
      <c r="M104" s="109">
        <f>L104/EERR!$D$2</f>
        <v>205</v>
      </c>
      <c r="N104" s="109">
        <f>SUMIF(Abr!$B$3:$B$113,A104,Abr!$V$3:$V$113)</f>
        <v>0</v>
      </c>
      <c r="O104" s="182">
        <f t="shared" si="2"/>
        <v>1</v>
      </c>
    </row>
    <row r="105" spans="1:15" x14ac:dyDescent="0.25">
      <c r="A105" s="311">
        <v>1309</v>
      </c>
      <c r="B105" s="312" t="s">
        <v>1278</v>
      </c>
      <c r="C105" s="313" t="s">
        <v>250</v>
      </c>
      <c r="D105" s="313" t="s">
        <v>123</v>
      </c>
      <c r="E105" s="313" t="s">
        <v>124</v>
      </c>
      <c r="F105" s="313" t="s">
        <v>129</v>
      </c>
      <c r="G105" s="313" t="s">
        <v>1279</v>
      </c>
      <c r="H105" s="313" t="s">
        <v>126</v>
      </c>
      <c r="I105" s="314"/>
      <c r="J105" s="314">
        <v>205</v>
      </c>
      <c r="K105" s="313" t="s">
        <v>1280</v>
      </c>
      <c r="L105" s="109">
        <f>I105+J105*EERR!$D$2</f>
        <v>136817</v>
      </c>
      <c r="M105" s="109">
        <f>L105/EERR!$D$2</f>
        <v>205</v>
      </c>
      <c r="N105" s="109">
        <f>SUMIF(Abr!$B$3:$B$113,A105,Abr!$V$3:$V$113)</f>
        <v>0</v>
      </c>
      <c r="O105" s="182">
        <f t="shared" si="2"/>
        <v>1</v>
      </c>
    </row>
    <row r="106" spans="1:15" x14ac:dyDescent="0.25">
      <c r="A106" s="311">
        <v>1310</v>
      </c>
      <c r="B106" s="312">
        <v>43581.662499999999</v>
      </c>
      <c r="C106" s="313" t="s">
        <v>250</v>
      </c>
      <c r="D106" s="313" t="s">
        <v>123</v>
      </c>
      <c r="E106" s="313" t="s">
        <v>124</v>
      </c>
      <c r="F106" s="313" t="s">
        <v>1281</v>
      </c>
      <c r="G106" s="313" t="s">
        <v>789</v>
      </c>
      <c r="H106" s="313" t="s">
        <v>126</v>
      </c>
      <c r="I106" s="314"/>
      <c r="J106" s="314">
        <v>1335</v>
      </c>
      <c r="K106" s="313" t="s">
        <v>1282</v>
      </c>
      <c r="L106" s="109">
        <f>I106+J106*EERR!$D$2</f>
        <v>890979</v>
      </c>
      <c r="M106" s="109">
        <f>L106/EERR!$D$2</f>
        <v>1335</v>
      </c>
      <c r="N106" s="109">
        <f>SUMIF(Abr!$B$3:$B$113,A106,Abr!$V$3:$V$113)</f>
        <v>0</v>
      </c>
      <c r="O106" s="182">
        <f t="shared" si="2"/>
        <v>1</v>
      </c>
    </row>
    <row r="107" spans="1:15" x14ac:dyDescent="0.25">
      <c r="A107" s="311">
        <v>1311</v>
      </c>
      <c r="B107" s="312" t="s">
        <v>1283</v>
      </c>
      <c r="C107" s="313" t="s">
        <v>250</v>
      </c>
      <c r="D107" s="313" t="s">
        <v>123</v>
      </c>
      <c r="E107" s="313" t="s">
        <v>124</v>
      </c>
      <c r="F107" s="313" t="s">
        <v>128</v>
      </c>
      <c r="G107" s="313" t="s">
        <v>1284</v>
      </c>
      <c r="H107" s="313" t="s">
        <v>126</v>
      </c>
      <c r="I107" s="314"/>
      <c r="J107" s="314">
        <v>1025</v>
      </c>
      <c r="K107" s="313" t="s">
        <v>1285</v>
      </c>
      <c r="L107" s="109">
        <f>I107+J107*EERR!$D$2</f>
        <v>684085</v>
      </c>
      <c r="M107" s="109">
        <f>L107/EERR!$D$2</f>
        <v>1025</v>
      </c>
      <c r="N107" s="109">
        <f>SUMIF(Abr!$B$3:$B$113,A107,Abr!$V$3:$V$113)</f>
        <v>0</v>
      </c>
      <c r="O107" s="182">
        <f t="shared" si="2"/>
        <v>1</v>
      </c>
    </row>
    <row r="108" spans="1:15" x14ac:dyDescent="0.25">
      <c r="A108" s="311">
        <v>1312</v>
      </c>
      <c r="B108" s="312" t="s">
        <v>1286</v>
      </c>
      <c r="C108" s="313" t="s">
        <v>250</v>
      </c>
      <c r="D108" s="313" t="s">
        <v>123</v>
      </c>
      <c r="E108" s="313" t="s">
        <v>124</v>
      </c>
      <c r="F108" s="313" t="s">
        <v>128</v>
      </c>
      <c r="G108" s="313" t="s">
        <v>1287</v>
      </c>
      <c r="H108" s="313" t="s">
        <v>126</v>
      </c>
      <c r="I108" s="314"/>
      <c r="J108" s="314">
        <v>820</v>
      </c>
      <c r="K108" s="313" t="s">
        <v>1288</v>
      </c>
      <c r="L108" s="109">
        <f>I108+J108*EERR!$D$2</f>
        <v>547268</v>
      </c>
      <c r="M108" s="109">
        <f>L108/EERR!$D$2</f>
        <v>820</v>
      </c>
      <c r="N108" s="109">
        <f>SUMIF(Abr!$B$3:$B$113,A108,Abr!$V$3:$V$113)</f>
        <v>0</v>
      </c>
      <c r="O108" s="182">
        <f t="shared" si="2"/>
        <v>1</v>
      </c>
    </row>
    <row r="109" spans="1:15" x14ac:dyDescent="0.25">
      <c r="A109" s="311">
        <v>1313</v>
      </c>
      <c r="B109" s="312" t="s">
        <v>1289</v>
      </c>
      <c r="C109" s="313" t="s">
        <v>250</v>
      </c>
      <c r="D109" s="313" t="s">
        <v>123</v>
      </c>
      <c r="E109" s="313" t="s">
        <v>124</v>
      </c>
      <c r="F109" s="313" t="s">
        <v>125</v>
      </c>
      <c r="G109" s="313" t="s">
        <v>1290</v>
      </c>
      <c r="H109" s="313" t="s">
        <v>126</v>
      </c>
      <c r="I109" s="314"/>
      <c r="J109" s="314">
        <v>194.75</v>
      </c>
      <c r="K109" s="313" t="s">
        <v>1291</v>
      </c>
      <c r="L109" s="109">
        <f>I109+J109*EERR!$D$2</f>
        <v>129976.15</v>
      </c>
      <c r="M109" s="109">
        <f>L109/EERR!$D$2</f>
        <v>194.75</v>
      </c>
      <c r="N109" s="109">
        <f>SUMIF(Abr!$B$3:$B$113,A109,Abr!$V$3:$V$113)</f>
        <v>0</v>
      </c>
      <c r="O109" s="182">
        <f t="shared" si="2"/>
        <v>1</v>
      </c>
    </row>
    <row r="110" spans="1:15" x14ac:dyDescent="0.25">
      <c r="A110" s="311">
        <v>1314</v>
      </c>
      <c r="B110" s="312" t="s">
        <v>1292</v>
      </c>
      <c r="C110" s="313" t="s">
        <v>250</v>
      </c>
      <c r="D110" s="313" t="s">
        <v>123</v>
      </c>
      <c r="E110" s="313" t="s">
        <v>124</v>
      </c>
      <c r="F110" s="313" t="s">
        <v>129</v>
      </c>
      <c r="G110" s="313" t="s">
        <v>1293</v>
      </c>
      <c r="H110" s="313" t="s">
        <v>126</v>
      </c>
      <c r="I110" s="314"/>
      <c r="J110" s="314">
        <v>195</v>
      </c>
      <c r="K110" s="313" t="s">
        <v>1294</v>
      </c>
      <c r="L110" s="109">
        <f>I110+J110*EERR!$D$2</f>
        <v>130143</v>
      </c>
      <c r="M110" s="109">
        <f>L110/EERR!$D$2</f>
        <v>195</v>
      </c>
      <c r="N110" s="109">
        <f>SUMIF(Abr!$B$3:$B$113,A110,Abr!$V$3:$V$113)</f>
        <v>0</v>
      </c>
      <c r="O110" s="182">
        <f t="shared" si="2"/>
        <v>1</v>
      </c>
    </row>
    <row r="111" spans="1:15" x14ac:dyDescent="0.25">
      <c r="A111" s="311">
        <v>1315</v>
      </c>
      <c r="B111" s="312" t="s">
        <v>1295</v>
      </c>
      <c r="C111" s="313" t="s">
        <v>250</v>
      </c>
      <c r="D111" s="313" t="s">
        <v>123</v>
      </c>
      <c r="E111" s="313" t="s">
        <v>124</v>
      </c>
      <c r="F111" s="313" t="s">
        <v>129</v>
      </c>
      <c r="G111" s="313" t="s">
        <v>1296</v>
      </c>
      <c r="H111" s="313" t="s">
        <v>126</v>
      </c>
      <c r="I111" s="314"/>
      <c r="J111" s="314">
        <v>205</v>
      </c>
      <c r="K111" s="313" t="s">
        <v>1297</v>
      </c>
      <c r="L111" s="109">
        <f>I111+J111*EERR!$D$2</f>
        <v>136817</v>
      </c>
      <c r="M111" s="109">
        <f>L111/EERR!$D$2</f>
        <v>205</v>
      </c>
      <c r="N111" s="109">
        <f>SUMIF(Abr!$B$3:$B$113,A111,Abr!$V$3:$V$113)</f>
        <v>0</v>
      </c>
      <c r="O111" s="182">
        <f t="shared" si="2"/>
        <v>1</v>
      </c>
    </row>
    <row r="112" spans="1:15" x14ac:dyDescent="0.25">
      <c r="A112" s="311">
        <v>1316</v>
      </c>
      <c r="B112" s="312" t="s">
        <v>1298</v>
      </c>
      <c r="C112" s="313" t="s">
        <v>249</v>
      </c>
      <c r="D112" s="313" t="s">
        <v>123</v>
      </c>
      <c r="E112" s="313" t="s">
        <v>127</v>
      </c>
      <c r="F112" s="313" t="s">
        <v>128</v>
      </c>
      <c r="G112" s="313" t="s">
        <v>752</v>
      </c>
      <c r="H112" s="313" t="s">
        <v>127</v>
      </c>
      <c r="I112" s="314">
        <v>783323</v>
      </c>
      <c r="J112" s="314"/>
      <c r="K112" s="313" t="s">
        <v>1299</v>
      </c>
      <c r="L112" s="109">
        <f>I112+J112*EERR!$D$2</f>
        <v>783323</v>
      </c>
      <c r="M112" s="109">
        <f>L112/EERR!$D$2</f>
        <v>1173.693437219059</v>
      </c>
      <c r="N112" s="109">
        <f>SUMIF(Abr!$B$3:$B$113,A112,Abr!$V$3:$V$113)</f>
        <v>0</v>
      </c>
      <c r="O112" s="182">
        <f t="shared" si="2"/>
        <v>1</v>
      </c>
    </row>
    <row r="113" spans="1:15" x14ac:dyDescent="0.25">
      <c r="A113" s="311">
        <v>1317</v>
      </c>
      <c r="B113" s="318" t="s">
        <v>1300</v>
      </c>
      <c r="C113" s="313" t="s">
        <v>250</v>
      </c>
      <c r="D113" s="313" t="s">
        <v>123</v>
      </c>
      <c r="E113" s="313" t="s">
        <v>124</v>
      </c>
      <c r="F113" s="313" t="s">
        <v>129</v>
      </c>
      <c r="G113" s="313" t="s">
        <v>1301</v>
      </c>
      <c r="H113" s="313" t="s">
        <v>126</v>
      </c>
      <c r="I113" s="314"/>
      <c r="J113" s="314">
        <v>220</v>
      </c>
      <c r="K113" s="313" t="s">
        <v>1302</v>
      </c>
      <c r="L113" s="109">
        <f>I113+J113*EERR!$D$2</f>
        <v>146828</v>
      </c>
      <c r="M113" s="109">
        <f>L113/EERR!$D$2</f>
        <v>220</v>
      </c>
      <c r="N113" s="109">
        <f>SUMIF(Abr!$B$3:$B$113,A113,Abr!$V$3:$V$113)</f>
        <v>0</v>
      </c>
      <c r="O113" s="182">
        <f t="shared" si="2"/>
        <v>1</v>
      </c>
    </row>
    <row r="114" spans="1:15" x14ac:dyDescent="0.25">
      <c r="A114" s="311">
        <v>1318</v>
      </c>
      <c r="B114" s="318" t="s">
        <v>1303</v>
      </c>
      <c r="C114" s="313" t="s">
        <v>250</v>
      </c>
      <c r="D114" s="313" t="s">
        <v>123</v>
      </c>
      <c r="E114" s="313" t="s">
        <v>124</v>
      </c>
      <c r="F114" s="313" t="s">
        <v>128</v>
      </c>
      <c r="G114" s="313" t="s">
        <v>1250</v>
      </c>
      <c r="H114" s="313" t="s">
        <v>126</v>
      </c>
      <c r="I114" s="314"/>
      <c r="J114" s="314">
        <v>400</v>
      </c>
      <c r="K114" s="313" t="s">
        <v>1304</v>
      </c>
      <c r="L114" s="109">
        <f>I114+J114*EERR!$D$2</f>
        <v>266960</v>
      </c>
      <c r="M114" s="109">
        <f>L114/EERR!$D$2</f>
        <v>400</v>
      </c>
      <c r="N114" s="109">
        <f>SUMIF(Abr!$B$3:$B$113,A114,Abr!$V$3:$V$113)</f>
        <v>0</v>
      </c>
      <c r="O114" s="182">
        <f t="shared" si="2"/>
        <v>1</v>
      </c>
    </row>
    <row r="115" spans="1:15" x14ac:dyDescent="0.25">
      <c r="A115" s="311">
        <v>1319</v>
      </c>
      <c r="B115" s="318" t="s">
        <v>1305</v>
      </c>
      <c r="C115" s="313" t="s">
        <v>250</v>
      </c>
      <c r="D115" s="313" t="s">
        <v>123</v>
      </c>
      <c r="E115" s="313" t="s">
        <v>124</v>
      </c>
      <c r="F115" s="313" t="s">
        <v>128</v>
      </c>
      <c r="G115" s="313" t="s">
        <v>1306</v>
      </c>
      <c r="H115" s="313" t="s">
        <v>126</v>
      </c>
      <c r="I115" s="314"/>
      <c r="J115" s="314">
        <v>220</v>
      </c>
      <c r="K115" s="313" t="s">
        <v>1307</v>
      </c>
      <c r="L115" s="109">
        <f>I115+J115*EERR!$D$2</f>
        <v>146828</v>
      </c>
      <c r="M115" s="109">
        <f>L115/EERR!$D$2</f>
        <v>220</v>
      </c>
      <c r="N115" s="109">
        <f>SUMIF(Abr!$B$3:$B$113,A115,Abr!$V$3:$V$113)</f>
        <v>0</v>
      </c>
      <c r="O115" s="182">
        <f t="shared" si="2"/>
        <v>1</v>
      </c>
    </row>
    <row r="116" spans="1:15" x14ac:dyDescent="0.25">
      <c r="A116" s="311">
        <v>1320</v>
      </c>
      <c r="B116" s="318" t="s">
        <v>1308</v>
      </c>
      <c r="C116" s="313" t="s">
        <v>250</v>
      </c>
      <c r="D116" s="313" t="s">
        <v>123</v>
      </c>
      <c r="E116" s="313" t="s">
        <v>124</v>
      </c>
      <c r="F116" s="313" t="s">
        <v>128</v>
      </c>
      <c r="G116" s="313" t="s">
        <v>1309</v>
      </c>
      <c r="H116" s="313" t="s">
        <v>126</v>
      </c>
      <c r="I116" s="314"/>
      <c r="J116" s="314">
        <v>195</v>
      </c>
      <c r="K116" s="313" t="s">
        <v>1310</v>
      </c>
      <c r="L116" s="109">
        <f>I116+J116*EERR!$D$2</f>
        <v>130143</v>
      </c>
      <c r="M116" s="109">
        <f>L116/EERR!$D$2</f>
        <v>195</v>
      </c>
      <c r="N116" s="109">
        <f>SUMIF(Abr!$B$3:$B$113,A116,Abr!$V$3:$V$113)</f>
        <v>0</v>
      </c>
      <c r="O116" s="182">
        <f t="shared" si="2"/>
        <v>1</v>
      </c>
    </row>
    <row r="117" spans="1:15" x14ac:dyDescent="0.25">
      <c r="A117" s="311">
        <v>1321</v>
      </c>
      <c r="B117" s="318" t="s">
        <v>1311</v>
      </c>
      <c r="C117" s="313" t="s">
        <v>250</v>
      </c>
      <c r="D117" s="313" t="s">
        <v>123</v>
      </c>
      <c r="E117" s="313" t="s">
        <v>124</v>
      </c>
      <c r="F117" s="313" t="s">
        <v>129</v>
      </c>
      <c r="G117" s="313" t="s">
        <v>1312</v>
      </c>
      <c r="H117" s="313" t="s">
        <v>126</v>
      </c>
      <c r="I117" s="314"/>
      <c r="J117" s="314">
        <v>615</v>
      </c>
      <c r="K117" s="313" t="s">
        <v>1313</v>
      </c>
      <c r="L117" s="219">
        <f>I117+J117*EERR!$D$2</f>
        <v>410451</v>
      </c>
      <c r="M117" s="219">
        <f>L117/EERR!$D$2</f>
        <v>615</v>
      </c>
      <c r="N117" s="219">
        <f>SUMIF(Abr!$B$3:$B$113,A117,Abr!$V$3:$V$113)</f>
        <v>0</v>
      </c>
      <c r="O117" s="182">
        <f t="shared" si="2"/>
        <v>1</v>
      </c>
    </row>
    <row r="118" spans="1:15" x14ac:dyDescent="0.25">
      <c r="A118" s="311">
        <v>1322</v>
      </c>
      <c r="B118" s="312" t="s">
        <v>1314</v>
      </c>
      <c r="C118" s="313" t="s">
        <v>250</v>
      </c>
      <c r="D118" s="313" t="s">
        <v>123</v>
      </c>
      <c r="E118" s="313" t="s">
        <v>124</v>
      </c>
      <c r="F118" s="313" t="s">
        <v>128</v>
      </c>
      <c r="G118" s="313" t="s">
        <v>1315</v>
      </c>
      <c r="H118" s="313" t="s">
        <v>126</v>
      </c>
      <c r="I118" s="314"/>
      <c r="J118" s="314">
        <v>220</v>
      </c>
      <c r="K118" s="313" t="s">
        <v>1316</v>
      </c>
      <c r="L118" s="109">
        <f>I118+J118*EERR!$D$2</f>
        <v>146828</v>
      </c>
      <c r="M118" s="109">
        <f>L118/EERR!$D$2</f>
        <v>220</v>
      </c>
      <c r="N118" s="109">
        <f>SUMIF(Abr!$B$3:$B$113,A118,Abr!$V$3:$V$113)</f>
        <v>0</v>
      </c>
      <c r="O118" s="182">
        <f t="shared" si="2"/>
        <v>1</v>
      </c>
    </row>
    <row r="119" spans="1:15" x14ac:dyDescent="0.25">
      <c r="A119" s="311">
        <v>1323</v>
      </c>
      <c r="B119" s="318" t="s">
        <v>1317</v>
      </c>
      <c r="C119" s="313" t="s">
        <v>250</v>
      </c>
      <c r="D119" s="313" t="s">
        <v>123</v>
      </c>
      <c r="E119" s="313" t="s">
        <v>124</v>
      </c>
      <c r="F119" s="313" t="s">
        <v>128</v>
      </c>
      <c r="G119" s="313" t="s">
        <v>1318</v>
      </c>
      <c r="H119" s="313" t="s">
        <v>126</v>
      </c>
      <c r="I119" s="314"/>
      <c r="J119" s="314">
        <v>195</v>
      </c>
      <c r="K119" s="313" t="s">
        <v>1319</v>
      </c>
      <c r="L119" s="109">
        <f>I119+J119*EERR!$D$2</f>
        <v>130143</v>
      </c>
      <c r="M119" s="109">
        <f>L119/EERR!$D$2</f>
        <v>195</v>
      </c>
      <c r="N119" s="109">
        <f>SUMIF(Abr!$B$3:$B$113,A119,Abr!$V$3:$V$113)</f>
        <v>0</v>
      </c>
      <c r="O119" s="182">
        <f t="shared" si="2"/>
        <v>1</v>
      </c>
    </row>
    <row r="120" spans="1:15" x14ac:dyDescent="0.25">
      <c r="A120" s="311">
        <v>1324</v>
      </c>
      <c r="B120" s="312" t="s">
        <v>1320</v>
      </c>
      <c r="C120" s="313" t="s">
        <v>250</v>
      </c>
      <c r="D120" s="313" t="s">
        <v>123</v>
      </c>
      <c r="E120" s="313" t="s">
        <v>124</v>
      </c>
      <c r="F120" s="313" t="s">
        <v>129</v>
      </c>
      <c r="G120" s="313" t="s">
        <v>1321</v>
      </c>
      <c r="H120" s="313" t="s">
        <v>126</v>
      </c>
      <c r="I120" s="314"/>
      <c r="J120" s="314">
        <v>198</v>
      </c>
      <c r="K120" s="313" t="s">
        <v>1322</v>
      </c>
      <c r="L120" s="109">
        <f>I120+J120*EERR!$D$2</f>
        <v>132145.19999999998</v>
      </c>
      <c r="M120" s="109">
        <f>L120/EERR!$D$2</f>
        <v>197.99999999999997</v>
      </c>
      <c r="N120" s="109">
        <f>SUMIF(Abr!$B$3:$B$113,A120,Abr!$V$3:$V$113)</f>
        <v>0</v>
      </c>
      <c r="O120" s="182">
        <f t="shared" si="2"/>
        <v>1</v>
      </c>
    </row>
    <row r="121" spans="1:15" x14ac:dyDescent="0.25">
      <c r="A121" s="311"/>
      <c r="B121" s="312"/>
      <c r="C121" s="313"/>
      <c r="D121" s="313"/>
      <c r="E121" s="313"/>
      <c r="F121" s="313"/>
      <c r="G121" s="313"/>
      <c r="H121" s="313"/>
      <c r="I121" s="314"/>
      <c r="J121" s="314"/>
      <c r="K121" s="313"/>
      <c r="L121" s="109">
        <f>I121+J121*EERR!$D$2</f>
        <v>0</v>
      </c>
      <c r="M121" s="109">
        <f>L121/EERR!$D$2</f>
        <v>0</v>
      </c>
      <c r="N121" s="109">
        <f>SUMIF(Abr!$B$3:$B$113,A121,Abr!$V$3:$V$113)</f>
        <v>0</v>
      </c>
      <c r="O121" s="182">
        <f t="shared" si="2"/>
        <v>-1324</v>
      </c>
    </row>
    <row r="122" spans="1:15" x14ac:dyDescent="0.25">
      <c r="A122" s="311"/>
      <c r="B122" s="312"/>
      <c r="C122" s="313"/>
      <c r="D122" s="313"/>
      <c r="E122" s="313"/>
      <c r="F122" s="313"/>
      <c r="G122" s="313"/>
      <c r="H122" s="313"/>
      <c r="I122" s="314"/>
      <c r="J122" s="314"/>
      <c r="K122" s="313"/>
      <c r="L122" s="109">
        <f>I122+J122*EERR!$D$2</f>
        <v>0</v>
      </c>
      <c r="M122" s="109">
        <f>L122/EERR!$D$2</f>
        <v>0</v>
      </c>
      <c r="N122" s="109">
        <f>SUMIF(Abr!$B$3:$B$113,A122,Abr!$V$3:$V$113)</f>
        <v>0</v>
      </c>
      <c r="O122" s="182">
        <f t="shared" si="2"/>
        <v>0</v>
      </c>
    </row>
    <row r="123" spans="1:15" x14ac:dyDescent="0.25">
      <c r="A123" s="311"/>
      <c r="B123" s="312"/>
      <c r="C123" s="313"/>
      <c r="D123" s="313"/>
      <c r="E123" s="313"/>
      <c r="F123" s="313"/>
      <c r="G123" s="313"/>
      <c r="H123" s="313"/>
      <c r="I123" s="314"/>
      <c r="J123" s="314"/>
      <c r="K123" s="313"/>
      <c r="L123" s="109">
        <f>I123+J123*EERR!$D$2</f>
        <v>0</v>
      </c>
      <c r="M123" s="109">
        <f>L123/EERR!$D$2</f>
        <v>0</v>
      </c>
      <c r="N123" s="109">
        <f>SUMIF(Abr!$B$3:$B$113,A123,Abr!$V$3:$V$113)</f>
        <v>0</v>
      </c>
      <c r="O123" s="182">
        <f t="shared" si="2"/>
        <v>0</v>
      </c>
    </row>
    <row r="124" spans="1:15" x14ac:dyDescent="0.25">
      <c r="A124" s="311"/>
      <c r="B124" s="312"/>
      <c r="C124" s="313"/>
      <c r="D124" s="313"/>
      <c r="E124" s="313"/>
      <c r="F124" s="313"/>
      <c r="G124" s="313"/>
      <c r="H124" s="313"/>
      <c r="I124" s="314"/>
      <c r="J124" s="314"/>
      <c r="K124" s="313"/>
      <c r="L124" s="109">
        <f>I124+J124*EERR!$D$2</f>
        <v>0</v>
      </c>
      <c r="M124" s="109">
        <f>L124/EERR!$D$2</f>
        <v>0</v>
      </c>
      <c r="N124" s="109">
        <f>SUMIF(Abr!$B$3:$B$113,A124,Abr!$V$3:$V$113)</f>
        <v>0</v>
      </c>
      <c r="O124" s="182">
        <f t="shared" si="2"/>
        <v>0</v>
      </c>
    </row>
    <row r="125" spans="1:15" x14ac:dyDescent="0.25">
      <c r="A125" s="311"/>
      <c r="B125" s="312"/>
      <c r="C125" s="313"/>
      <c r="D125" s="313"/>
      <c r="E125" s="313"/>
      <c r="F125" s="313"/>
      <c r="G125" s="313"/>
      <c r="H125" s="313"/>
      <c r="I125" s="314"/>
      <c r="J125" s="314"/>
      <c r="K125" s="313"/>
      <c r="L125" s="109">
        <f>I125+J125*EERR!$D$2</f>
        <v>0</v>
      </c>
      <c r="M125" s="109">
        <f>L125/EERR!$D$2</f>
        <v>0</v>
      </c>
      <c r="N125" s="109">
        <f>SUMIF(Abr!$B$3:$B$113,A125,Abr!$V$3:$V$113)</f>
        <v>0</v>
      </c>
      <c r="O125" s="182">
        <f t="shared" si="2"/>
        <v>0</v>
      </c>
    </row>
    <row r="126" spans="1:15" x14ac:dyDescent="0.25">
      <c r="A126" s="311"/>
      <c r="B126" s="312"/>
      <c r="C126" s="313"/>
      <c r="D126" s="313"/>
      <c r="E126" s="313"/>
      <c r="F126" s="313"/>
      <c r="G126" s="313"/>
      <c r="H126" s="313"/>
      <c r="I126" s="314"/>
      <c r="J126" s="314"/>
      <c r="K126" s="313"/>
      <c r="L126" s="109">
        <f>I126+J126*EERR!$D$2</f>
        <v>0</v>
      </c>
      <c r="M126" s="109">
        <f>L126/EERR!$D$2</f>
        <v>0</v>
      </c>
      <c r="N126" s="109">
        <f>SUMIF(Abr!$B$3:$B$113,A126,Abr!$V$3:$V$113)</f>
        <v>0</v>
      </c>
      <c r="O126" s="182">
        <f t="shared" si="2"/>
        <v>0</v>
      </c>
    </row>
    <row r="127" spans="1:15" x14ac:dyDescent="0.25">
      <c r="A127" s="311"/>
      <c r="B127" s="312"/>
      <c r="C127" s="313"/>
      <c r="D127" s="313"/>
      <c r="E127" s="313"/>
      <c r="F127" s="313"/>
      <c r="G127" s="313"/>
      <c r="H127" s="313"/>
      <c r="I127" s="314"/>
      <c r="J127" s="314"/>
      <c r="K127" s="313"/>
      <c r="L127" s="109">
        <f>I127+J127*EERR!$D$2</f>
        <v>0</v>
      </c>
      <c r="M127" s="109">
        <f>L127/EERR!$D$2</f>
        <v>0</v>
      </c>
      <c r="N127" s="109">
        <f>SUMIF(Abr!$B$3:$B$113,A127,Abr!$V$3:$V$113)</f>
        <v>0</v>
      </c>
      <c r="O127" s="182">
        <f t="shared" ref="O127:O190" si="3">+A127-A126</f>
        <v>0</v>
      </c>
    </row>
    <row r="128" spans="1:15" x14ac:dyDescent="0.25">
      <c r="A128" s="311"/>
      <c r="B128" s="312"/>
      <c r="C128" s="313"/>
      <c r="D128" s="313"/>
      <c r="E128" s="313"/>
      <c r="F128" s="313"/>
      <c r="G128" s="313"/>
      <c r="H128" s="313"/>
      <c r="I128" s="314"/>
      <c r="J128" s="314"/>
      <c r="K128" s="313"/>
      <c r="L128" s="109">
        <f>I128+J128*EERR!$D$2</f>
        <v>0</v>
      </c>
      <c r="M128" s="109">
        <f>L128/EERR!$D$2</f>
        <v>0</v>
      </c>
      <c r="N128" s="109">
        <f>SUMIF(Abr!$B$3:$B$113,A128,Abr!$V$3:$V$113)</f>
        <v>0</v>
      </c>
      <c r="O128" s="182">
        <f t="shared" si="3"/>
        <v>0</v>
      </c>
    </row>
    <row r="129" spans="1:15" x14ac:dyDescent="0.25">
      <c r="A129" s="311"/>
      <c r="B129" s="312"/>
      <c r="C129" s="313"/>
      <c r="D129" s="313"/>
      <c r="E129" s="313"/>
      <c r="F129" s="313"/>
      <c r="G129" s="313"/>
      <c r="H129" s="313"/>
      <c r="I129" s="314"/>
      <c r="J129" s="314"/>
      <c r="K129" s="313"/>
      <c r="L129" s="109">
        <f>I129+J129*EERR!$D$2</f>
        <v>0</v>
      </c>
      <c r="M129" s="109">
        <f>L129/EERR!$D$2</f>
        <v>0</v>
      </c>
      <c r="N129" s="109">
        <f>SUMIF(Abr!$B$3:$B$113,A129,Abr!$V$3:$V$113)</f>
        <v>0</v>
      </c>
      <c r="O129" s="182">
        <f t="shared" si="3"/>
        <v>0</v>
      </c>
    </row>
    <row r="130" spans="1:15" x14ac:dyDescent="0.25">
      <c r="A130" s="311"/>
      <c r="B130" s="312"/>
      <c r="C130" s="313"/>
      <c r="D130" s="313"/>
      <c r="E130" s="313"/>
      <c r="F130" s="313"/>
      <c r="G130" s="313"/>
      <c r="H130" s="313"/>
      <c r="I130" s="314"/>
      <c r="J130" s="314"/>
      <c r="K130" s="313"/>
      <c r="L130" s="109">
        <f>I130+J130*EERR!$D$2</f>
        <v>0</v>
      </c>
      <c r="M130" s="109">
        <f>L130/EERR!$D$2</f>
        <v>0</v>
      </c>
      <c r="N130" s="109">
        <f>SUMIF(Abr!$B$3:$B$113,A130,Abr!$V$3:$V$113)</f>
        <v>0</v>
      </c>
      <c r="O130" s="182">
        <f t="shared" si="3"/>
        <v>0</v>
      </c>
    </row>
    <row r="131" spans="1:15" x14ac:dyDescent="0.25">
      <c r="A131" s="311"/>
      <c r="B131" s="312"/>
      <c r="C131" s="313"/>
      <c r="D131" s="313"/>
      <c r="E131" s="313"/>
      <c r="F131" s="313"/>
      <c r="G131" s="313"/>
      <c r="H131" s="313"/>
      <c r="I131" s="314"/>
      <c r="J131" s="314"/>
      <c r="K131" s="313"/>
      <c r="L131" s="109">
        <f>I131+J131*EERR!$D$2</f>
        <v>0</v>
      </c>
      <c r="M131" s="109">
        <f>L131/EERR!$D$2</f>
        <v>0</v>
      </c>
      <c r="N131" s="109">
        <f>SUMIF(Abr!$B$3:$B$113,A131,Abr!$V$3:$V$113)</f>
        <v>0</v>
      </c>
      <c r="O131" s="182">
        <f t="shared" si="3"/>
        <v>0</v>
      </c>
    </row>
    <row r="132" spans="1:15" x14ac:dyDescent="0.25">
      <c r="A132" s="311"/>
      <c r="B132" s="312"/>
      <c r="C132" s="313"/>
      <c r="D132" s="313"/>
      <c r="E132" s="313"/>
      <c r="F132" s="313"/>
      <c r="G132" s="313"/>
      <c r="H132" s="313"/>
      <c r="I132" s="314"/>
      <c r="J132" s="314"/>
      <c r="K132" s="313"/>
      <c r="L132" s="109">
        <f>I132+J132*EERR!$D$2</f>
        <v>0</v>
      </c>
      <c r="M132" s="109">
        <f>L132/EERR!$D$2</f>
        <v>0</v>
      </c>
      <c r="N132" s="109">
        <f>SUMIF(Abr!$B$3:$B$113,A132,Abr!$V$3:$V$113)</f>
        <v>0</v>
      </c>
      <c r="O132" s="182">
        <f t="shared" si="3"/>
        <v>0</v>
      </c>
    </row>
    <row r="133" spans="1:15" x14ac:dyDescent="0.25">
      <c r="A133" s="311"/>
      <c r="B133" s="312"/>
      <c r="C133" s="313"/>
      <c r="D133" s="313"/>
      <c r="E133" s="313"/>
      <c r="F133" s="313"/>
      <c r="G133" s="313"/>
      <c r="H133" s="313"/>
      <c r="I133" s="314"/>
      <c r="J133" s="314"/>
      <c r="K133" s="313"/>
      <c r="L133" s="109">
        <f>I133+J133*EERR!$D$2</f>
        <v>0</v>
      </c>
      <c r="M133" s="109">
        <f>L133/EERR!$D$2</f>
        <v>0</v>
      </c>
      <c r="N133" s="109">
        <f>SUMIF(Abr!$B$3:$B$113,A133,Abr!$V$3:$V$113)</f>
        <v>0</v>
      </c>
      <c r="O133" s="182">
        <f t="shared" si="3"/>
        <v>0</v>
      </c>
    </row>
    <row r="134" spans="1:15" x14ac:dyDescent="0.25">
      <c r="A134" s="311"/>
      <c r="B134" s="312"/>
      <c r="C134" s="313"/>
      <c r="D134" s="313"/>
      <c r="E134" s="313"/>
      <c r="F134" s="313"/>
      <c r="G134" s="313"/>
      <c r="H134" s="313"/>
      <c r="I134" s="314"/>
      <c r="J134" s="314"/>
      <c r="K134" s="313"/>
      <c r="L134" s="109">
        <f>I134+J134*EERR!$D$2</f>
        <v>0</v>
      </c>
      <c r="M134" s="109">
        <f>L134/EERR!$D$2</f>
        <v>0</v>
      </c>
      <c r="N134" s="109">
        <f>SUMIF(Abr!$B$3:$B$113,A134,Abr!$V$3:$V$113)</f>
        <v>0</v>
      </c>
      <c r="O134" s="182">
        <f t="shared" si="3"/>
        <v>0</v>
      </c>
    </row>
    <row r="135" spans="1:15" x14ac:dyDescent="0.25">
      <c r="A135" s="311"/>
      <c r="B135" s="312"/>
      <c r="C135" s="313"/>
      <c r="D135" s="313"/>
      <c r="E135" s="313"/>
      <c r="F135" s="313"/>
      <c r="G135" s="313"/>
      <c r="H135" s="313"/>
      <c r="I135" s="314"/>
      <c r="J135" s="314"/>
      <c r="K135" s="313"/>
      <c r="L135" s="109">
        <f>I135+J135*EERR!$D$2</f>
        <v>0</v>
      </c>
      <c r="M135" s="109">
        <f>L135/EERR!$D$2</f>
        <v>0</v>
      </c>
      <c r="N135" s="109">
        <f>SUMIF(Abr!$B$3:$B$113,A135,Abr!$V$3:$V$113)</f>
        <v>0</v>
      </c>
      <c r="O135" s="182">
        <f t="shared" si="3"/>
        <v>0</v>
      </c>
    </row>
    <row r="136" spans="1:15" x14ac:dyDescent="0.25">
      <c r="A136" s="311"/>
      <c r="B136" s="312"/>
      <c r="C136" s="313"/>
      <c r="D136" s="313"/>
      <c r="E136" s="313"/>
      <c r="F136" s="313"/>
      <c r="G136" s="313"/>
      <c r="H136" s="313"/>
      <c r="I136" s="314"/>
      <c r="J136" s="314"/>
      <c r="K136" s="313"/>
      <c r="L136" s="109">
        <f>I136+J136*EERR!$D$2</f>
        <v>0</v>
      </c>
      <c r="M136" s="109">
        <f>L136/EERR!$D$2</f>
        <v>0</v>
      </c>
      <c r="N136" s="109">
        <f>SUMIF(Abr!$B$3:$B$113,A136,Abr!$V$3:$V$113)</f>
        <v>0</v>
      </c>
      <c r="O136" s="182">
        <f t="shared" si="3"/>
        <v>0</v>
      </c>
    </row>
    <row r="137" spans="1:15" x14ac:dyDescent="0.25">
      <c r="A137" s="311"/>
      <c r="B137" s="312"/>
      <c r="C137" s="313"/>
      <c r="D137" s="313"/>
      <c r="E137" s="313"/>
      <c r="F137" s="313"/>
      <c r="G137" s="313"/>
      <c r="H137" s="313"/>
      <c r="I137" s="314"/>
      <c r="J137" s="314"/>
      <c r="K137" s="313"/>
      <c r="L137" s="109">
        <f>I137+J137*EERR!$D$2</f>
        <v>0</v>
      </c>
      <c r="M137" s="109">
        <f>L137/EERR!$D$2</f>
        <v>0</v>
      </c>
      <c r="N137" s="109">
        <f>SUMIF(Abr!$B$3:$B$113,A137,Abr!$V$3:$V$113)</f>
        <v>0</v>
      </c>
      <c r="O137" s="182">
        <f t="shared" si="3"/>
        <v>0</v>
      </c>
    </row>
    <row r="138" spans="1:15" x14ac:dyDescent="0.25">
      <c r="A138" s="311"/>
      <c r="B138" s="312"/>
      <c r="C138" s="313"/>
      <c r="D138" s="313"/>
      <c r="E138" s="313"/>
      <c r="F138" s="313"/>
      <c r="G138" s="313"/>
      <c r="H138" s="313"/>
      <c r="I138" s="314"/>
      <c r="J138" s="314"/>
      <c r="K138" s="313"/>
      <c r="L138" s="109">
        <f>I138+J138*EERR!$D$2</f>
        <v>0</v>
      </c>
      <c r="M138" s="109">
        <f>L138/EERR!$D$2</f>
        <v>0</v>
      </c>
      <c r="N138" s="109">
        <f>SUMIF(Abr!$B$3:$B$113,A138,Abr!$V$3:$V$113)</f>
        <v>0</v>
      </c>
      <c r="O138" s="182">
        <f t="shared" si="3"/>
        <v>0</v>
      </c>
    </row>
    <row r="139" spans="1:15" x14ac:dyDescent="0.25">
      <c r="A139" s="311"/>
      <c r="B139" s="312"/>
      <c r="C139" s="313"/>
      <c r="D139" s="313"/>
      <c r="E139" s="313"/>
      <c r="F139" s="313"/>
      <c r="G139" s="313"/>
      <c r="H139" s="313"/>
      <c r="I139" s="314"/>
      <c r="J139" s="314"/>
      <c r="K139" s="313"/>
      <c r="L139" s="109">
        <f>I139+J139*EERR!$D$2</f>
        <v>0</v>
      </c>
      <c r="M139" s="109">
        <f>L139/EERR!$D$2</f>
        <v>0</v>
      </c>
      <c r="N139" s="109">
        <f>SUMIF(Abr!$B$3:$B$113,A139,Abr!$V$3:$V$113)</f>
        <v>0</v>
      </c>
      <c r="O139" s="182">
        <f t="shared" si="3"/>
        <v>0</v>
      </c>
    </row>
    <row r="140" spans="1:15" x14ac:dyDescent="0.25">
      <c r="A140" s="311"/>
      <c r="B140" s="312"/>
      <c r="C140" s="313"/>
      <c r="D140" s="313"/>
      <c r="E140" s="313"/>
      <c r="F140" s="313"/>
      <c r="G140" s="313"/>
      <c r="H140" s="313"/>
      <c r="I140" s="314"/>
      <c r="J140" s="314"/>
      <c r="K140" s="313"/>
      <c r="L140" s="109">
        <f>I140+J140*EERR!$D$2</f>
        <v>0</v>
      </c>
      <c r="M140" s="109">
        <f>L140/EERR!$D$2</f>
        <v>0</v>
      </c>
      <c r="N140" s="109">
        <f>SUMIF(Abr!$B$3:$B$113,A140,Abr!$V$3:$V$113)</f>
        <v>0</v>
      </c>
      <c r="O140" s="182">
        <f t="shared" si="3"/>
        <v>0</v>
      </c>
    </row>
    <row r="141" spans="1:15" x14ac:dyDescent="0.25">
      <c r="A141" s="311"/>
      <c r="B141" s="312"/>
      <c r="C141" s="313"/>
      <c r="D141" s="313"/>
      <c r="E141" s="313"/>
      <c r="F141" s="313"/>
      <c r="G141" s="313"/>
      <c r="H141" s="313"/>
      <c r="I141" s="314"/>
      <c r="J141" s="314"/>
      <c r="K141" s="313"/>
      <c r="L141" s="109">
        <f>I141+J141*EERR!$D$2</f>
        <v>0</v>
      </c>
      <c r="M141" s="109">
        <f>L141/EERR!$D$2</f>
        <v>0</v>
      </c>
      <c r="N141" s="109">
        <f>SUMIF(Abr!$B$3:$B$113,A141,Abr!$V$3:$V$113)</f>
        <v>0</v>
      </c>
      <c r="O141" s="182">
        <f t="shared" si="3"/>
        <v>0</v>
      </c>
    </row>
    <row r="142" spans="1:15" x14ac:dyDescent="0.25">
      <c r="A142" s="311"/>
      <c r="B142" s="312"/>
      <c r="C142" s="313"/>
      <c r="D142" s="313"/>
      <c r="E142" s="313"/>
      <c r="F142" s="313"/>
      <c r="G142" s="313"/>
      <c r="H142" s="313"/>
      <c r="I142" s="314"/>
      <c r="J142" s="314"/>
      <c r="K142" s="313"/>
      <c r="L142" s="109">
        <f>I142+J142*EERR!$D$2</f>
        <v>0</v>
      </c>
      <c r="M142" s="109">
        <f>L142/EERR!$D$2</f>
        <v>0</v>
      </c>
      <c r="N142" s="109">
        <f>SUMIF(Abr!$B$3:$B$113,A142,Abr!$V$3:$V$113)</f>
        <v>0</v>
      </c>
      <c r="O142" s="182">
        <f t="shared" si="3"/>
        <v>0</v>
      </c>
    </row>
    <row r="143" spans="1:15" x14ac:dyDescent="0.25">
      <c r="A143" s="311"/>
      <c r="B143" s="312"/>
      <c r="C143" s="313"/>
      <c r="D143" s="313"/>
      <c r="E143" s="313"/>
      <c r="F143" s="313"/>
      <c r="G143" s="313"/>
      <c r="H143" s="313"/>
      <c r="I143" s="314"/>
      <c r="J143" s="314"/>
      <c r="K143" s="313"/>
      <c r="L143" s="109">
        <f>I143+J143*EERR!$D$2</f>
        <v>0</v>
      </c>
      <c r="M143" s="109">
        <f>L143/EERR!$D$2</f>
        <v>0</v>
      </c>
      <c r="N143" s="109">
        <f>SUMIF(Abr!$B$3:$B$113,A143,Abr!$V$3:$V$113)</f>
        <v>0</v>
      </c>
      <c r="O143" s="182">
        <f t="shared" si="3"/>
        <v>0</v>
      </c>
    </row>
    <row r="144" spans="1:15" x14ac:dyDescent="0.25">
      <c r="A144" s="311"/>
      <c r="B144" s="312"/>
      <c r="C144" s="313"/>
      <c r="D144" s="313"/>
      <c r="E144" s="313"/>
      <c r="F144" s="313"/>
      <c r="G144" s="313"/>
      <c r="H144" s="313"/>
      <c r="I144" s="314"/>
      <c r="J144" s="314"/>
      <c r="K144" s="313"/>
      <c r="L144" s="109">
        <f>I144+J144*EERR!$D$2</f>
        <v>0</v>
      </c>
      <c r="M144" s="109">
        <f>L144/EERR!$D$2</f>
        <v>0</v>
      </c>
      <c r="N144" s="109">
        <f>SUMIF(Abr!$B$3:$B$113,A144,Abr!$V$3:$V$113)</f>
        <v>0</v>
      </c>
      <c r="O144" s="182">
        <f t="shared" si="3"/>
        <v>0</v>
      </c>
    </row>
    <row r="145" spans="1:18" x14ac:dyDescent="0.25">
      <c r="A145" s="311"/>
      <c r="B145" s="312"/>
      <c r="C145" s="313"/>
      <c r="D145" s="313"/>
      <c r="E145" s="313"/>
      <c r="F145" s="313"/>
      <c r="G145" s="313"/>
      <c r="H145" s="313"/>
      <c r="I145" s="314"/>
      <c r="J145" s="314"/>
      <c r="K145" s="313"/>
      <c r="L145" s="109">
        <f>I145+J145*EERR!$D$2</f>
        <v>0</v>
      </c>
      <c r="M145" s="109">
        <f>L145/EERR!$D$2</f>
        <v>0</v>
      </c>
      <c r="N145" s="109">
        <f>SUMIF(Abr!$B$3:$B$113,A145,Abr!$V$3:$V$113)</f>
        <v>0</v>
      </c>
      <c r="O145" s="182">
        <f t="shared" si="3"/>
        <v>0</v>
      </c>
    </row>
    <row r="146" spans="1:18" x14ac:dyDescent="0.25">
      <c r="A146" s="311"/>
      <c r="B146" s="312"/>
      <c r="C146" s="313"/>
      <c r="D146" s="313"/>
      <c r="E146" s="313"/>
      <c r="F146" s="313"/>
      <c r="G146" s="313"/>
      <c r="H146" s="313"/>
      <c r="I146" s="314"/>
      <c r="J146" s="314"/>
      <c r="K146" s="313"/>
      <c r="L146" s="109">
        <f>I146+J146*EERR!$D$2</f>
        <v>0</v>
      </c>
      <c r="M146" s="109">
        <f>L146/EERR!$D$2</f>
        <v>0</v>
      </c>
      <c r="N146" s="109">
        <f>SUMIF(Abr!$B$3:$B$113,A146,Abr!$V$3:$V$113)</f>
        <v>0</v>
      </c>
      <c r="O146" s="182">
        <f t="shared" si="3"/>
        <v>0</v>
      </c>
    </row>
    <row r="147" spans="1:18" x14ac:dyDescent="0.25">
      <c r="A147" s="311"/>
      <c r="B147" s="312"/>
      <c r="C147" s="313"/>
      <c r="D147" s="313"/>
      <c r="E147" s="313"/>
      <c r="F147" s="313"/>
      <c r="G147" s="313"/>
      <c r="H147" s="313"/>
      <c r="I147" s="314"/>
      <c r="J147" s="314"/>
      <c r="K147" s="313"/>
      <c r="L147" s="109">
        <f>I147+J147*EERR!$D$2</f>
        <v>0</v>
      </c>
      <c r="M147" s="109">
        <f>L147/EERR!$D$2</f>
        <v>0</v>
      </c>
      <c r="N147" s="109">
        <f>SUMIF(Abr!$B$3:$B$113,A147,Abr!$V$3:$V$113)</f>
        <v>0</v>
      </c>
      <c r="O147" s="182">
        <f t="shared" si="3"/>
        <v>0</v>
      </c>
      <c r="Q147" s="182">
        <f>SUM(J2:J154)+Abr!L112</f>
        <v>37978</v>
      </c>
      <c r="R147" s="163">
        <f>Q147*EERR!D2</f>
        <v>25346517.199999999</v>
      </c>
    </row>
    <row r="148" spans="1:18" x14ac:dyDescent="0.25">
      <c r="A148" s="311"/>
      <c r="B148" s="312"/>
      <c r="C148" s="313"/>
      <c r="D148" s="313"/>
      <c r="E148" s="313"/>
      <c r="F148" s="313"/>
      <c r="G148" s="313"/>
      <c r="H148" s="313"/>
      <c r="I148" s="314"/>
      <c r="J148" s="314"/>
      <c r="K148" s="313"/>
      <c r="L148" s="109">
        <f>I148+J148*EERR!$D$2</f>
        <v>0</v>
      </c>
      <c r="M148" s="109">
        <f>L148/EERR!$D$2</f>
        <v>0</v>
      </c>
      <c r="N148" s="109">
        <f>SUMIF(Abr!$B$3:$B$113,A148,Abr!$V$3:$V$113)</f>
        <v>0</v>
      </c>
      <c r="O148" s="182">
        <f t="shared" si="3"/>
        <v>0</v>
      </c>
    </row>
    <row r="149" spans="1:18" x14ac:dyDescent="0.25">
      <c r="A149" s="311"/>
      <c r="B149" s="312"/>
      <c r="C149" s="313"/>
      <c r="D149" s="313"/>
      <c r="E149" s="313"/>
      <c r="F149" s="313"/>
      <c r="G149" s="313"/>
      <c r="H149" s="313"/>
      <c r="I149" s="314"/>
      <c r="J149" s="314"/>
      <c r="K149" s="313"/>
      <c r="L149" s="109">
        <f>I149+J149*EERR!$D$2</f>
        <v>0</v>
      </c>
      <c r="M149" s="109">
        <f>L149/EERR!$D$2</f>
        <v>0</v>
      </c>
      <c r="N149" s="109">
        <f>SUMIF(Abr!$B$3:$B$113,A149,Abr!$V$3:$V$113)</f>
        <v>0</v>
      </c>
      <c r="O149" s="182">
        <f t="shared" si="3"/>
        <v>0</v>
      </c>
    </row>
    <row r="150" spans="1:18" x14ac:dyDescent="0.25">
      <c r="A150" s="311"/>
      <c r="B150" s="312"/>
      <c r="C150" s="313"/>
      <c r="D150" s="313"/>
      <c r="E150" s="313"/>
      <c r="F150" s="313"/>
      <c r="G150" s="313"/>
      <c r="H150" s="313"/>
      <c r="I150" s="314"/>
      <c r="J150" s="314"/>
      <c r="K150" s="313"/>
      <c r="L150" s="109">
        <f>I150+J150*EERR!$D$2</f>
        <v>0</v>
      </c>
      <c r="M150" s="109">
        <f>L150/EERR!$D$2</f>
        <v>0</v>
      </c>
      <c r="N150" s="109">
        <f>SUMIF(Abr!$B$3:$B$113,A150,Abr!$V$3:$V$113)</f>
        <v>0</v>
      </c>
      <c r="O150" s="182">
        <f t="shared" si="3"/>
        <v>0</v>
      </c>
    </row>
    <row r="151" spans="1:18" x14ac:dyDescent="0.25">
      <c r="A151" s="311"/>
      <c r="B151" s="312"/>
      <c r="C151" s="313"/>
      <c r="D151" s="313"/>
      <c r="E151" s="313"/>
      <c r="F151" s="313"/>
      <c r="G151" s="313"/>
      <c r="H151" s="313"/>
      <c r="I151" s="314"/>
      <c r="J151" s="314"/>
      <c r="K151" s="313"/>
      <c r="L151" s="109">
        <f>I151+J151*EERR!$D$2</f>
        <v>0</v>
      </c>
      <c r="M151" s="109">
        <f>L151/EERR!$D$2</f>
        <v>0</v>
      </c>
      <c r="N151" s="109">
        <f>SUMIF(Abr!$B$3:$B$113,A151,Abr!$V$3:$V$113)</f>
        <v>0</v>
      </c>
      <c r="O151" s="182">
        <f t="shared" si="3"/>
        <v>0</v>
      </c>
    </row>
    <row r="152" spans="1:18" x14ac:dyDescent="0.25">
      <c r="A152" s="311"/>
      <c r="B152" s="312"/>
      <c r="C152" s="313"/>
      <c r="D152" s="313"/>
      <c r="E152" s="313"/>
      <c r="F152" s="313"/>
      <c r="G152" s="313"/>
      <c r="H152" s="313"/>
      <c r="I152" s="314"/>
      <c r="J152" s="314"/>
      <c r="K152" s="313"/>
      <c r="L152" s="109">
        <f>I152+J152*EERR!$D$2</f>
        <v>0</v>
      </c>
      <c r="M152" s="109">
        <f>L152/EERR!$D$2</f>
        <v>0</v>
      </c>
      <c r="N152" s="109">
        <f>SUMIF(Abr!$B$3:$B$113,A152,Abr!$V$3:$V$113)</f>
        <v>0</v>
      </c>
      <c r="O152" s="182">
        <f t="shared" si="3"/>
        <v>0</v>
      </c>
    </row>
    <row r="153" spans="1:18" x14ac:dyDescent="0.25">
      <c r="A153" s="311"/>
      <c r="B153" s="312"/>
      <c r="C153" s="313"/>
      <c r="D153" s="313"/>
      <c r="E153" s="313"/>
      <c r="F153" s="313"/>
      <c r="G153" s="313"/>
      <c r="H153" s="313"/>
      <c r="I153" s="314"/>
      <c r="J153" s="314"/>
      <c r="K153" s="313"/>
      <c r="L153" s="109">
        <f>I153+J153*EERR!$D$2</f>
        <v>0</v>
      </c>
      <c r="M153" s="109">
        <f>L153/EERR!$D$2</f>
        <v>0</v>
      </c>
      <c r="N153" s="109">
        <f>SUMIF(Abr!$B$3:$B$113,A153,Abr!$V$3:$V$113)</f>
        <v>0</v>
      </c>
      <c r="O153" s="182">
        <f t="shared" si="3"/>
        <v>0</v>
      </c>
    </row>
    <row r="154" spans="1:18" x14ac:dyDescent="0.25">
      <c r="A154" s="311"/>
      <c r="B154" s="312"/>
      <c r="C154" s="313"/>
      <c r="D154" s="313"/>
      <c r="E154" s="313"/>
      <c r="F154" s="313"/>
      <c r="G154" s="313"/>
      <c r="H154" s="313"/>
      <c r="I154" s="314"/>
      <c r="J154" s="314"/>
      <c r="K154" s="313"/>
      <c r="L154" s="109">
        <f>I154+J154*EERR!$D$2</f>
        <v>0</v>
      </c>
      <c r="M154" s="109">
        <f>L154/EERR!$D$2</f>
        <v>0</v>
      </c>
      <c r="N154" s="109">
        <f>SUMIF(Abr!$B$3:$B$113,A154,Abr!$V$3:$V$113)</f>
        <v>0</v>
      </c>
      <c r="O154" s="182">
        <f t="shared" si="3"/>
        <v>0</v>
      </c>
    </row>
    <row r="155" spans="1:18" x14ac:dyDescent="0.25">
      <c r="A155" s="311"/>
      <c r="B155" s="312"/>
      <c r="C155" s="313"/>
      <c r="D155" s="313"/>
      <c r="E155" s="313"/>
      <c r="F155" s="313"/>
      <c r="G155" s="313"/>
      <c r="H155" s="313"/>
      <c r="I155" s="314"/>
      <c r="J155" s="314"/>
      <c r="K155" s="313"/>
      <c r="L155" s="109">
        <f>I155+J155*EERR!$D$2</f>
        <v>0</v>
      </c>
      <c r="M155" s="109">
        <f>L155/EERR!$D$2</f>
        <v>0</v>
      </c>
      <c r="N155" s="109">
        <f>SUMIF(Abr!$B$3:$B$113,A155,Abr!$V$3:$V$113)</f>
        <v>0</v>
      </c>
      <c r="O155" s="182">
        <f t="shared" si="3"/>
        <v>0</v>
      </c>
    </row>
    <row r="156" spans="1:18" x14ac:dyDescent="0.25">
      <c r="A156" s="311"/>
      <c r="B156" s="312"/>
      <c r="C156" s="313"/>
      <c r="D156" s="313"/>
      <c r="E156" s="313"/>
      <c r="F156" s="313"/>
      <c r="G156" s="313"/>
      <c r="H156" s="313"/>
      <c r="I156" s="314"/>
      <c r="J156" s="314"/>
      <c r="K156" s="313"/>
      <c r="L156" s="109">
        <f>I156+J156*EERR!$D$2</f>
        <v>0</v>
      </c>
      <c r="M156" s="109">
        <f>L156/EERR!$D$2</f>
        <v>0</v>
      </c>
      <c r="N156" s="109">
        <f>SUMIF(Abr!$B$3:$B$113,A156,Abr!$V$3:$V$113)</f>
        <v>0</v>
      </c>
      <c r="O156" s="182">
        <f t="shared" si="3"/>
        <v>0</v>
      </c>
    </row>
    <row r="157" spans="1:18" x14ac:dyDescent="0.25">
      <c r="A157" s="311"/>
      <c r="B157" s="312"/>
      <c r="C157" s="313"/>
      <c r="D157" s="313"/>
      <c r="E157" s="313"/>
      <c r="F157" s="313"/>
      <c r="G157" s="313"/>
      <c r="H157" s="313"/>
      <c r="I157" s="314"/>
      <c r="J157" s="314"/>
      <c r="K157" s="313"/>
      <c r="L157" s="109">
        <f>I157+J157*EERR!$D$2</f>
        <v>0</v>
      </c>
      <c r="M157" s="109">
        <f>L157/EERR!$D$2</f>
        <v>0</v>
      </c>
      <c r="N157" s="109">
        <f>SUMIF(Abr!$B$3:$B$113,A157,Abr!$V$3:$V$113)</f>
        <v>0</v>
      </c>
      <c r="O157" s="182">
        <f t="shared" si="3"/>
        <v>0</v>
      </c>
    </row>
    <row r="158" spans="1:18" x14ac:dyDescent="0.25">
      <c r="A158" s="311"/>
      <c r="B158" s="312"/>
      <c r="C158" s="313"/>
      <c r="D158" s="313"/>
      <c r="E158" s="313"/>
      <c r="F158" s="313"/>
      <c r="G158" s="313"/>
      <c r="H158" s="313"/>
      <c r="I158" s="314"/>
      <c r="J158" s="314"/>
      <c r="K158" s="313"/>
      <c r="L158" s="109">
        <f>I158+J158*EERR!$D$2</f>
        <v>0</v>
      </c>
      <c r="M158" s="109">
        <f>L158/EERR!$D$2</f>
        <v>0</v>
      </c>
      <c r="N158" s="109">
        <f>SUMIF(Abr!$B$3:$B$113,A158,Abr!$V$3:$V$113)</f>
        <v>0</v>
      </c>
      <c r="O158" s="182">
        <f t="shared" si="3"/>
        <v>0</v>
      </c>
    </row>
    <row r="159" spans="1:18" x14ac:dyDescent="0.25">
      <c r="A159" s="311"/>
      <c r="B159" s="312"/>
      <c r="C159" s="313"/>
      <c r="D159" s="313"/>
      <c r="E159" s="313"/>
      <c r="F159" s="313"/>
      <c r="G159" s="313"/>
      <c r="H159" s="313"/>
      <c r="I159" s="314"/>
      <c r="J159" s="314"/>
      <c r="K159" s="313"/>
      <c r="L159" s="109">
        <f>I159+J159*EERR!$D$2</f>
        <v>0</v>
      </c>
      <c r="M159" s="109">
        <f>L159/EERR!$D$2</f>
        <v>0</v>
      </c>
      <c r="N159" s="109">
        <f>SUMIF(Abr!$B$3:$B$113,A159,Abr!$V$3:$V$113)</f>
        <v>0</v>
      </c>
      <c r="O159" s="182">
        <f t="shared" si="3"/>
        <v>0</v>
      </c>
    </row>
    <row r="160" spans="1:18" x14ac:dyDescent="0.25">
      <c r="A160" s="311"/>
      <c r="B160" s="312"/>
      <c r="C160" s="313"/>
      <c r="D160" s="313"/>
      <c r="E160" s="313"/>
      <c r="F160" s="313"/>
      <c r="G160" s="313"/>
      <c r="H160" s="313"/>
      <c r="I160" s="314"/>
      <c r="J160" s="314"/>
      <c r="K160" s="313"/>
      <c r="L160" s="109">
        <f>I160+J160*EERR!$D$2</f>
        <v>0</v>
      </c>
      <c r="M160" s="109">
        <f>L160/EERR!$D$2</f>
        <v>0</v>
      </c>
      <c r="N160" s="109">
        <f>SUMIF(Abr!$B$3:$B$113,A160,Abr!$V$3:$V$113)</f>
        <v>0</v>
      </c>
      <c r="O160" s="182">
        <f t="shared" si="3"/>
        <v>0</v>
      </c>
    </row>
    <row r="161" spans="1:15" x14ac:dyDescent="0.25">
      <c r="A161" s="311"/>
      <c r="B161" s="312"/>
      <c r="C161" s="313"/>
      <c r="D161" s="313"/>
      <c r="E161" s="313"/>
      <c r="F161" s="313"/>
      <c r="G161" s="313"/>
      <c r="H161" s="313"/>
      <c r="I161" s="314"/>
      <c r="J161" s="314"/>
      <c r="K161" s="313"/>
      <c r="L161" s="109">
        <f>I161+J161*EERR!$D$2</f>
        <v>0</v>
      </c>
      <c r="M161" s="109">
        <f>L161/EERR!$D$2</f>
        <v>0</v>
      </c>
      <c r="N161" s="109">
        <f>SUMIF(Abr!$B$3:$B$113,A161,Abr!$V$3:$V$113)</f>
        <v>0</v>
      </c>
      <c r="O161" s="182">
        <f t="shared" si="3"/>
        <v>0</v>
      </c>
    </row>
    <row r="162" spans="1:15" x14ac:dyDescent="0.25">
      <c r="A162" s="311"/>
      <c r="B162" s="312"/>
      <c r="C162" s="313"/>
      <c r="D162" s="313"/>
      <c r="E162" s="313"/>
      <c r="F162" s="313"/>
      <c r="G162" s="313"/>
      <c r="H162" s="313"/>
      <c r="I162" s="314"/>
      <c r="J162" s="314"/>
      <c r="K162" s="313"/>
      <c r="L162" s="109">
        <f>I162+J162*EERR!$D$2</f>
        <v>0</v>
      </c>
      <c r="M162" s="109">
        <f>L162/EERR!$D$2</f>
        <v>0</v>
      </c>
      <c r="N162" s="109">
        <f>SUMIF(Abr!$B$3:$B$113,A162,Abr!$V$3:$V$113)</f>
        <v>0</v>
      </c>
      <c r="O162" s="182">
        <f t="shared" si="3"/>
        <v>0</v>
      </c>
    </row>
    <row r="163" spans="1:15" x14ac:dyDescent="0.25">
      <c r="A163" s="311"/>
      <c r="B163" s="312"/>
      <c r="C163" s="313"/>
      <c r="D163" s="313"/>
      <c r="E163" s="313"/>
      <c r="F163" s="313"/>
      <c r="G163" s="313"/>
      <c r="H163" s="313"/>
      <c r="I163" s="314"/>
      <c r="J163" s="314"/>
      <c r="K163" s="313"/>
      <c r="L163" s="109">
        <f>I163+J163*EERR!$D$2</f>
        <v>0</v>
      </c>
      <c r="M163" s="109">
        <f>L163/EERR!$D$2</f>
        <v>0</v>
      </c>
      <c r="N163" s="109">
        <f>SUMIF(Abr!$B$3:$B$113,A163,Abr!$V$3:$V$113)</f>
        <v>0</v>
      </c>
      <c r="O163" s="182">
        <f t="shared" si="3"/>
        <v>0</v>
      </c>
    </row>
    <row r="164" spans="1:15" x14ac:dyDescent="0.25">
      <c r="A164" s="311"/>
      <c r="B164" s="312"/>
      <c r="C164" s="313"/>
      <c r="D164" s="313"/>
      <c r="E164" s="313"/>
      <c r="F164" s="313"/>
      <c r="G164" s="313"/>
      <c r="H164" s="313"/>
      <c r="I164" s="314"/>
      <c r="J164" s="314"/>
      <c r="K164" s="313"/>
      <c r="L164" s="109">
        <f>I164+J164*EERR!$D$2</f>
        <v>0</v>
      </c>
      <c r="M164" s="109">
        <f>L164/EERR!$D$2</f>
        <v>0</v>
      </c>
      <c r="N164" s="109">
        <f>SUMIF(Abr!$B$3:$B$113,A164,Abr!$V$3:$V$113)</f>
        <v>0</v>
      </c>
      <c r="O164" s="182">
        <f t="shared" si="3"/>
        <v>0</v>
      </c>
    </row>
    <row r="165" spans="1:15" x14ac:dyDescent="0.25">
      <c r="A165" s="311"/>
      <c r="B165" s="312"/>
      <c r="C165" s="313"/>
      <c r="D165" s="313"/>
      <c r="E165" s="313"/>
      <c r="F165" s="313"/>
      <c r="G165" s="313"/>
      <c r="H165" s="313"/>
      <c r="I165" s="314"/>
      <c r="J165" s="314"/>
      <c r="K165" s="313"/>
      <c r="L165" s="109">
        <f>I165+J165*EERR!$D$2</f>
        <v>0</v>
      </c>
      <c r="M165" s="109">
        <f>L165/EERR!$D$2</f>
        <v>0</v>
      </c>
      <c r="N165" s="109">
        <f>SUMIF(Abr!$B$3:$B$113,A165,Abr!$V$3:$V$113)</f>
        <v>0</v>
      </c>
      <c r="O165" s="182">
        <f t="shared" si="3"/>
        <v>0</v>
      </c>
    </row>
    <row r="166" spans="1:15" x14ac:dyDescent="0.25">
      <c r="A166" s="311"/>
      <c r="B166" s="312"/>
      <c r="C166" s="313"/>
      <c r="D166" s="313"/>
      <c r="E166" s="313"/>
      <c r="F166" s="313"/>
      <c r="G166" s="313"/>
      <c r="H166" s="313"/>
      <c r="I166" s="314"/>
      <c r="J166" s="314"/>
      <c r="K166" s="313"/>
      <c r="L166" s="109">
        <f>I166+J166*EERR!$D$2</f>
        <v>0</v>
      </c>
      <c r="M166" s="109">
        <f>L166/EERR!$D$2</f>
        <v>0</v>
      </c>
      <c r="N166" s="109">
        <f>SUMIF(Abr!$B$3:$B$113,A166,Abr!$V$3:$V$113)</f>
        <v>0</v>
      </c>
      <c r="O166" s="182">
        <f t="shared" si="3"/>
        <v>0</v>
      </c>
    </row>
    <row r="167" spans="1:15" x14ac:dyDescent="0.25">
      <c r="A167" s="311"/>
      <c r="B167" s="312"/>
      <c r="C167" s="313"/>
      <c r="D167" s="313"/>
      <c r="E167" s="313"/>
      <c r="F167" s="313"/>
      <c r="G167" s="313"/>
      <c r="H167" s="313"/>
      <c r="I167" s="314"/>
      <c r="J167" s="314"/>
      <c r="K167" s="313"/>
      <c r="L167" s="109">
        <f>I167+J167*EERR!$D$2</f>
        <v>0</v>
      </c>
      <c r="M167" s="109">
        <f>L167/EERR!$D$2</f>
        <v>0</v>
      </c>
      <c r="N167" s="109">
        <f>SUMIF(Abr!$B$3:$B$113,A167,Abr!$V$3:$V$113)</f>
        <v>0</v>
      </c>
      <c r="O167" s="182">
        <f t="shared" si="3"/>
        <v>0</v>
      </c>
    </row>
    <row r="168" spans="1:15" x14ac:dyDescent="0.25">
      <c r="A168" s="311"/>
      <c r="B168" s="312"/>
      <c r="C168" s="313"/>
      <c r="D168" s="313"/>
      <c r="E168" s="313"/>
      <c r="F168" s="313"/>
      <c r="G168" s="313"/>
      <c r="H168" s="313"/>
      <c r="I168" s="314"/>
      <c r="J168" s="314"/>
      <c r="K168" s="313"/>
      <c r="L168" s="109">
        <f>I168+J168*EERR!$D$2</f>
        <v>0</v>
      </c>
      <c r="M168" s="109">
        <f>L168/EERR!$D$2</f>
        <v>0</v>
      </c>
      <c r="N168" s="109">
        <f>SUMIF(Abr!$B$3:$B$113,A168,Abr!$V$3:$V$113)</f>
        <v>0</v>
      </c>
      <c r="O168" s="182">
        <f t="shared" si="3"/>
        <v>0</v>
      </c>
    </row>
    <row r="169" spans="1:15" x14ac:dyDescent="0.25">
      <c r="A169" s="311"/>
      <c r="B169" s="312"/>
      <c r="C169" s="313"/>
      <c r="D169" s="313"/>
      <c r="E169" s="313"/>
      <c r="F169" s="313"/>
      <c r="G169" s="313"/>
      <c r="H169" s="313"/>
      <c r="I169" s="314"/>
      <c r="J169" s="314"/>
      <c r="K169" s="313"/>
      <c r="L169" s="109">
        <f>I169+J169*EERR!$D$2</f>
        <v>0</v>
      </c>
      <c r="M169" s="109">
        <f>L169/EERR!$D$2</f>
        <v>0</v>
      </c>
      <c r="N169" s="109">
        <f>SUMIF(Abr!$B$3:$B$113,A169,Abr!$V$3:$V$113)</f>
        <v>0</v>
      </c>
      <c r="O169" s="182">
        <f t="shared" si="3"/>
        <v>0</v>
      </c>
    </row>
    <row r="170" spans="1:15" x14ac:dyDescent="0.25">
      <c r="A170" s="311"/>
      <c r="B170" s="312"/>
      <c r="C170" s="313"/>
      <c r="D170" s="313"/>
      <c r="E170" s="313"/>
      <c r="F170" s="313"/>
      <c r="G170" s="313"/>
      <c r="H170" s="313"/>
      <c r="I170" s="314"/>
      <c r="J170" s="314"/>
      <c r="K170" s="313"/>
      <c r="L170" s="109">
        <f>I170+J170*EERR!$D$2</f>
        <v>0</v>
      </c>
      <c r="M170" s="109">
        <f>L170/EERR!$D$2</f>
        <v>0</v>
      </c>
      <c r="N170" s="109">
        <f>SUMIF(Abr!$B$3:$B$113,A170,Abr!$V$3:$V$113)</f>
        <v>0</v>
      </c>
      <c r="O170" s="182">
        <f t="shared" si="3"/>
        <v>0</v>
      </c>
    </row>
    <row r="171" spans="1:15" x14ac:dyDescent="0.25">
      <c r="A171" s="311"/>
      <c r="B171" s="312"/>
      <c r="C171" s="313"/>
      <c r="D171" s="313"/>
      <c r="E171" s="313"/>
      <c r="F171" s="313"/>
      <c r="G171" s="313"/>
      <c r="H171" s="313"/>
      <c r="I171" s="314"/>
      <c r="J171" s="314"/>
      <c r="K171" s="313"/>
      <c r="L171" s="109">
        <f>I171+J171*EERR!$D$2</f>
        <v>0</v>
      </c>
      <c r="M171" s="109">
        <f>L171/EERR!$D$2</f>
        <v>0</v>
      </c>
      <c r="N171" s="109">
        <f>SUMIF(Abr!$B$3:$B$113,A171,Abr!$V$3:$V$113)</f>
        <v>0</v>
      </c>
      <c r="O171" s="182">
        <f t="shared" si="3"/>
        <v>0</v>
      </c>
    </row>
    <row r="172" spans="1:15" x14ac:dyDescent="0.25">
      <c r="A172" s="311"/>
      <c r="B172" s="312"/>
      <c r="C172" s="313"/>
      <c r="D172" s="313"/>
      <c r="E172" s="313"/>
      <c r="F172" s="313"/>
      <c r="G172" s="313"/>
      <c r="H172" s="313"/>
      <c r="I172" s="314"/>
      <c r="J172" s="314"/>
      <c r="K172" s="313"/>
      <c r="L172" s="109">
        <f>I172+J172*EERR!$D$2</f>
        <v>0</v>
      </c>
      <c r="M172" s="109">
        <f>L172/EERR!$D$2</f>
        <v>0</v>
      </c>
      <c r="N172" s="109">
        <f>SUMIF(Abr!$B$3:$B$113,A172,Abr!$V$3:$V$113)</f>
        <v>0</v>
      </c>
      <c r="O172" s="182">
        <f t="shared" si="3"/>
        <v>0</v>
      </c>
    </row>
    <row r="173" spans="1:15" x14ac:dyDescent="0.25">
      <c r="A173" s="311"/>
      <c r="B173" s="312"/>
      <c r="C173" s="313"/>
      <c r="D173" s="313"/>
      <c r="E173" s="313"/>
      <c r="F173" s="313"/>
      <c r="G173" s="313"/>
      <c r="H173" s="313"/>
      <c r="I173" s="314"/>
      <c r="J173" s="314"/>
      <c r="K173" s="313"/>
      <c r="L173" s="109">
        <f>I173+J173*EERR!$D$2</f>
        <v>0</v>
      </c>
      <c r="M173" s="109">
        <f>L173/EERR!$D$2</f>
        <v>0</v>
      </c>
      <c r="N173" s="109">
        <f>SUMIF(Abr!$B$3:$B$113,A173,Abr!$V$3:$V$113)</f>
        <v>0</v>
      </c>
      <c r="O173" s="182">
        <f t="shared" si="3"/>
        <v>0</v>
      </c>
    </row>
    <row r="174" spans="1:15" x14ac:dyDescent="0.25">
      <c r="A174" s="311"/>
      <c r="B174" s="312"/>
      <c r="C174" s="313"/>
      <c r="D174" s="313"/>
      <c r="E174" s="313"/>
      <c r="F174" s="313"/>
      <c r="G174" s="313"/>
      <c r="H174" s="313"/>
      <c r="I174" s="314"/>
      <c r="J174" s="314"/>
      <c r="K174" s="313"/>
      <c r="L174" s="109">
        <f>I174+J174*EERR!$D$2</f>
        <v>0</v>
      </c>
      <c r="M174" s="109">
        <f>L174/EERR!$D$2</f>
        <v>0</v>
      </c>
      <c r="N174" s="109">
        <f>SUMIF(Abr!$B$3:$B$113,A174,Abr!$V$3:$V$113)</f>
        <v>0</v>
      </c>
      <c r="O174" s="182">
        <f t="shared" si="3"/>
        <v>0</v>
      </c>
    </row>
    <row r="175" spans="1:15" x14ac:dyDescent="0.25">
      <c r="A175" s="311"/>
      <c r="B175" s="312"/>
      <c r="C175" s="313"/>
      <c r="D175" s="313"/>
      <c r="E175" s="313"/>
      <c r="F175" s="313"/>
      <c r="G175" s="313"/>
      <c r="H175" s="313"/>
      <c r="I175" s="314"/>
      <c r="J175" s="314"/>
      <c r="K175" s="313"/>
      <c r="L175" s="109">
        <f>I175+J175*EERR!$D$2</f>
        <v>0</v>
      </c>
      <c r="M175" s="109">
        <f>L175/EERR!$D$2</f>
        <v>0</v>
      </c>
      <c r="N175" s="109">
        <f>SUMIF(Abr!$B$3:$B$113,A175,Abr!$V$3:$V$113)</f>
        <v>0</v>
      </c>
      <c r="O175" s="182">
        <f t="shared" si="3"/>
        <v>0</v>
      </c>
    </row>
    <row r="176" spans="1:15" x14ac:dyDescent="0.25">
      <c r="A176" s="121"/>
      <c r="B176" s="118"/>
      <c r="C176" s="107"/>
      <c r="D176" s="107"/>
      <c r="E176" s="107"/>
      <c r="F176" s="107"/>
      <c r="G176" s="107"/>
      <c r="H176" s="107"/>
      <c r="I176" s="108"/>
      <c r="J176" s="108"/>
      <c r="K176" s="107"/>
      <c r="L176" s="109">
        <f>I176+J176*EERR!$D$2</f>
        <v>0</v>
      </c>
      <c r="M176" s="109">
        <f>L176/EERR!$D$2</f>
        <v>0</v>
      </c>
      <c r="N176" s="109">
        <f>SUMIF(Abr!$B$3:$B$113,A176,Abr!$V$3:$V$113)</f>
        <v>0</v>
      </c>
      <c r="O176" s="182">
        <f t="shared" si="3"/>
        <v>0</v>
      </c>
    </row>
    <row r="177" spans="1:18" x14ac:dyDescent="0.25">
      <c r="A177" s="121"/>
      <c r="B177" s="118"/>
      <c r="C177" s="107"/>
      <c r="D177" s="107"/>
      <c r="E177" s="107"/>
      <c r="F177" s="107"/>
      <c r="G177" s="107"/>
      <c r="H177" s="107"/>
      <c r="I177" s="108"/>
      <c r="J177" s="108"/>
      <c r="K177" s="107"/>
      <c r="L177" s="109">
        <f>I177+J177*EERR!$D$2</f>
        <v>0</v>
      </c>
      <c r="M177" s="109">
        <f>L177/EERR!$D$2</f>
        <v>0</v>
      </c>
      <c r="N177" s="109">
        <f>SUMIF(Abr!$B$3:$B$113,A177,Abr!$V$3:$V$113)</f>
        <v>0</v>
      </c>
      <c r="O177" s="182">
        <f t="shared" si="3"/>
        <v>0</v>
      </c>
    </row>
    <row r="178" spans="1:18" x14ac:dyDescent="0.25">
      <c r="A178" s="121"/>
      <c r="B178" s="118"/>
      <c r="C178" s="107"/>
      <c r="D178" s="107"/>
      <c r="E178" s="107"/>
      <c r="F178" s="107"/>
      <c r="G178" s="107"/>
      <c r="H178" s="107"/>
      <c r="I178" s="108"/>
      <c r="J178" s="108"/>
      <c r="K178" s="107"/>
      <c r="L178" s="109">
        <f>I178+J178*EERR!$D$2</f>
        <v>0</v>
      </c>
      <c r="M178" s="109">
        <f>L178/EERR!$D$2</f>
        <v>0</v>
      </c>
      <c r="N178" s="109">
        <f>SUMIF(Abr!$B$3:$B$113,A178,Abr!$V$3:$V$113)</f>
        <v>0</v>
      </c>
      <c r="O178" s="182">
        <f t="shared" si="3"/>
        <v>0</v>
      </c>
    </row>
    <row r="179" spans="1:18" x14ac:dyDescent="0.25">
      <c r="A179" s="121"/>
      <c r="B179" s="118"/>
      <c r="C179" s="107"/>
      <c r="D179" s="107"/>
      <c r="E179" s="107"/>
      <c r="F179" s="107"/>
      <c r="G179" s="107"/>
      <c r="H179" s="107"/>
      <c r="I179" s="108"/>
      <c r="J179" s="108"/>
      <c r="K179" s="107"/>
      <c r="L179" s="109">
        <f>I179+J179*EERR!$D$2</f>
        <v>0</v>
      </c>
      <c r="M179" s="109">
        <f>L179/EERR!$D$2</f>
        <v>0</v>
      </c>
      <c r="N179" s="109">
        <f>SUMIF(Abr!$B$3:$B$113,A179,Abr!$V$3:$V$113)</f>
        <v>0</v>
      </c>
      <c r="O179" s="182">
        <f t="shared" si="3"/>
        <v>0</v>
      </c>
    </row>
    <row r="180" spans="1:18" x14ac:dyDescent="0.25">
      <c r="A180" s="121"/>
      <c r="B180" s="118"/>
      <c r="C180" s="107"/>
      <c r="D180" s="107"/>
      <c r="E180" s="107"/>
      <c r="F180" s="107"/>
      <c r="G180" s="107"/>
      <c r="H180" s="107"/>
      <c r="I180" s="108"/>
      <c r="J180" s="108"/>
      <c r="K180" s="107"/>
      <c r="L180" s="109">
        <f>I180+J180*EERR!$D$2</f>
        <v>0</v>
      </c>
      <c r="M180" s="109">
        <f>L180/EERR!$D$2</f>
        <v>0</v>
      </c>
      <c r="N180" s="109">
        <f>SUMIF(Abr!$B$3:$B$113,A180,Abr!$V$3:$V$113)</f>
        <v>0</v>
      </c>
      <c r="O180" s="182">
        <f t="shared" si="3"/>
        <v>0</v>
      </c>
    </row>
    <row r="181" spans="1:18" x14ac:dyDescent="0.25">
      <c r="A181" s="121"/>
      <c r="B181" s="118"/>
      <c r="C181" s="107"/>
      <c r="D181" s="107"/>
      <c r="E181" s="107"/>
      <c r="F181" s="107"/>
      <c r="G181" s="107"/>
      <c r="H181" s="107"/>
      <c r="I181" s="108"/>
      <c r="J181" s="108"/>
      <c r="K181" s="107"/>
      <c r="L181" s="109">
        <f>I181+J181*EERR!$D$2</f>
        <v>0</v>
      </c>
      <c r="M181" s="109">
        <f>L181/EERR!$D$2</f>
        <v>0</v>
      </c>
      <c r="N181" s="109">
        <f>SUMIF(Abr!$B$3:$B$113,A181,Abr!$V$3:$V$113)</f>
        <v>0</v>
      </c>
      <c r="O181" s="182">
        <f t="shared" si="3"/>
        <v>0</v>
      </c>
    </row>
    <row r="182" spans="1:18" x14ac:dyDescent="0.25">
      <c r="A182" s="121"/>
      <c r="B182" s="118"/>
      <c r="C182" s="107"/>
      <c r="D182" s="107"/>
      <c r="E182" s="107"/>
      <c r="F182" s="107"/>
      <c r="G182" s="107"/>
      <c r="H182" s="107"/>
      <c r="I182" s="108"/>
      <c r="J182" s="108"/>
      <c r="K182" s="107"/>
      <c r="L182" s="109">
        <f>I182+J182*EERR!$D$2</f>
        <v>0</v>
      </c>
      <c r="M182" s="109">
        <f>L182/EERR!$D$2</f>
        <v>0</v>
      </c>
      <c r="N182" s="109">
        <f>SUMIF(Abr!$B$3:$B$113,A182,Abr!$V$3:$V$113)</f>
        <v>0</v>
      </c>
      <c r="O182" s="182">
        <f t="shared" si="3"/>
        <v>0</v>
      </c>
    </row>
    <row r="183" spans="1:18" x14ac:dyDescent="0.25">
      <c r="A183" s="121"/>
      <c r="B183" s="118"/>
      <c r="C183" s="107"/>
      <c r="D183" s="107"/>
      <c r="E183" s="107"/>
      <c r="F183" s="107"/>
      <c r="G183" s="107"/>
      <c r="H183" s="107"/>
      <c r="I183" s="108"/>
      <c r="J183" s="108"/>
      <c r="K183" s="107"/>
      <c r="L183" s="109">
        <f>I183+J183*EERR!$D$2</f>
        <v>0</v>
      </c>
      <c r="M183" s="109">
        <f>L183/EERR!$D$2</f>
        <v>0</v>
      </c>
      <c r="N183" s="109">
        <f>SUMIF(Abr!$B$3:$B$113,A183,Abr!$V$3:$V$113)</f>
        <v>0</v>
      </c>
      <c r="O183" s="182">
        <f t="shared" si="3"/>
        <v>0</v>
      </c>
    </row>
    <row r="184" spans="1:18" x14ac:dyDescent="0.25">
      <c r="A184" s="121"/>
      <c r="B184" s="118"/>
      <c r="C184" s="107"/>
      <c r="D184" s="107"/>
      <c r="E184" s="107"/>
      <c r="F184" s="107"/>
      <c r="G184" s="107"/>
      <c r="H184" s="107"/>
      <c r="I184" s="108"/>
      <c r="J184" s="108"/>
      <c r="K184" s="107"/>
      <c r="L184" s="109">
        <f>I184+J184*EERR!$D$2</f>
        <v>0</v>
      </c>
      <c r="M184" s="109">
        <f>L184/EERR!$D$2</f>
        <v>0</v>
      </c>
      <c r="N184" s="109">
        <f>SUMIF(Abr!$B$3:$B$113,A184,Abr!$V$3:$V$113)</f>
        <v>0</v>
      </c>
      <c r="O184" s="182">
        <f t="shared" si="3"/>
        <v>0</v>
      </c>
    </row>
    <row r="185" spans="1:18" x14ac:dyDescent="0.25">
      <c r="A185" s="121"/>
      <c r="B185" s="118"/>
      <c r="C185" s="107"/>
      <c r="D185" s="107"/>
      <c r="E185" s="107"/>
      <c r="F185" s="107"/>
      <c r="G185" s="107"/>
      <c r="H185" s="107"/>
      <c r="I185" s="108"/>
      <c r="J185" s="108"/>
      <c r="K185" s="107"/>
      <c r="L185" s="109">
        <f>I185+J185*EERR!$D$2</f>
        <v>0</v>
      </c>
      <c r="M185" s="109">
        <f>L185/EERR!$D$2</f>
        <v>0</v>
      </c>
      <c r="N185" s="109">
        <f>SUMIF(Abr!$B$3:$B$113,A185,Abr!$V$3:$V$113)</f>
        <v>0</v>
      </c>
      <c r="O185" s="182">
        <f t="shared" si="3"/>
        <v>0</v>
      </c>
    </row>
    <row r="186" spans="1:18" x14ac:dyDescent="0.25">
      <c r="A186" s="121"/>
      <c r="B186" s="118"/>
      <c r="C186" s="107"/>
      <c r="D186" s="107"/>
      <c r="E186" s="107"/>
      <c r="F186" s="107"/>
      <c r="G186" s="107"/>
      <c r="H186" s="107"/>
      <c r="I186" s="108"/>
      <c r="J186" s="108"/>
      <c r="K186" s="107"/>
      <c r="L186" s="109">
        <f>I186+J186*EERR!$D$2</f>
        <v>0</v>
      </c>
      <c r="M186" s="109">
        <f>L186/EERR!$D$2</f>
        <v>0</v>
      </c>
      <c r="N186" s="109">
        <f>SUMIF(Abr!$B$3:$B$113,A186,Abr!$V$3:$V$113)</f>
        <v>0</v>
      </c>
      <c r="O186" s="182">
        <f t="shared" si="3"/>
        <v>0</v>
      </c>
    </row>
    <row r="187" spans="1:18" x14ac:dyDescent="0.25">
      <c r="A187" s="121"/>
      <c r="B187" s="118"/>
      <c r="C187" s="107"/>
      <c r="D187" s="107"/>
      <c r="E187" s="107"/>
      <c r="F187" s="107"/>
      <c r="G187" s="107"/>
      <c r="H187" s="107"/>
      <c r="I187" s="108"/>
      <c r="J187" s="108"/>
      <c r="K187" s="107"/>
      <c r="L187" s="109">
        <f>I187+J187*EERR!$D$2</f>
        <v>0</v>
      </c>
      <c r="M187" s="109">
        <f>L187/EERR!$D$2</f>
        <v>0</v>
      </c>
      <c r="N187" s="109">
        <f>SUMIF(Abr!$B$3:$B$113,A187,Abr!$V$3:$V$113)</f>
        <v>0</v>
      </c>
      <c r="O187" s="182">
        <f t="shared" si="3"/>
        <v>0</v>
      </c>
    </row>
    <row r="188" spans="1:18" x14ac:dyDescent="0.25">
      <c r="A188" s="121"/>
      <c r="B188" s="118"/>
      <c r="C188" s="107"/>
      <c r="D188" s="107"/>
      <c r="E188" s="107"/>
      <c r="F188" s="107"/>
      <c r="G188" s="107"/>
      <c r="H188" s="107"/>
      <c r="I188" s="108"/>
      <c r="J188" s="108"/>
      <c r="K188" s="107"/>
      <c r="L188" s="109">
        <f>I188+J188*EERR!$D$2</f>
        <v>0</v>
      </c>
      <c r="M188" s="109">
        <f>L188/EERR!$D$2</f>
        <v>0</v>
      </c>
      <c r="N188" s="109">
        <f>SUMIF(Abr!$B$3:$B$113,A188,Abr!$V$3:$V$113)</f>
        <v>0</v>
      </c>
      <c r="O188" s="182">
        <f t="shared" si="3"/>
        <v>0</v>
      </c>
    </row>
    <row r="189" spans="1:18" x14ac:dyDescent="0.25">
      <c r="A189" s="121"/>
      <c r="B189" s="118"/>
      <c r="C189" s="107"/>
      <c r="D189" s="107"/>
      <c r="E189" s="107"/>
      <c r="F189" s="107"/>
      <c r="G189" s="107"/>
      <c r="H189" s="107"/>
      <c r="I189" s="108"/>
      <c r="J189" s="108"/>
      <c r="K189" s="107"/>
      <c r="L189" s="109">
        <f>I189+J189*EERR!$D$2</f>
        <v>0</v>
      </c>
      <c r="M189" s="109">
        <f>L189/EERR!$D$2</f>
        <v>0</v>
      </c>
      <c r="N189" s="109">
        <f>SUMIF(Abr!$B$3:$B$113,A189,Abr!$V$3:$V$113)</f>
        <v>0</v>
      </c>
      <c r="O189" s="182">
        <f t="shared" si="3"/>
        <v>0</v>
      </c>
    </row>
    <row r="190" spans="1:18" x14ac:dyDescent="0.25">
      <c r="A190" s="183"/>
      <c r="B190" s="183"/>
      <c r="C190" s="183"/>
      <c r="D190" s="183"/>
      <c r="E190" s="183"/>
      <c r="F190" s="183"/>
      <c r="G190" s="183"/>
      <c r="H190" s="183"/>
      <c r="I190" s="184">
        <f>SUM(I2:I189)</f>
        <v>3233408</v>
      </c>
      <c r="J190" s="184">
        <f>SUM(J2:J189)</f>
        <v>32428</v>
      </c>
      <c r="K190" s="183"/>
      <c r="L190" s="109">
        <f>I190+J190*EERR!$D$2</f>
        <v>24875855.199999999</v>
      </c>
      <c r="M190" s="109">
        <f>L190/EERR!$D$2</f>
        <v>37272.782738987116</v>
      </c>
      <c r="N190" s="109">
        <f>SUMIF(Abr!$B$3:$B$113,A190,Abr!$V$3:$V$113)</f>
        <v>0</v>
      </c>
      <c r="O190" s="182">
        <f t="shared" si="3"/>
        <v>0</v>
      </c>
      <c r="P190" s="162"/>
      <c r="R190" s="58">
        <v>7096000</v>
      </c>
    </row>
    <row r="191" spans="1:18" x14ac:dyDescent="0.25">
      <c r="I191" s="182">
        <f>I190-I9</f>
        <v>3233408</v>
      </c>
      <c r="J191" s="58"/>
      <c r="L191" s="109">
        <f>I191+J191*EERR!$D$2</f>
        <v>3233408</v>
      </c>
      <c r="M191" s="109">
        <f>L191/EERR!$D$2</f>
        <v>4844.7827389871145</v>
      </c>
      <c r="N191" s="109">
        <f>SUMIF(Abr!$B$3:$B$113,A191,Abr!$V$3:$V$113)</f>
        <v>0</v>
      </c>
      <c r="O191" s="182">
        <f t="shared" ref="O191:O238" si="4">+A191-A190</f>
        <v>0</v>
      </c>
      <c r="P191" s="162"/>
      <c r="R191" s="58">
        <f>R190*0.19</f>
        <v>1348240</v>
      </c>
    </row>
    <row r="192" spans="1:18" x14ac:dyDescent="0.25">
      <c r="H192" s="58" t="s">
        <v>96</v>
      </c>
      <c r="I192" s="182">
        <f>I191*0.19</f>
        <v>614347.52000000002</v>
      </c>
      <c r="J192" s="58"/>
      <c r="L192" s="109">
        <f>I192+J192*EERR!$D$2</f>
        <v>614347.52000000002</v>
      </c>
      <c r="M192" s="109">
        <f>L192/EERR!$D$2</f>
        <v>920.50872040755178</v>
      </c>
      <c r="N192" s="109">
        <f>SUMIF(Abr!$B$3:$B$113,A192,Abr!$V$3:$V$113)</f>
        <v>0</v>
      </c>
      <c r="O192" s="182">
        <f t="shared" si="4"/>
        <v>0</v>
      </c>
      <c r="Q192" s="185"/>
    </row>
    <row r="193" spans="1:16" x14ac:dyDescent="0.25">
      <c r="I193" s="58"/>
      <c r="J193" s="58"/>
      <c r="L193" s="109">
        <f>I193+J193*EERR!$D$2</f>
        <v>0</v>
      </c>
      <c r="M193" s="109">
        <f>L193/EERR!$D$2</f>
        <v>0</v>
      </c>
      <c r="N193" s="109">
        <f>SUMIF(Abr!$B$3:$B$113,A193,Abr!$V$3:$V$113)</f>
        <v>0</v>
      </c>
      <c r="O193" s="182">
        <f t="shared" si="4"/>
        <v>0</v>
      </c>
    </row>
    <row r="194" spans="1:16" x14ac:dyDescent="0.25">
      <c r="I194" s="58"/>
      <c r="J194" s="58"/>
      <c r="L194" s="109">
        <f>I194+J194*EERR!$D$2</f>
        <v>0</v>
      </c>
      <c r="M194" s="109">
        <f>L194/EERR!$D$2</f>
        <v>0</v>
      </c>
      <c r="N194" s="109">
        <f>SUMIF(Abr!$B$3:$B$113,A194,Abr!$V$3:$V$113)</f>
        <v>0</v>
      </c>
      <c r="O194" s="182">
        <f t="shared" si="4"/>
        <v>0</v>
      </c>
    </row>
    <row r="195" spans="1:16" x14ac:dyDescent="0.25">
      <c r="L195" s="109">
        <f>I195+J195*EERR!$D$2</f>
        <v>0</v>
      </c>
      <c r="M195" s="109">
        <f>L195/EERR!$D$2</f>
        <v>0</v>
      </c>
      <c r="N195" s="109">
        <f>SUMIF(Abr!$B$3:$B$113,A195,Abr!$V$3:$V$113)</f>
        <v>0</v>
      </c>
      <c r="O195" s="182">
        <f t="shared" si="4"/>
        <v>0</v>
      </c>
    </row>
    <row r="196" spans="1:16" x14ac:dyDescent="0.25">
      <c r="A196" s="149" t="s">
        <v>99</v>
      </c>
      <c r="B196" s="180" t="s">
        <v>100</v>
      </c>
      <c r="C196" s="149" t="s">
        <v>101</v>
      </c>
      <c r="D196" s="149" t="s">
        <v>102</v>
      </c>
      <c r="E196" s="149" t="s">
        <v>103</v>
      </c>
      <c r="F196" s="149" t="s">
        <v>104</v>
      </c>
      <c r="G196" s="149" t="s">
        <v>105</v>
      </c>
      <c r="H196" s="149" t="s">
        <v>106</v>
      </c>
      <c r="I196" s="151" t="s">
        <v>107</v>
      </c>
      <c r="J196" s="151" t="s">
        <v>108</v>
      </c>
      <c r="K196" s="149" t="s">
        <v>109</v>
      </c>
      <c r="L196" s="109" t="e">
        <f>I196+J196*EERR!$D$2</f>
        <v>#VALUE!</v>
      </c>
      <c r="M196" s="109" t="e">
        <f>L196/EERR!$D$2</f>
        <v>#VALUE!</v>
      </c>
      <c r="N196" s="109">
        <f>SUMIF(Abr!$B$3:$B$113,A196,Abr!$V$3:$V$113)</f>
        <v>0</v>
      </c>
      <c r="O196" s="182" t="e">
        <f t="shared" si="4"/>
        <v>#VALUE!</v>
      </c>
      <c r="P196" s="181" t="s">
        <v>86</v>
      </c>
    </row>
    <row r="197" spans="1:16" x14ac:dyDescent="0.25">
      <c r="A197" s="329">
        <v>1054</v>
      </c>
      <c r="B197" s="330" t="s">
        <v>384</v>
      </c>
      <c r="C197" s="331" t="s">
        <v>250</v>
      </c>
      <c r="D197" s="331" t="s">
        <v>123</v>
      </c>
      <c r="E197" s="331" t="s">
        <v>124</v>
      </c>
      <c r="F197" s="331" t="s">
        <v>129</v>
      </c>
      <c r="G197" s="331" t="s">
        <v>385</v>
      </c>
      <c r="H197" s="331" t="s">
        <v>126</v>
      </c>
      <c r="I197" s="328"/>
      <c r="J197" s="328">
        <v>205</v>
      </c>
      <c r="K197" s="331" t="s">
        <v>386</v>
      </c>
      <c r="L197" s="328">
        <v>136874.4</v>
      </c>
      <c r="M197" s="328">
        <v>205</v>
      </c>
      <c r="N197" s="328">
        <v>0</v>
      </c>
      <c r="O197" s="182" t="e">
        <f t="shared" si="4"/>
        <v>#VALUE!</v>
      </c>
    </row>
    <row r="198" spans="1:16" x14ac:dyDescent="0.25">
      <c r="A198" s="329">
        <v>1055</v>
      </c>
      <c r="B198" s="330" t="s">
        <v>387</v>
      </c>
      <c r="C198" s="331" t="s">
        <v>249</v>
      </c>
      <c r="D198" s="331" t="s">
        <v>123</v>
      </c>
      <c r="E198" s="331" t="s">
        <v>127</v>
      </c>
      <c r="F198" s="331" t="s">
        <v>129</v>
      </c>
      <c r="G198" s="331" t="s">
        <v>388</v>
      </c>
      <c r="H198" s="331" t="s">
        <v>127</v>
      </c>
      <c r="I198" s="328">
        <v>159055</v>
      </c>
      <c r="J198" s="328"/>
      <c r="K198" s="331" t="s">
        <v>389</v>
      </c>
      <c r="L198" s="328">
        <v>159055</v>
      </c>
      <c r="M198" s="328">
        <v>238.22040498442368</v>
      </c>
      <c r="N198" s="328">
        <v>0</v>
      </c>
      <c r="O198" s="182">
        <f t="shared" si="4"/>
        <v>1</v>
      </c>
    </row>
    <row r="199" spans="1:16" x14ac:dyDescent="0.25">
      <c r="A199" s="329">
        <v>1056</v>
      </c>
      <c r="B199" s="330" t="s">
        <v>390</v>
      </c>
      <c r="C199" s="331" t="s">
        <v>250</v>
      </c>
      <c r="D199" s="331" t="s">
        <v>123</v>
      </c>
      <c r="E199" s="331" t="s">
        <v>124</v>
      </c>
      <c r="F199" s="331" t="s">
        <v>128</v>
      </c>
      <c r="G199" s="331" t="s">
        <v>391</v>
      </c>
      <c r="H199" s="331" t="s">
        <v>126</v>
      </c>
      <c r="I199" s="328"/>
      <c r="J199" s="328">
        <v>205</v>
      </c>
      <c r="K199" s="331" t="s">
        <v>392</v>
      </c>
      <c r="L199" s="328">
        <v>136874.4</v>
      </c>
      <c r="M199" s="328">
        <v>205</v>
      </c>
      <c r="N199" s="328">
        <v>0</v>
      </c>
      <c r="O199" s="182">
        <f t="shared" si="4"/>
        <v>1</v>
      </c>
    </row>
    <row r="200" spans="1:16" x14ac:dyDescent="0.25">
      <c r="A200" s="329">
        <v>1057</v>
      </c>
      <c r="B200" s="330" t="s">
        <v>393</v>
      </c>
      <c r="C200" s="331" t="s">
        <v>250</v>
      </c>
      <c r="D200" s="331" t="s">
        <v>123</v>
      </c>
      <c r="E200" s="331" t="s">
        <v>124</v>
      </c>
      <c r="F200" s="331" t="s">
        <v>129</v>
      </c>
      <c r="G200" s="331" t="s">
        <v>394</v>
      </c>
      <c r="H200" s="331" t="s">
        <v>126</v>
      </c>
      <c r="I200" s="328"/>
      <c r="J200" s="328">
        <v>205</v>
      </c>
      <c r="K200" s="331" t="s">
        <v>395</v>
      </c>
      <c r="L200" s="328">
        <v>136874.4</v>
      </c>
      <c r="M200" s="328">
        <v>205</v>
      </c>
      <c r="N200" s="328">
        <v>0</v>
      </c>
      <c r="O200" s="182">
        <f t="shared" si="4"/>
        <v>1</v>
      </c>
    </row>
    <row r="201" spans="1:16" x14ac:dyDescent="0.25">
      <c r="A201" s="329">
        <v>1058</v>
      </c>
      <c r="B201" s="330" t="s">
        <v>396</v>
      </c>
      <c r="C201" s="331" t="s">
        <v>250</v>
      </c>
      <c r="D201" s="331" t="s">
        <v>123</v>
      </c>
      <c r="E201" s="331" t="s">
        <v>124</v>
      </c>
      <c r="F201" s="331" t="s">
        <v>129</v>
      </c>
      <c r="G201" s="331" t="s">
        <v>385</v>
      </c>
      <c r="H201" s="331" t="s">
        <v>126</v>
      </c>
      <c r="I201" s="328"/>
      <c r="J201" s="328">
        <v>205</v>
      </c>
      <c r="K201" s="331" t="s">
        <v>397</v>
      </c>
      <c r="L201" s="328">
        <v>136874.4</v>
      </c>
      <c r="M201" s="328">
        <v>205</v>
      </c>
      <c r="N201" s="328">
        <v>0</v>
      </c>
      <c r="O201" s="182">
        <f t="shared" si="4"/>
        <v>1</v>
      </c>
    </row>
    <row r="202" spans="1:16" x14ac:dyDescent="0.25">
      <c r="A202" s="329">
        <v>1059</v>
      </c>
      <c r="B202" s="330" t="s">
        <v>398</v>
      </c>
      <c r="C202" s="331" t="s">
        <v>249</v>
      </c>
      <c r="D202" s="331" t="s">
        <v>123</v>
      </c>
      <c r="E202" s="331" t="s">
        <v>127</v>
      </c>
      <c r="F202" s="331" t="s">
        <v>129</v>
      </c>
      <c r="G202" s="331" t="s">
        <v>346</v>
      </c>
      <c r="H202" s="331" t="s">
        <v>127</v>
      </c>
      <c r="I202" s="328">
        <v>3000</v>
      </c>
      <c r="J202" s="328"/>
      <c r="K202" s="331" t="s">
        <v>399</v>
      </c>
      <c r="L202" s="328">
        <v>3000</v>
      </c>
      <c r="M202" s="328">
        <v>4.4931703810208488</v>
      </c>
      <c r="N202" s="328">
        <v>104621435.0226</v>
      </c>
      <c r="O202" s="182">
        <f t="shared" si="4"/>
        <v>1</v>
      </c>
    </row>
    <row r="203" spans="1:16" x14ac:dyDescent="0.25">
      <c r="A203" s="329">
        <v>1060</v>
      </c>
      <c r="B203" s="330" t="s">
        <v>400</v>
      </c>
      <c r="C203" s="331" t="s">
        <v>250</v>
      </c>
      <c r="D203" s="331" t="s">
        <v>123</v>
      </c>
      <c r="E203" s="331" t="s">
        <v>124</v>
      </c>
      <c r="F203" s="331" t="s">
        <v>128</v>
      </c>
      <c r="G203" s="331" t="s">
        <v>401</v>
      </c>
      <c r="H203" s="331" t="s">
        <v>126</v>
      </c>
      <c r="I203" s="328"/>
      <c r="J203" s="328">
        <v>410</v>
      </c>
      <c r="K203" s="331" t="s">
        <v>402</v>
      </c>
      <c r="L203" s="328">
        <v>273748.8</v>
      </c>
      <c r="M203" s="328">
        <v>410</v>
      </c>
      <c r="N203" s="328">
        <v>0</v>
      </c>
      <c r="O203" s="182">
        <f t="shared" si="4"/>
        <v>1</v>
      </c>
    </row>
    <row r="204" spans="1:16" x14ac:dyDescent="0.25">
      <c r="A204" s="329">
        <v>1061</v>
      </c>
      <c r="B204" s="330" t="s">
        <v>403</v>
      </c>
      <c r="C204" s="331" t="s">
        <v>250</v>
      </c>
      <c r="D204" s="331" t="s">
        <v>123</v>
      </c>
      <c r="E204" s="331" t="s">
        <v>124</v>
      </c>
      <c r="F204" s="331" t="s">
        <v>128</v>
      </c>
      <c r="G204" s="331" t="s">
        <v>404</v>
      </c>
      <c r="H204" s="331" t="s">
        <v>126</v>
      </c>
      <c r="I204" s="328"/>
      <c r="J204" s="328">
        <v>410</v>
      </c>
      <c r="K204" s="331" t="s">
        <v>405</v>
      </c>
      <c r="L204" s="328">
        <v>273748.8</v>
      </c>
      <c r="M204" s="328">
        <v>410</v>
      </c>
      <c r="N204" s="328">
        <v>0</v>
      </c>
      <c r="O204" s="182">
        <f t="shared" si="4"/>
        <v>1</v>
      </c>
    </row>
    <row r="205" spans="1:16" x14ac:dyDescent="0.25">
      <c r="A205" s="329">
        <v>1062</v>
      </c>
      <c r="B205" s="330" t="s">
        <v>406</v>
      </c>
      <c r="C205" s="331" t="s">
        <v>250</v>
      </c>
      <c r="D205" s="331" t="s">
        <v>123</v>
      </c>
      <c r="E205" s="331" t="s">
        <v>124</v>
      </c>
      <c r="F205" s="331" t="s">
        <v>125</v>
      </c>
      <c r="G205" s="331" t="s">
        <v>341</v>
      </c>
      <c r="H205" s="331" t="s">
        <v>126</v>
      </c>
      <c r="I205" s="328"/>
      <c r="J205" s="328">
        <v>10</v>
      </c>
      <c r="K205" s="331" t="s">
        <v>360</v>
      </c>
      <c r="L205" s="328">
        <v>6676.7999999999993</v>
      </c>
      <c r="M205" s="328">
        <v>10</v>
      </c>
      <c r="N205" s="328">
        <v>0</v>
      </c>
      <c r="O205" s="182">
        <f t="shared" si="4"/>
        <v>1</v>
      </c>
    </row>
    <row r="206" spans="1:16" x14ac:dyDescent="0.25">
      <c r="A206" s="329">
        <v>1063</v>
      </c>
      <c r="B206" s="330" t="s">
        <v>407</v>
      </c>
      <c r="C206" s="331" t="s">
        <v>250</v>
      </c>
      <c r="D206" s="331" t="s">
        <v>123</v>
      </c>
      <c r="E206" s="331" t="s">
        <v>124</v>
      </c>
      <c r="F206" s="331" t="s">
        <v>129</v>
      </c>
      <c r="G206" s="331" t="s">
        <v>372</v>
      </c>
      <c r="H206" s="331" t="s">
        <v>126</v>
      </c>
      <c r="I206" s="328"/>
      <c r="J206" s="328">
        <v>194.75</v>
      </c>
      <c r="K206" s="331" t="s">
        <v>408</v>
      </c>
      <c r="L206" s="328">
        <v>130030.68</v>
      </c>
      <c r="M206" s="328">
        <v>194.75</v>
      </c>
      <c r="N206" s="328">
        <v>0</v>
      </c>
      <c r="O206" s="182">
        <f t="shared" si="4"/>
        <v>1</v>
      </c>
    </row>
    <row r="207" spans="1:16" x14ac:dyDescent="0.25">
      <c r="A207" s="329">
        <v>1064</v>
      </c>
      <c r="B207" s="330" t="s">
        <v>409</v>
      </c>
      <c r="C207" s="331" t="s">
        <v>250</v>
      </c>
      <c r="D207" s="331" t="s">
        <v>123</v>
      </c>
      <c r="E207" s="331" t="s">
        <v>124</v>
      </c>
      <c r="F207" s="331" t="s">
        <v>129</v>
      </c>
      <c r="G207" s="331" t="s">
        <v>410</v>
      </c>
      <c r="H207" s="331" t="s">
        <v>126</v>
      </c>
      <c r="I207" s="328"/>
      <c r="J207" s="328">
        <v>205</v>
      </c>
      <c r="K207" s="331" t="s">
        <v>411</v>
      </c>
      <c r="L207" s="328">
        <v>136874.4</v>
      </c>
      <c r="M207" s="328">
        <v>205</v>
      </c>
      <c r="N207" s="328">
        <v>0</v>
      </c>
      <c r="O207" s="182">
        <f t="shared" si="4"/>
        <v>1</v>
      </c>
    </row>
    <row r="208" spans="1:16" x14ac:dyDescent="0.25">
      <c r="A208" s="329">
        <v>1065</v>
      </c>
      <c r="B208" s="330" t="s">
        <v>412</v>
      </c>
      <c r="C208" s="331" t="s">
        <v>250</v>
      </c>
      <c r="D208" s="331" t="s">
        <v>123</v>
      </c>
      <c r="E208" s="331" t="s">
        <v>124</v>
      </c>
      <c r="F208" s="331" t="s">
        <v>128</v>
      </c>
      <c r="G208" s="331" t="s">
        <v>413</v>
      </c>
      <c r="H208" s="331" t="s">
        <v>126</v>
      </c>
      <c r="I208" s="328"/>
      <c r="J208" s="328">
        <v>615</v>
      </c>
      <c r="K208" s="331" t="s">
        <v>414</v>
      </c>
      <c r="L208" s="328">
        <v>410623.19999999995</v>
      </c>
      <c r="M208" s="328">
        <v>615</v>
      </c>
      <c r="N208" s="328">
        <v>0</v>
      </c>
      <c r="O208" s="182">
        <f t="shared" si="4"/>
        <v>1</v>
      </c>
    </row>
    <row r="209" spans="1:17" x14ac:dyDescent="0.25">
      <c r="A209" s="329">
        <v>1066</v>
      </c>
      <c r="B209" s="330" t="s">
        <v>415</v>
      </c>
      <c r="C209" s="331" t="s">
        <v>249</v>
      </c>
      <c r="D209" s="331" t="s">
        <v>123</v>
      </c>
      <c r="E209" s="331" t="s">
        <v>127</v>
      </c>
      <c r="F209" s="331" t="s">
        <v>129</v>
      </c>
      <c r="G209" s="331" t="s">
        <v>351</v>
      </c>
      <c r="H209" s="331" t="s">
        <v>127</v>
      </c>
      <c r="I209" s="328">
        <v>18000</v>
      </c>
      <c r="J209" s="328"/>
      <c r="K209" s="331" t="s">
        <v>416</v>
      </c>
      <c r="L209" s="328">
        <v>18000</v>
      </c>
      <c r="M209" s="328">
        <v>26.959022286125091</v>
      </c>
      <c r="N209" s="328">
        <v>0</v>
      </c>
      <c r="O209" s="182">
        <f t="shared" si="4"/>
        <v>1</v>
      </c>
    </row>
    <row r="210" spans="1:17" x14ac:dyDescent="0.25">
      <c r="A210" s="329">
        <v>1067</v>
      </c>
      <c r="B210" s="330" t="s">
        <v>417</v>
      </c>
      <c r="C210" s="331" t="s">
        <v>250</v>
      </c>
      <c r="D210" s="331" t="s">
        <v>123</v>
      </c>
      <c r="E210" s="331" t="s">
        <v>124</v>
      </c>
      <c r="F210" s="331" t="s">
        <v>128</v>
      </c>
      <c r="G210" s="331" t="s">
        <v>345</v>
      </c>
      <c r="H210" s="331" t="s">
        <v>126</v>
      </c>
      <c r="I210" s="328"/>
      <c r="J210" s="328">
        <v>1025</v>
      </c>
      <c r="K210" s="331" t="s">
        <v>418</v>
      </c>
      <c r="L210" s="328">
        <v>684372</v>
      </c>
      <c r="M210" s="328">
        <v>1025</v>
      </c>
      <c r="N210" s="328">
        <v>0</v>
      </c>
      <c r="O210" s="182">
        <f t="shared" si="4"/>
        <v>1</v>
      </c>
    </row>
    <row r="211" spans="1:17" x14ac:dyDescent="0.25">
      <c r="A211" s="329">
        <v>1068</v>
      </c>
      <c r="B211" s="330" t="s">
        <v>419</v>
      </c>
      <c r="C211" s="331" t="s">
        <v>250</v>
      </c>
      <c r="D211" s="331" t="s">
        <v>123</v>
      </c>
      <c r="E211" s="331" t="s">
        <v>124</v>
      </c>
      <c r="F211" s="331" t="s">
        <v>125</v>
      </c>
      <c r="G211" s="331" t="s">
        <v>420</v>
      </c>
      <c r="H211" s="331" t="s">
        <v>126</v>
      </c>
      <c r="I211" s="328"/>
      <c r="J211" s="328">
        <v>205</v>
      </c>
      <c r="K211" s="331" t="s">
        <v>340</v>
      </c>
      <c r="L211" s="328">
        <v>136874.4</v>
      </c>
      <c r="M211" s="328">
        <v>205</v>
      </c>
      <c r="N211" s="328">
        <v>0</v>
      </c>
      <c r="O211" s="182">
        <f t="shared" si="4"/>
        <v>1</v>
      </c>
    </row>
    <row r="212" spans="1:17" x14ac:dyDescent="0.25">
      <c r="A212" s="329">
        <v>1069</v>
      </c>
      <c r="B212" s="330" t="s">
        <v>421</v>
      </c>
      <c r="C212" s="331" t="s">
        <v>250</v>
      </c>
      <c r="D212" s="331" t="s">
        <v>123</v>
      </c>
      <c r="E212" s="331" t="s">
        <v>124</v>
      </c>
      <c r="F212" s="331" t="s">
        <v>125</v>
      </c>
      <c r="G212" s="331" t="s">
        <v>422</v>
      </c>
      <c r="H212" s="331" t="s">
        <v>126</v>
      </c>
      <c r="I212" s="328"/>
      <c r="J212" s="328">
        <v>205</v>
      </c>
      <c r="K212" s="331" t="s">
        <v>423</v>
      </c>
      <c r="L212" s="328">
        <v>136874.4</v>
      </c>
      <c r="M212" s="328">
        <v>205</v>
      </c>
      <c r="N212" s="328">
        <v>547497.6</v>
      </c>
      <c r="O212" s="182">
        <f t="shared" si="4"/>
        <v>1</v>
      </c>
      <c r="Q212" s="58" t="s">
        <v>181</v>
      </c>
    </row>
    <row r="213" spans="1:17" x14ac:dyDescent="0.25">
      <c r="A213" s="329">
        <v>1070</v>
      </c>
      <c r="B213" s="330" t="s">
        <v>424</v>
      </c>
      <c r="C213" s="331" t="s">
        <v>250</v>
      </c>
      <c r="D213" s="331" t="s">
        <v>123</v>
      </c>
      <c r="E213" s="331" t="s">
        <v>124</v>
      </c>
      <c r="F213" s="331" t="s">
        <v>128</v>
      </c>
      <c r="G213" s="331" t="s">
        <v>425</v>
      </c>
      <c r="H213" s="331" t="s">
        <v>126</v>
      </c>
      <c r="I213" s="328"/>
      <c r="J213" s="328">
        <v>205</v>
      </c>
      <c r="K213" s="331" t="s">
        <v>426</v>
      </c>
      <c r="L213" s="328">
        <v>136874.4</v>
      </c>
      <c r="M213" s="328">
        <v>205</v>
      </c>
      <c r="N213" s="328">
        <v>0</v>
      </c>
      <c r="O213" s="182">
        <f t="shared" si="4"/>
        <v>1</v>
      </c>
    </row>
    <row r="214" spans="1:17" x14ac:dyDescent="0.25">
      <c r="A214" s="329">
        <v>1071</v>
      </c>
      <c r="B214" s="330" t="s">
        <v>427</v>
      </c>
      <c r="C214" s="331" t="s">
        <v>250</v>
      </c>
      <c r="D214" s="331" t="s">
        <v>123</v>
      </c>
      <c r="E214" s="331" t="s">
        <v>124</v>
      </c>
      <c r="F214" s="331" t="s">
        <v>129</v>
      </c>
      <c r="G214" s="331" t="s">
        <v>428</v>
      </c>
      <c r="H214" s="331" t="s">
        <v>126</v>
      </c>
      <c r="I214" s="328"/>
      <c r="J214" s="328">
        <v>194.75</v>
      </c>
      <c r="K214" s="331" t="s">
        <v>429</v>
      </c>
      <c r="L214" s="328">
        <v>130030.68</v>
      </c>
      <c r="M214" s="328">
        <v>194.75</v>
      </c>
      <c r="N214" s="328">
        <v>0</v>
      </c>
      <c r="O214" s="182">
        <f t="shared" si="4"/>
        <v>1</v>
      </c>
    </row>
    <row r="215" spans="1:17" x14ac:dyDescent="0.25">
      <c r="A215" s="329">
        <v>1072</v>
      </c>
      <c r="B215" s="330" t="s">
        <v>430</v>
      </c>
      <c r="C215" s="331" t="s">
        <v>250</v>
      </c>
      <c r="D215" s="331" t="s">
        <v>123</v>
      </c>
      <c r="E215" s="331" t="s">
        <v>124</v>
      </c>
      <c r="F215" s="331" t="s">
        <v>128</v>
      </c>
      <c r="G215" s="331" t="s">
        <v>431</v>
      </c>
      <c r="H215" s="331" t="s">
        <v>126</v>
      </c>
      <c r="I215" s="328"/>
      <c r="J215" s="328">
        <v>205</v>
      </c>
      <c r="K215" s="331" t="s">
        <v>432</v>
      </c>
      <c r="L215" s="328">
        <v>136874.4</v>
      </c>
      <c r="M215" s="328">
        <v>205</v>
      </c>
      <c r="N215" s="328">
        <v>410623.19999999995</v>
      </c>
      <c r="O215" s="182">
        <f t="shared" si="4"/>
        <v>1</v>
      </c>
    </row>
    <row r="216" spans="1:17" x14ac:dyDescent="0.25">
      <c r="A216" s="329">
        <v>1073</v>
      </c>
      <c r="B216" s="330" t="s">
        <v>433</v>
      </c>
      <c r="C216" s="331" t="s">
        <v>250</v>
      </c>
      <c r="D216" s="331" t="s">
        <v>123</v>
      </c>
      <c r="E216" s="331" t="s">
        <v>124</v>
      </c>
      <c r="F216" s="331" t="s">
        <v>129</v>
      </c>
      <c r="G216" s="331" t="s">
        <v>434</v>
      </c>
      <c r="H216" s="331" t="s">
        <v>126</v>
      </c>
      <c r="I216" s="328"/>
      <c r="J216" s="328">
        <v>205</v>
      </c>
      <c r="K216" s="331" t="s">
        <v>435</v>
      </c>
      <c r="L216" s="328">
        <v>136874.4</v>
      </c>
      <c r="M216" s="328">
        <v>205</v>
      </c>
      <c r="N216" s="328">
        <v>0</v>
      </c>
      <c r="O216" s="182">
        <f t="shared" si="4"/>
        <v>1</v>
      </c>
    </row>
    <row r="217" spans="1:17" x14ac:dyDescent="0.25">
      <c r="A217" s="329">
        <v>1073</v>
      </c>
      <c r="B217" s="330" t="s">
        <v>433</v>
      </c>
      <c r="C217" s="331" t="s">
        <v>250</v>
      </c>
      <c r="D217" s="331" t="s">
        <v>123</v>
      </c>
      <c r="E217" s="331" t="s">
        <v>320</v>
      </c>
      <c r="F217" s="331" t="s">
        <v>129</v>
      </c>
      <c r="G217" s="331" t="s">
        <v>434</v>
      </c>
      <c r="H217" s="331" t="s">
        <v>126</v>
      </c>
      <c r="I217" s="328"/>
      <c r="J217" s="328">
        <v>-205</v>
      </c>
      <c r="K217" s="331" t="s">
        <v>435</v>
      </c>
      <c r="L217" s="328">
        <v>131857.435</v>
      </c>
      <c r="M217" s="328">
        <v>194.75</v>
      </c>
      <c r="N217" s="328">
        <v>0</v>
      </c>
      <c r="O217" s="182">
        <f t="shared" si="4"/>
        <v>0</v>
      </c>
    </row>
    <row r="218" spans="1:17" x14ac:dyDescent="0.25">
      <c r="A218" s="329">
        <v>1074</v>
      </c>
      <c r="B218" s="330" t="s">
        <v>436</v>
      </c>
      <c r="C218" s="331" t="s">
        <v>250</v>
      </c>
      <c r="D218" s="331" t="s">
        <v>123</v>
      </c>
      <c r="E218" s="331" t="s">
        <v>124</v>
      </c>
      <c r="F218" s="331" t="s">
        <v>129</v>
      </c>
      <c r="G218" s="331" t="s">
        <v>437</v>
      </c>
      <c r="H218" s="331" t="s">
        <v>126</v>
      </c>
      <c r="I218" s="328"/>
      <c r="J218" s="328">
        <v>205</v>
      </c>
      <c r="K218" s="331" t="s">
        <v>438</v>
      </c>
      <c r="L218" s="328">
        <v>136874.4</v>
      </c>
      <c r="M218" s="328">
        <v>205</v>
      </c>
      <c r="N218" s="328">
        <v>136874.4</v>
      </c>
      <c r="O218" s="182">
        <f t="shared" si="4"/>
        <v>1</v>
      </c>
    </row>
    <row r="219" spans="1:17" x14ac:dyDescent="0.25">
      <c r="A219" s="329">
        <v>1075</v>
      </c>
      <c r="B219" s="330" t="s">
        <v>439</v>
      </c>
      <c r="C219" s="331" t="s">
        <v>250</v>
      </c>
      <c r="D219" s="331" t="s">
        <v>123</v>
      </c>
      <c r="E219" s="331" t="s">
        <v>124</v>
      </c>
      <c r="F219" s="331" t="s">
        <v>128</v>
      </c>
      <c r="G219" s="331" t="s">
        <v>440</v>
      </c>
      <c r="H219" s="331" t="s">
        <v>126</v>
      </c>
      <c r="I219" s="328"/>
      <c r="J219" s="328">
        <v>205</v>
      </c>
      <c r="K219" s="331" t="s">
        <v>441</v>
      </c>
      <c r="L219" s="328">
        <v>136874.4</v>
      </c>
      <c r="M219" s="328">
        <v>205</v>
      </c>
      <c r="N219" s="328">
        <v>547497.6</v>
      </c>
      <c r="O219" s="182">
        <f t="shared" si="4"/>
        <v>1</v>
      </c>
      <c r="Q219" s="58" t="s">
        <v>182</v>
      </c>
    </row>
    <row r="220" spans="1:17" x14ac:dyDescent="0.25">
      <c r="A220" s="329">
        <v>1076</v>
      </c>
      <c r="B220" s="330" t="s">
        <v>442</v>
      </c>
      <c r="C220" s="331" t="s">
        <v>250</v>
      </c>
      <c r="D220" s="331" t="s">
        <v>123</v>
      </c>
      <c r="E220" s="331" t="s">
        <v>124</v>
      </c>
      <c r="F220" s="331" t="s">
        <v>128</v>
      </c>
      <c r="G220" s="331" t="s">
        <v>443</v>
      </c>
      <c r="H220" s="331" t="s">
        <v>126</v>
      </c>
      <c r="I220" s="328"/>
      <c r="J220" s="328">
        <v>615</v>
      </c>
      <c r="K220" s="331" t="s">
        <v>444</v>
      </c>
      <c r="L220" s="328">
        <v>410623.19999999995</v>
      </c>
      <c r="M220" s="328">
        <v>615</v>
      </c>
      <c r="N220" s="328">
        <v>0</v>
      </c>
      <c r="O220" s="182">
        <f t="shared" si="4"/>
        <v>1</v>
      </c>
    </row>
    <row r="221" spans="1:17" x14ac:dyDescent="0.25">
      <c r="A221" s="329">
        <v>1077</v>
      </c>
      <c r="B221" s="330" t="s">
        <v>445</v>
      </c>
      <c r="C221" s="331" t="s">
        <v>250</v>
      </c>
      <c r="D221" s="331" t="s">
        <v>123</v>
      </c>
      <c r="E221" s="331" t="s">
        <v>124</v>
      </c>
      <c r="F221" s="331" t="s">
        <v>129</v>
      </c>
      <c r="G221" s="331" t="s">
        <v>446</v>
      </c>
      <c r="H221" s="331" t="s">
        <v>126</v>
      </c>
      <c r="I221" s="328"/>
      <c r="J221" s="328">
        <v>205</v>
      </c>
      <c r="K221" s="331" t="s">
        <v>447</v>
      </c>
      <c r="L221" s="328">
        <v>136874.4</v>
      </c>
      <c r="M221" s="328">
        <v>205</v>
      </c>
      <c r="N221" s="328">
        <v>821246.39999999991</v>
      </c>
      <c r="O221" s="182">
        <f t="shared" si="4"/>
        <v>1</v>
      </c>
    </row>
    <row r="222" spans="1:17" x14ac:dyDescent="0.25">
      <c r="A222" s="329">
        <v>1078</v>
      </c>
      <c r="B222" s="330" t="s">
        <v>448</v>
      </c>
      <c r="C222" s="331" t="s">
        <v>250</v>
      </c>
      <c r="D222" s="331" t="s">
        <v>123</v>
      </c>
      <c r="E222" s="331" t="s">
        <v>124</v>
      </c>
      <c r="F222" s="331" t="s">
        <v>128</v>
      </c>
      <c r="G222" s="331" t="s">
        <v>449</v>
      </c>
      <c r="H222" s="331" t="s">
        <v>126</v>
      </c>
      <c r="I222" s="328"/>
      <c r="J222" s="328">
        <v>194.75</v>
      </c>
      <c r="K222" s="331" t="s">
        <v>450</v>
      </c>
      <c r="L222" s="328">
        <v>130030.68</v>
      </c>
      <c r="M222" s="328">
        <v>194.75</v>
      </c>
      <c r="N222" s="328">
        <v>390258.95999999996</v>
      </c>
      <c r="O222" s="182">
        <f t="shared" si="4"/>
        <v>1</v>
      </c>
    </row>
    <row r="223" spans="1:17" x14ac:dyDescent="0.25">
      <c r="A223" s="329">
        <v>1079</v>
      </c>
      <c r="B223" s="330" t="s">
        <v>451</v>
      </c>
      <c r="C223" s="331" t="s">
        <v>250</v>
      </c>
      <c r="D223" s="331" t="s">
        <v>123</v>
      </c>
      <c r="E223" s="331" t="s">
        <v>124</v>
      </c>
      <c r="F223" s="331" t="s">
        <v>128</v>
      </c>
      <c r="G223" s="331" t="s">
        <v>452</v>
      </c>
      <c r="H223" s="331" t="s">
        <v>126</v>
      </c>
      <c r="I223" s="328"/>
      <c r="J223" s="328">
        <v>205</v>
      </c>
      <c r="K223" s="331" t="s">
        <v>453</v>
      </c>
      <c r="L223" s="328">
        <v>136874.4</v>
      </c>
      <c r="M223" s="328">
        <v>205</v>
      </c>
      <c r="N223" s="328">
        <v>273748.8</v>
      </c>
      <c r="O223" s="182">
        <f t="shared" si="4"/>
        <v>1</v>
      </c>
    </row>
    <row r="224" spans="1:17" x14ac:dyDescent="0.25">
      <c r="A224" s="329">
        <v>1080</v>
      </c>
      <c r="B224" s="330" t="s">
        <v>454</v>
      </c>
      <c r="C224" s="331" t="s">
        <v>250</v>
      </c>
      <c r="D224" s="331" t="s">
        <v>123</v>
      </c>
      <c r="E224" s="331" t="s">
        <v>124</v>
      </c>
      <c r="F224" s="331" t="s">
        <v>129</v>
      </c>
      <c r="G224" s="331" t="s">
        <v>455</v>
      </c>
      <c r="H224" s="331" t="s">
        <v>126</v>
      </c>
      <c r="I224" s="328"/>
      <c r="J224" s="328">
        <v>205</v>
      </c>
      <c r="K224" s="331" t="s">
        <v>456</v>
      </c>
      <c r="L224" s="328">
        <v>136874.4</v>
      </c>
      <c r="M224" s="328">
        <v>205</v>
      </c>
      <c r="N224" s="328">
        <v>684372</v>
      </c>
      <c r="O224" s="182">
        <f t="shared" si="4"/>
        <v>1</v>
      </c>
    </row>
    <row r="225" spans="1:17" x14ac:dyDescent="0.25">
      <c r="A225" s="329">
        <v>1081</v>
      </c>
      <c r="B225" s="330" t="s">
        <v>457</v>
      </c>
      <c r="C225" s="331" t="s">
        <v>250</v>
      </c>
      <c r="D225" s="331" t="s">
        <v>123</v>
      </c>
      <c r="E225" s="331" t="s">
        <v>124</v>
      </c>
      <c r="F225" s="331" t="s">
        <v>129</v>
      </c>
      <c r="G225" s="331" t="s">
        <v>458</v>
      </c>
      <c r="H225" s="331" t="s">
        <v>126</v>
      </c>
      <c r="I225" s="328"/>
      <c r="J225" s="328">
        <v>205</v>
      </c>
      <c r="K225" s="331" t="s">
        <v>459</v>
      </c>
      <c r="L225" s="328">
        <v>136874.4</v>
      </c>
      <c r="M225" s="328">
        <v>205</v>
      </c>
      <c r="N225" s="328">
        <v>0</v>
      </c>
      <c r="O225" s="182">
        <f t="shared" si="4"/>
        <v>1</v>
      </c>
    </row>
    <row r="226" spans="1:17" x14ac:dyDescent="0.25">
      <c r="A226" s="329">
        <v>1082</v>
      </c>
      <c r="B226" s="330" t="s">
        <v>460</v>
      </c>
      <c r="C226" s="331" t="s">
        <v>249</v>
      </c>
      <c r="D226" s="331" t="s">
        <v>123</v>
      </c>
      <c r="E226" s="331" t="s">
        <v>127</v>
      </c>
      <c r="F226" s="331" t="s">
        <v>128</v>
      </c>
      <c r="G226" s="331" t="s">
        <v>461</v>
      </c>
      <c r="H226" s="331" t="s">
        <v>127</v>
      </c>
      <c r="I226" s="328">
        <v>304986</v>
      </c>
      <c r="J226" s="328"/>
      <c r="K226" s="331" t="s">
        <v>462</v>
      </c>
      <c r="L226" s="328">
        <v>304986</v>
      </c>
      <c r="M226" s="328">
        <v>456.78468727534153</v>
      </c>
      <c r="N226" s="328">
        <v>614607</v>
      </c>
      <c r="O226" s="182">
        <f t="shared" si="4"/>
        <v>1</v>
      </c>
    </row>
    <row r="227" spans="1:17" x14ac:dyDescent="0.25">
      <c r="A227" s="329">
        <v>1083</v>
      </c>
      <c r="B227" s="330" t="s">
        <v>463</v>
      </c>
      <c r="C227" s="331" t="s">
        <v>250</v>
      </c>
      <c r="D227" s="331" t="s">
        <v>123</v>
      </c>
      <c r="E227" s="331" t="s">
        <v>124</v>
      </c>
      <c r="F227" s="331" t="s">
        <v>128</v>
      </c>
      <c r="G227" s="331" t="s">
        <v>401</v>
      </c>
      <c r="H227" s="331" t="s">
        <v>126</v>
      </c>
      <c r="I227" s="328"/>
      <c r="J227" s="328">
        <v>205</v>
      </c>
      <c r="K227" s="331" t="s">
        <v>464</v>
      </c>
      <c r="L227" s="328">
        <v>136874.4</v>
      </c>
      <c r="M227" s="328">
        <v>205</v>
      </c>
      <c r="N227" s="328">
        <v>0</v>
      </c>
      <c r="O227" s="182">
        <f t="shared" si="4"/>
        <v>1</v>
      </c>
    </row>
    <row r="228" spans="1:17" x14ac:dyDescent="0.25">
      <c r="A228" s="329">
        <v>1084</v>
      </c>
      <c r="B228" s="330" t="s">
        <v>465</v>
      </c>
      <c r="C228" s="331" t="s">
        <v>250</v>
      </c>
      <c r="D228" s="331" t="s">
        <v>123</v>
      </c>
      <c r="E228" s="331" t="s">
        <v>124</v>
      </c>
      <c r="F228" s="331" t="s">
        <v>128</v>
      </c>
      <c r="G228" s="331" t="s">
        <v>466</v>
      </c>
      <c r="H228" s="331" t="s">
        <v>126</v>
      </c>
      <c r="I228" s="328"/>
      <c r="J228" s="328">
        <v>1121</v>
      </c>
      <c r="K228" s="331" t="s">
        <v>467</v>
      </c>
      <c r="L228" s="328">
        <v>748469.27999999991</v>
      </c>
      <c r="M228" s="328">
        <v>1121</v>
      </c>
      <c r="N228" s="328">
        <v>0</v>
      </c>
      <c r="O228" s="182">
        <f t="shared" si="4"/>
        <v>1</v>
      </c>
    </row>
    <row r="229" spans="1:17" x14ac:dyDescent="0.25">
      <c r="A229" s="333">
        <v>1085</v>
      </c>
      <c r="B229" s="334" t="s">
        <v>468</v>
      </c>
      <c r="C229" s="335" t="s">
        <v>250</v>
      </c>
      <c r="D229" s="335" t="s">
        <v>123</v>
      </c>
      <c r="E229" s="335" t="s">
        <v>124</v>
      </c>
      <c r="F229" s="335" t="s">
        <v>125</v>
      </c>
      <c r="G229" s="335" t="s">
        <v>469</v>
      </c>
      <c r="H229" s="335" t="s">
        <v>126</v>
      </c>
      <c r="I229" s="336"/>
      <c r="J229" s="336">
        <v>205</v>
      </c>
      <c r="K229" s="335" t="s">
        <v>470</v>
      </c>
      <c r="L229" s="336">
        <v>136874.4</v>
      </c>
      <c r="M229" s="336">
        <v>205</v>
      </c>
      <c r="N229" s="336">
        <v>547497.6</v>
      </c>
      <c r="O229" s="182">
        <f t="shared" si="4"/>
        <v>1</v>
      </c>
    </row>
    <row r="230" spans="1:17" x14ac:dyDescent="0.25">
      <c r="A230" s="333">
        <v>1085</v>
      </c>
      <c r="B230" s="334" t="s">
        <v>468</v>
      </c>
      <c r="C230" s="335" t="s">
        <v>250</v>
      </c>
      <c r="D230" s="335" t="s">
        <v>123</v>
      </c>
      <c r="E230" s="335" t="s">
        <v>320</v>
      </c>
      <c r="F230" s="335" t="s">
        <v>125</v>
      </c>
      <c r="G230" s="335" t="s">
        <v>469</v>
      </c>
      <c r="H230" s="335" t="s">
        <v>126</v>
      </c>
      <c r="I230" s="336"/>
      <c r="J230" s="336">
        <v>-205</v>
      </c>
      <c r="K230" s="335"/>
      <c r="L230" s="336"/>
      <c r="M230" s="336"/>
      <c r="N230" s="336"/>
      <c r="O230" s="182"/>
    </row>
    <row r="231" spans="1:17" x14ac:dyDescent="0.25">
      <c r="A231" s="329">
        <v>1086</v>
      </c>
      <c r="B231" s="330" t="s">
        <v>471</v>
      </c>
      <c r="C231" s="331" t="s">
        <v>250</v>
      </c>
      <c r="D231" s="331" t="s">
        <v>123</v>
      </c>
      <c r="E231" s="331" t="s">
        <v>124</v>
      </c>
      <c r="F231" s="331" t="s">
        <v>129</v>
      </c>
      <c r="G231" s="331" t="s">
        <v>472</v>
      </c>
      <c r="H231" s="331" t="s">
        <v>126</v>
      </c>
      <c r="I231" s="328"/>
      <c r="J231" s="328">
        <v>512.5</v>
      </c>
      <c r="K231" s="331" t="s">
        <v>473</v>
      </c>
      <c r="L231" s="328">
        <v>342186</v>
      </c>
      <c r="M231" s="328">
        <v>512.5</v>
      </c>
      <c r="N231" s="328">
        <v>0</v>
      </c>
      <c r="O231" s="182">
        <f>+A231-A229</f>
        <v>1</v>
      </c>
    </row>
    <row r="232" spans="1:17" x14ac:dyDescent="0.25">
      <c r="A232" s="329">
        <v>1087</v>
      </c>
      <c r="B232" s="330" t="s">
        <v>474</v>
      </c>
      <c r="C232" s="331" t="s">
        <v>250</v>
      </c>
      <c r="D232" s="331" t="s">
        <v>123</v>
      </c>
      <c r="E232" s="331" t="s">
        <v>124</v>
      </c>
      <c r="F232" s="331" t="s">
        <v>129</v>
      </c>
      <c r="G232" s="331" t="s">
        <v>347</v>
      </c>
      <c r="H232" s="331" t="s">
        <v>126</v>
      </c>
      <c r="I232" s="328"/>
      <c r="J232" s="328">
        <v>820</v>
      </c>
      <c r="K232" s="331" t="s">
        <v>475</v>
      </c>
      <c r="L232" s="328">
        <v>547497.6</v>
      </c>
      <c r="M232" s="328">
        <v>820</v>
      </c>
      <c r="N232" s="328">
        <v>0</v>
      </c>
      <c r="O232" s="182">
        <f t="shared" si="4"/>
        <v>1</v>
      </c>
    </row>
    <row r="233" spans="1:17" x14ac:dyDescent="0.25">
      <c r="A233" s="329">
        <v>1088</v>
      </c>
      <c r="B233" s="330" t="s">
        <v>476</v>
      </c>
      <c r="C233" s="331" t="s">
        <v>250</v>
      </c>
      <c r="D233" s="331" t="s">
        <v>123</v>
      </c>
      <c r="E233" s="331" t="s">
        <v>124</v>
      </c>
      <c r="F233" s="331" t="s">
        <v>128</v>
      </c>
      <c r="G233" s="331" t="s">
        <v>477</v>
      </c>
      <c r="H233" s="331" t="s">
        <v>126</v>
      </c>
      <c r="I233" s="328"/>
      <c r="J233" s="328">
        <v>205</v>
      </c>
      <c r="K233" s="331" t="s">
        <v>478</v>
      </c>
      <c r="L233" s="328">
        <v>136874.4</v>
      </c>
      <c r="M233" s="328">
        <v>205</v>
      </c>
      <c r="N233" s="328">
        <v>821246.39999999991</v>
      </c>
      <c r="O233" s="182">
        <f t="shared" si="4"/>
        <v>1</v>
      </c>
    </row>
    <row r="234" spans="1:17" x14ac:dyDescent="0.25">
      <c r="A234" s="329">
        <v>1089</v>
      </c>
      <c r="B234" s="330" t="s">
        <v>479</v>
      </c>
      <c r="C234" s="331" t="s">
        <v>250</v>
      </c>
      <c r="D234" s="331" t="s">
        <v>123</v>
      </c>
      <c r="E234" s="331" t="s">
        <v>124</v>
      </c>
      <c r="F234" s="331" t="s">
        <v>129</v>
      </c>
      <c r="G234" s="331" t="s">
        <v>480</v>
      </c>
      <c r="H234" s="331" t="s">
        <v>126</v>
      </c>
      <c r="I234" s="328"/>
      <c r="J234" s="328">
        <v>205</v>
      </c>
      <c r="K234" s="331" t="s">
        <v>481</v>
      </c>
      <c r="L234" s="328">
        <v>136874.4</v>
      </c>
      <c r="M234" s="328">
        <v>205</v>
      </c>
      <c r="N234" s="328">
        <v>410623.19999999995</v>
      </c>
      <c r="O234" s="182">
        <f t="shared" si="4"/>
        <v>1</v>
      </c>
    </row>
    <row r="235" spans="1:17" x14ac:dyDescent="0.25">
      <c r="A235" s="329">
        <v>1090</v>
      </c>
      <c r="B235" s="330" t="s">
        <v>482</v>
      </c>
      <c r="C235" s="331" t="s">
        <v>250</v>
      </c>
      <c r="D235" s="331" t="s">
        <v>123</v>
      </c>
      <c r="E235" s="331" t="s">
        <v>124</v>
      </c>
      <c r="F235" s="331" t="s">
        <v>128</v>
      </c>
      <c r="G235" s="331" t="s">
        <v>483</v>
      </c>
      <c r="H235" s="331" t="s">
        <v>126</v>
      </c>
      <c r="I235" s="328"/>
      <c r="J235" s="328">
        <v>205</v>
      </c>
      <c r="K235" s="331" t="s">
        <v>484</v>
      </c>
      <c r="L235" s="328">
        <v>136874.4</v>
      </c>
      <c r="M235" s="328">
        <v>205</v>
      </c>
      <c r="N235" s="328">
        <v>547497.6</v>
      </c>
      <c r="O235" s="182">
        <f t="shared" si="4"/>
        <v>1</v>
      </c>
    </row>
    <row r="236" spans="1:17" x14ac:dyDescent="0.25">
      <c r="A236" s="329">
        <v>1091</v>
      </c>
      <c r="B236" s="330" t="s">
        <v>485</v>
      </c>
      <c r="C236" s="331" t="s">
        <v>250</v>
      </c>
      <c r="D236" s="331" t="s">
        <v>123</v>
      </c>
      <c r="E236" s="331" t="s">
        <v>124</v>
      </c>
      <c r="F236" s="331" t="s">
        <v>128</v>
      </c>
      <c r="G236" s="331" t="s">
        <v>486</v>
      </c>
      <c r="H236" s="331" t="s">
        <v>126</v>
      </c>
      <c r="I236" s="328"/>
      <c r="J236" s="328">
        <v>205</v>
      </c>
      <c r="K236" s="331" t="s">
        <v>487</v>
      </c>
      <c r="L236" s="328">
        <v>136874.4</v>
      </c>
      <c r="M236" s="328">
        <v>205</v>
      </c>
      <c r="N236" s="328">
        <v>410623.19999999995</v>
      </c>
      <c r="O236" s="182">
        <f t="shared" si="4"/>
        <v>1</v>
      </c>
    </row>
    <row r="237" spans="1:17" x14ac:dyDescent="0.25">
      <c r="A237" s="329">
        <v>1092</v>
      </c>
      <c r="B237" s="330" t="s">
        <v>488</v>
      </c>
      <c r="C237" s="331" t="s">
        <v>250</v>
      </c>
      <c r="D237" s="331" t="s">
        <v>123</v>
      </c>
      <c r="E237" s="331" t="s">
        <v>124</v>
      </c>
      <c r="F237" s="331" t="s">
        <v>128</v>
      </c>
      <c r="G237" s="331" t="s">
        <v>489</v>
      </c>
      <c r="H237" s="331" t="s">
        <v>126</v>
      </c>
      <c r="I237" s="328"/>
      <c r="J237" s="328">
        <v>205</v>
      </c>
      <c r="K237" s="331" t="s">
        <v>490</v>
      </c>
      <c r="L237" s="328">
        <v>136874.4</v>
      </c>
      <c r="M237" s="328">
        <v>205</v>
      </c>
      <c r="N237" s="328">
        <v>0</v>
      </c>
      <c r="O237" s="182">
        <f t="shared" si="4"/>
        <v>1</v>
      </c>
    </row>
    <row r="238" spans="1:17" x14ac:dyDescent="0.25">
      <c r="A238" s="329">
        <v>1093</v>
      </c>
      <c r="B238" s="330" t="s">
        <v>491</v>
      </c>
      <c r="C238" s="331" t="s">
        <v>250</v>
      </c>
      <c r="D238" s="331" t="s">
        <v>123</v>
      </c>
      <c r="E238" s="331" t="s">
        <v>124</v>
      </c>
      <c r="F238" s="331" t="s">
        <v>129</v>
      </c>
      <c r="G238" s="331" t="s">
        <v>492</v>
      </c>
      <c r="H238" s="331" t="s">
        <v>126</v>
      </c>
      <c r="I238" s="328"/>
      <c r="J238" s="328">
        <v>205</v>
      </c>
      <c r="K238" s="331" t="s">
        <v>493</v>
      </c>
      <c r="L238" s="328">
        <v>136874.4</v>
      </c>
      <c r="M238" s="328">
        <v>205</v>
      </c>
      <c r="N238" s="328">
        <v>547497.6</v>
      </c>
      <c r="O238" s="182">
        <f t="shared" si="4"/>
        <v>1</v>
      </c>
    </row>
    <row r="239" spans="1:17" x14ac:dyDescent="0.25">
      <c r="A239" s="329">
        <v>1094</v>
      </c>
      <c r="B239" s="330" t="s">
        <v>494</v>
      </c>
      <c r="C239" s="331" t="s">
        <v>250</v>
      </c>
      <c r="D239" s="331" t="s">
        <v>123</v>
      </c>
      <c r="E239" s="331" t="s">
        <v>124</v>
      </c>
      <c r="F239" s="331" t="s">
        <v>129</v>
      </c>
      <c r="G239" s="331" t="s">
        <v>354</v>
      </c>
      <c r="H239" s="331" t="s">
        <v>126</v>
      </c>
      <c r="I239" s="328"/>
      <c r="J239" s="328">
        <v>520</v>
      </c>
      <c r="K239" s="331" t="s">
        <v>495</v>
      </c>
      <c r="L239" s="328">
        <v>347193.59999999998</v>
      </c>
      <c r="M239" s="328">
        <v>520</v>
      </c>
      <c r="N239" s="328">
        <v>0</v>
      </c>
      <c r="O239" s="182">
        <f t="shared" ref="O239:O302" si="5">+A239-A238</f>
        <v>1</v>
      </c>
      <c r="Q239" s="225">
        <v>1</v>
      </c>
    </row>
    <row r="240" spans="1:17" x14ac:dyDescent="0.25">
      <c r="A240" s="329">
        <v>1095</v>
      </c>
      <c r="B240" s="330" t="s">
        <v>496</v>
      </c>
      <c r="C240" s="331" t="s">
        <v>250</v>
      </c>
      <c r="D240" s="331" t="s">
        <v>123</v>
      </c>
      <c r="E240" s="331" t="s">
        <v>124</v>
      </c>
      <c r="F240" s="331" t="s">
        <v>129</v>
      </c>
      <c r="G240" s="331" t="s">
        <v>497</v>
      </c>
      <c r="H240" s="331" t="s">
        <v>126</v>
      </c>
      <c r="I240" s="328"/>
      <c r="J240" s="328">
        <v>820</v>
      </c>
      <c r="K240" s="331" t="s">
        <v>498</v>
      </c>
      <c r="L240" s="328">
        <v>547497.6</v>
      </c>
      <c r="M240" s="328">
        <v>820</v>
      </c>
      <c r="N240" s="328">
        <v>0</v>
      </c>
      <c r="O240" s="182">
        <f t="shared" si="5"/>
        <v>1</v>
      </c>
    </row>
    <row r="241" spans="1:15" x14ac:dyDescent="0.25">
      <c r="A241" s="329">
        <v>1096</v>
      </c>
      <c r="B241" s="330" t="s">
        <v>499</v>
      </c>
      <c r="C241" s="331" t="s">
        <v>250</v>
      </c>
      <c r="D241" s="331" t="s">
        <v>123</v>
      </c>
      <c r="E241" s="331" t="s">
        <v>124</v>
      </c>
      <c r="F241" s="331" t="s">
        <v>129</v>
      </c>
      <c r="G241" s="331" t="s">
        <v>500</v>
      </c>
      <c r="H241" s="331" t="s">
        <v>126</v>
      </c>
      <c r="I241" s="328"/>
      <c r="J241" s="328">
        <v>205</v>
      </c>
      <c r="K241" s="331" t="s">
        <v>501</v>
      </c>
      <c r="L241" s="328">
        <v>136874.4</v>
      </c>
      <c r="M241" s="328">
        <v>205</v>
      </c>
      <c r="N241" s="328">
        <v>410623.19999999995</v>
      </c>
      <c r="O241" s="182">
        <f t="shared" si="5"/>
        <v>1</v>
      </c>
    </row>
    <row r="242" spans="1:15" x14ac:dyDescent="0.25">
      <c r="A242" s="329">
        <v>1097</v>
      </c>
      <c r="B242" s="330" t="s">
        <v>502</v>
      </c>
      <c r="C242" s="331" t="s">
        <v>249</v>
      </c>
      <c r="D242" s="331" t="s">
        <v>123</v>
      </c>
      <c r="E242" s="331" t="s">
        <v>127</v>
      </c>
      <c r="F242" s="331" t="s">
        <v>129</v>
      </c>
      <c r="G242" s="331" t="s">
        <v>503</v>
      </c>
      <c r="H242" s="331" t="s">
        <v>127</v>
      </c>
      <c r="I242" s="328">
        <v>163690</v>
      </c>
      <c r="J242" s="328"/>
      <c r="K242" s="331" t="s">
        <v>504</v>
      </c>
      <c r="L242" s="328">
        <v>163690</v>
      </c>
      <c r="M242" s="328">
        <v>245.16235322310089</v>
      </c>
      <c r="N242" s="328">
        <v>0</v>
      </c>
      <c r="O242" s="182">
        <f t="shared" si="5"/>
        <v>1</v>
      </c>
    </row>
    <row r="243" spans="1:15" x14ac:dyDescent="0.25">
      <c r="A243" s="329">
        <v>1098</v>
      </c>
      <c r="B243" s="330" t="s">
        <v>505</v>
      </c>
      <c r="C243" s="331" t="s">
        <v>250</v>
      </c>
      <c r="D243" s="331" t="s">
        <v>123</v>
      </c>
      <c r="E243" s="331" t="s">
        <v>124</v>
      </c>
      <c r="F243" s="331" t="s">
        <v>125</v>
      </c>
      <c r="G243" s="331" t="s">
        <v>506</v>
      </c>
      <c r="H243" s="331" t="s">
        <v>126</v>
      </c>
      <c r="I243" s="328"/>
      <c r="J243" s="328">
        <v>205</v>
      </c>
      <c r="K243" s="331" t="s">
        <v>321</v>
      </c>
      <c r="L243" s="328">
        <v>136874.4</v>
      </c>
      <c r="M243" s="328">
        <v>205</v>
      </c>
      <c r="N243" s="328">
        <v>821246.39999999991</v>
      </c>
      <c r="O243" s="182">
        <f t="shared" si="5"/>
        <v>1</v>
      </c>
    </row>
    <row r="244" spans="1:15" x14ac:dyDescent="0.25">
      <c r="A244" s="329">
        <v>1099</v>
      </c>
      <c r="B244" s="330" t="s">
        <v>507</v>
      </c>
      <c r="C244" s="331" t="s">
        <v>250</v>
      </c>
      <c r="D244" s="331" t="s">
        <v>123</v>
      </c>
      <c r="E244" s="331" t="s">
        <v>124</v>
      </c>
      <c r="F244" s="331" t="s">
        <v>129</v>
      </c>
      <c r="G244" s="331" t="s">
        <v>508</v>
      </c>
      <c r="H244" s="331" t="s">
        <v>126</v>
      </c>
      <c r="I244" s="328"/>
      <c r="J244" s="328">
        <v>194.75</v>
      </c>
      <c r="K244" s="331" t="s">
        <v>509</v>
      </c>
      <c r="L244" s="328">
        <v>130030.68</v>
      </c>
      <c r="M244" s="328">
        <v>194.75</v>
      </c>
      <c r="N244" s="328">
        <v>0</v>
      </c>
      <c r="O244" s="182">
        <f t="shared" si="5"/>
        <v>1</v>
      </c>
    </row>
    <row r="245" spans="1:15" x14ac:dyDescent="0.25">
      <c r="A245" s="329">
        <v>1100</v>
      </c>
      <c r="B245" s="330" t="s">
        <v>510</v>
      </c>
      <c r="C245" s="331" t="s">
        <v>249</v>
      </c>
      <c r="D245" s="331" t="s">
        <v>123</v>
      </c>
      <c r="E245" s="331" t="s">
        <v>127</v>
      </c>
      <c r="F245" s="331" t="s">
        <v>129</v>
      </c>
      <c r="G245" s="331" t="s">
        <v>348</v>
      </c>
      <c r="H245" s="331" t="s">
        <v>127</v>
      </c>
      <c r="I245" s="328">
        <v>6000</v>
      </c>
      <c r="J245" s="328"/>
      <c r="K245" s="331" t="s">
        <v>511</v>
      </c>
      <c r="L245" s="332">
        <v>6000</v>
      </c>
      <c r="M245" s="328">
        <v>8.9863407620416975</v>
      </c>
      <c r="N245" s="328">
        <v>0</v>
      </c>
      <c r="O245" s="182">
        <f t="shared" si="5"/>
        <v>1</v>
      </c>
    </row>
    <row r="246" spans="1:15" x14ac:dyDescent="0.25">
      <c r="A246" s="329">
        <v>1101</v>
      </c>
      <c r="B246" s="330" t="s">
        <v>512</v>
      </c>
      <c r="C246" s="331" t="s">
        <v>250</v>
      </c>
      <c r="D246" s="331" t="s">
        <v>123</v>
      </c>
      <c r="E246" s="331" t="s">
        <v>124</v>
      </c>
      <c r="F246" s="331" t="s">
        <v>128</v>
      </c>
      <c r="G246" s="331" t="s">
        <v>513</v>
      </c>
      <c r="H246" s="331" t="s">
        <v>126</v>
      </c>
      <c r="I246" s="328"/>
      <c r="J246" s="328">
        <v>205</v>
      </c>
      <c r="K246" s="331" t="s">
        <v>514</v>
      </c>
      <c r="L246" s="328">
        <v>136874.4</v>
      </c>
      <c r="M246" s="328">
        <v>205</v>
      </c>
      <c r="N246" s="328">
        <v>136874.4</v>
      </c>
      <c r="O246" s="182">
        <f t="shared" si="5"/>
        <v>1</v>
      </c>
    </row>
    <row r="247" spans="1:15" x14ac:dyDescent="0.25">
      <c r="A247" s="329">
        <v>1102</v>
      </c>
      <c r="B247" s="330" t="s">
        <v>515</v>
      </c>
      <c r="C247" s="331" t="s">
        <v>250</v>
      </c>
      <c r="D247" s="331" t="s">
        <v>123</v>
      </c>
      <c r="E247" s="331" t="s">
        <v>124</v>
      </c>
      <c r="F247" s="331" t="s">
        <v>125</v>
      </c>
      <c r="G247" s="331" t="s">
        <v>358</v>
      </c>
      <c r="H247" s="331" t="s">
        <v>126</v>
      </c>
      <c r="I247" s="328"/>
      <c r="J247" s="328">
        <v>790</v>
      </c>
      <c r="K247" s="331" t="s">
        <v>339</v>
      </c>
      <c r="L247" s="328">
        <v>527467.19999999995</v>
      </c>
      <c r="M247" s="328">
        <v>790</v>
      </c>
      <c r="N247" s="328">
        <v>0</v>
      </c>
      <c r="O247" s="182">
        <f t="shared" si="5"/>
        <v>1</v>
      </c>
    </row>
    <row r="248" spans="1:15" x14ac:dyDescent="0.25">
      <c r="A248" s="329">
        <v>1103</v>
      </c>
      <c r="B248" s="330" t="s">
        <v>516</v>
      </c>
      <c r="C248" s="331" t="s">
        <v>250</v>
      </c>
      <c r="D248" s="331" t="s">
        <v>123</v>
      </c>
      <c r="E248" s="331" t="s">
        <v>124</v>
      </c>
      <c r="F248" s="331" t="s">
        <v>129</v>
      </c>
      <c r="G248" s="331" t="s">
        <v>349</v>
      </c>
      <c r="H248" s="331" t="s">
        <v>126</v>
      </c>
      <c r="I248" s="328"/>
      <c r="J248" s="328">
        <v>584.25</v>
      </c>
      <c r="K248" s="331" t="s">
        <v>517</v>
      </c>
      <c r="L248" s="328">
        <v>390092.04</v>
      </c>
      <c r="M248" s="328">
        <v>584.25</v>
      </c>
      <c r="N248" s="328">
        <v>0</v>
      </c>
      <c r="O248" s="182">
        <f t="shared" si="5"/>
        <v>1</v>
      </c>
    </row>
    <row r="249" spans="1:15" x14ac:dyDescent="0.25">
      <c r="A249" s="329">
        <v>1104</v>
      </c>
      <c r="B249" s="330" t="s">
        <v>518</v>
      </c>
      <c r="C249" s="331" t="s">
        <v>250</v>
      </c>
      <c r="D249" s="331" t="s">
        <v>123</v>
      </c>
      <c r="E249" s="331" t="s">
        <v>124</v>
      </c>
      <c r="F249" s="331" t="s">
        <v>129</v>
      </c>
      <c r="G249" s="331" t="s">
        <v>519</v>
      </c>
      <c r="H249" s="331" t="s">
        <v>126</v>
      </c>
      <c r="I249" s="328"/>
      <c r="J249" s="328">
        <v>205</v>
      </c>
      <c r="K249" s="331" t="s">
        <v>520</v>
      </c>
      <c r="L249" s="328">
        <v>136874.4</v>
      </c>
      <c r="M249" s="328">
        <v>205</v>
      </c>
      <c r="N249" s="328">
        <v>0</v>
      </c>
      <c r="O249" s="182">
        <f t="shared" si="5"/>
        <v>1</v>
      </c>
    </row>
    <row r="250" spans="1:15" x14ac:dyDescent="0.25">
      <c r="A250" s="329">
        <v>1105</v>
      </c>
      <c r="B250" s="330" t="s">
        <v>521</v>
      </c>
      <c r="C250" s="331" t="s">
        <v>250</v>
      </c>
      <c r="D250" s="331" t="s">
        <v>123</v>
      </c>
      <c r="E250" s="331" t="s">
        <v>124</v>
      </c>
      <c r="F250" s="331" t="s">
        <v>129</v>
      </c>
      <c r="G250" s="331" t="s">
        <v>522</v>
      </c>
      <c r="H250" s="331" t="s">
        <v>126</v>
      </c>
      <c r="I250" s="328"/>
      <c r="J250" s="328">
        <v>205</v>
      </c>
      <c r="K250" s="331" t="s">
        <v>523</v>
      </c>
      <c r="L250" s="328">
        <v>136874.4</v>
      </c>
      <c r="M250" s="328">
        <v>205</v>
      </c>
      <c r="N250" s="328">
        <v>0</v>
      </c>
      <c r="O250" s="182">
        <f t="shared" si="5"/>
        <v>1</v>
      </c>
    </row>
    <row r="251" spans="1:15" x14ac:dyDescent="0.25">
      <c r="A251" s="329">
        <v>1106</v>
      </c>
      <c r="B251" s="330" t="s">
        <v>524</v>
      </c>
      <c r="C251" s="331" t="s">
        <v>250</v>
      </c>
      <c r="D251" s="331" t="s">
        <v>123</v>
      </c>
      <c r="E251" s="331" t="s">
        <v>124</v>
      </c>
      <c r="F251" s="331" t="s">
        <v>129</v>
      </c>
      <c r="G251" s="331" t="s">
        <v>525</v>
      </c>
      <c r="H251" s="331" t="s">
        <v>126</v>
      </c>
      <c r="I251" s="328"/>
      <c r="J251" s="328">
        <v>205</v>
      </c>
      <c r="K251" s="331" t="s">
        <v>526</v>
      </c>
      <c r="L251" s="328">
        <v>136874.4</v>
      </c>
      <c r="M251" s="328">
        <v>205</v>
      </c>
      <c r="N251" s="328">
        <v>273748.8</v>
      </c>
      <c r="O251" s="182">
        <f t="shared" si="5"/>
        <v>1</v>
      </c>
    </row>
    <row r="252" spans="1:15" x14ac:dyDescent="0.25">
      <c r="A252" s="329">
        <v>1107</v>
      </c>
      <c r="B252" s="330" t="s">
        <v>527</v>
      </c>
      <c r="C252" s="331" t="s">
        <v>250</v>
      </c>
      <c r="D252" s="331" t="s">
        <v>123</v>
      </c>
      <c r="E252" s="331" t="s">
        <v>124</v>
      </c>
      <c r="F252" s="331" t="s">
        <v>129</v>
      </c>
      <c r="G252" s="331" t="s">
        <v>528</v>
      </c>
      <c r="H252" s="331" t="s">
        <v>126</v>
      </c>
      <c r="I252" s="328"/>
      <c r="J252" s="328">
        <v>205</v>
      </c>
      <c r="K252" s="331" t="s">
        <v>529</v>
      </c>
      <c r="L252" s="328">
        <v>136874.4</v>
      </c>
      <c r="M252" s="328">
        <v>205</v>
      </c>
      <c r="N252" s="328">
        <v>410623.19999999995</v>
      </c>
      <c r="O252" s="182">
        <f t="shared" si="5"/>
        <v>1</v>
      </c>
    </row>
    <row r="253" spans="1:15" x14ac:dyDescent="0.25">
      <c r="A253" s="329">
        <v>1108</v>
      </c>
      <c r="B253" s="330" t="s">
        <v>530</v>
      </c>
      <c r="C253" s="331" t="s">
        <v>250</v>
      </c>
      <c r="D253" s="331" t="s">
        <v>123</v>
      </c>
      <c r="E253" s="331" t="s">
        <v>124</v>
      </c>
      <c r="F253" s="331" t="s">
        <v>129</v>
      </c>
      <c r="G253" s="331" t="s">
        <v>356</v>
      </c>
      <c r="H253" s="331" t="s">
        <v>126</v>
      </c>
      <c r="I253" s="328"/>
      <c r="J253" s="328">
        <v>810</v>
      </c>
      <c r="K253" s="331" t="s">
        <v>531</v>
      </c>
      <c r="L253" s="328">
        <v>540820.79999999993</v>
      </c>
      <c r="M253" s="328">
        <v>810</v>
      </c>
      <c r="N253" s="328">
        <v>0</v>
      </c>
      <c r="O253" s="182">
        <f t="shared" si="5"/>
        <v>1</v>
      </c>
    </row>
    <row r="254" spans="1:15" x14ac:dyDescent="0.25">
      <c r="A254" s="329">
        <v>1109</v>
      </c>
      <c r="B254" s="330" t="s">
        <v>532</v>
      </c>
      <c r="C254" s="331" t="s">
        <v>250</v>
      </c>
      <c r="D254" s="331" t="s">
        <v>123</v>
      </c>
      <c r="E254" s="331" t="s">
        <v>124</v>
      </c>
      <c r="F254" s="331" t="s">
        <v>125</v>
      </c>
      <c r="G254" s="331" t="s">
        <v>533</v>
      </c>
      <c r="H254" s="331" t="s">
        <v>126</v>
      </c>
      <c r="I254" s="328"/>
      <c r="J254" s="328">
        <v>205</v>
      </c>
      <c r="K254" s="331" t="s">
        <v>534</v>
      </c>
      <c r="L254" s="328">
        <v>136874.4</v>
      </c>
      <c r="M254" s="328">
        <v>205</v>
      </c>
      <c r="N254" s="328">
        <v>273748.8</v>
      </c>
      <c r="O254" s="182">
        <f t="shared" si="5"/>
        <v>1</v>
      </c>
    </row>
    <row r="255" spans="1:15" x14ac:dyDescent="0.25">
      <c r="A255" s="329">
        <v>1110</v>
      </c>
      <c r="B255" s="330" t="s">
        <v>535</v>
      </c>
      <c r="C255" s="331" t="s">
        <v>249</v>
      </c>
      <c r="D255" s="331" t="s">
        <v>123</v>
      </c>
      <c r="E255" s="331" t="s">
        <v>127</v>
      </c>
      <c r="F255" s="331" t="s">
        <v>129</v>
      </c>
      <c r="G255" s="331" t="s">
        <v>354</v>
      </c>
      <c r="H255" s="331" t="s">
        <v>127</v>
      </c>
      <c r="I255" s="328">
        <v>7000</v>
      </c>
      <c r="J255" s="328"/>
      <c r="K255" s="331" t="s">
        <v>536</v>
      </c>
      <c r="L255" s="328">
        <v>7000</v>
      </c>
      <c r="M255" s="328">
        <v>10.48406422238198</v>
      </c>
      <c r="N255" s="328">
        <v>0</v>
      </c>
      <c r="O255" s="182">
        <f t="shared" si="5"/>
        <v>1</v>
      </c>
    </row>
    <row r="256" spans="1:15" x14ac:dyDescent="0.25">
      <c r="A256" s="329">
        <v>1111</v>
      </c>
      <c r="B256" s="330" t="s">
        <v>537</v>
      </c>
      <c r="C256" s="331" t="s">
        <v>250</v>
      </c>
      <c r="D256" s="331" t="s">
        <v>123</v>
      </c>
      <c r="E256" s="331" t="s">
        <v>124</v>
      </c>
      <c r="F256" s="331" t="s">
        <v>129</v>
      </c>
      <c r="G256" s="331" t="s">
        <v>538</v>
      </c>
      <c r="H256" s="331" t="s">
        <v>126</v>
      </c>
      <c r="I256" s="328"/>
      <c r="J256" s="328">
        <v>205</v>
      </c>
      <c r="K256" s="331" t="s">
        <v>539</v>
      </c>
      <c r="L256" s="328">
        <v>136874.4</v>
      </c>
      <c r="M256" s="328">
        <v>205</v>
      </c>
      <c r="N256" s="328">
        <v>136874.4</v>
      </c>
      <c r="O256" s="182">
        <f t="shared" si="5"/>
        <v>1</v>
      </c>
    </row>
    <row r="257" spans="1:16" x14ac:dyDescent="0.25">
      <c r="A257" s="329">
        <v>1112</v>
      </c>
      <c r="B257" s="330" t="s">
        <v>540</v>
      </c>
      <c r="C257" s="331" t="s">
        <v>249</v>
      </c>
      <c r="D257" s="331" t="s">
        <v>123</v>
      </c>
      <c r="E257" s="331" t="s">
        <v>127</v>
      </c>
      <c r="F257" s="331" t="s">
        <v>129</v>
      </c>
      <c r="G257" s="331" t="s">
        <v>349</v>
      </c>
      <c r="H257" s="331" t="s">
        <v>127</v>
      </c>
      <c r="I257" s="328">
        <v>6000</v>
      </c>
      <c r="J257" s="328"/>
      <c r="K257" s="331" t="s">
        <v>541</v>
      </c>
      <c r="L257" s="328">
        <v>6000</v>
      </c>
      <c r="M257" s="328">
        <v>8.9863407620416975</v>
      </c>
      <c r="N257" s="328">
        <v>0</v>
      </c>
      <c r="O257" s="182">
        <f t="shared" si="5"/>
        <v>1</v>
      </c>
      <c r="P257" s="58" t="s">
        <v>260</v>
      </c>
    </row>
    <row r="258" spans="1:16" x14ac:dyDescent="0.25">
      <c r="A258" s="329">
        <v>1113</v>
      </c>
      <c r="B258" s="330" t="s">
        <v>542</v>
      </c>
      <c r="C258" s="331" t="s">
        <v>250</v>
      </c>
      <c r="D258" s="331" t="s">
        <v>123</v>
      </c>
      <c r="E258" s="331" t="s">
        <v>124</v>
      </c>
      <c r="F258" s="331" t="s">
        <v>128</v>
      </c>
      <c r="G258" s="331" t="s">
        <v>353</v>
      </c>
      <c r="H258" s="331" t="s">
        <v>126</v>
      </c>
      <c r="I258" s="328"/>
      <c r="J258" s="328">
        <v>205</v>
      </c>
      <c r="K258" s="331" t="s">
        <v>543</v>
      </c>
      <c r="L258" s="328">
        <v>136874.4</v>
      </c>
      <c r="M258" s="328">
        <v>205</v>
      </c>
      <c r="N258" s="328">
        <v>0</v>
      </c>
      <c r="O258" s="182">
        <f t="shared" si="5"/>
        <v>1</v>
      </c>
    </row>
    <row r="259" spans="1:16" x14ac:dyDescent="0.25">
      <c r="A259" s="329">
        <v>1114</v>
      </c>
      <c r="B259" s="330" t="s">
        <v>544</v>
      </c>
      <c r="C259" s="331" t="s">
        <v>249</v>
      </c>
      <c r="D259" s="331" t="s">
        <v>123</v>
      </c>
      <c r="E259" s="331" t="s">
        <v>127</v>
      </c>
      <c r="F259" s="331" t="s">
        <v>129</v>
      </c>
      <c r="G259" s="331" t="s">
        <v>503</v>
      </c>
      <c r="H259" s="331" t="s">
        <v>127</v>
      </c>
      <c r="I259" s="328">
        <v>162471</v>
      </c>
      <c r="J259" s="328"/>
      <c r="K259" s="331" t="s">
        <v>545</v>
      </c>
      <c r="L259" s="328">
        <v>162471</v>
      </c>
      <c r="M259" s="328">
        <v>243.3366283249461</v>
      </c>
      <c r="N259" s="328">
        <v>0</v>
      </c>
      <c r="O259" s="182">
        <f t="shared" si="5"/>
        <v>1</v>
      </c>
    </row>
    <row r="260" spans="1:16" x14ac:dyDescent="0.25">
      <c r="A260" s="329">
        <v>1115</v>
      </c>
      <c r="B260" s="330" t="s">
        <v>546</v>
      </c>
      <c r="C260" s="331" t="s">
        <v>250</v>
      </c>
      <c r="D260" s="331" t="s">
        <v>123</v>
      </c>
      <c r="E260" s="331" t="s">
        <v>124</v>
      </c>
      <c r="F260" s="331" t="s">
        <v>128</v>
      </c>
      <c r="G260" s="331" t="s">
        <v>547</v>
      </c>
      <c r="H260" s="331" t="s">
        <v>126</v>
      </c>
      <c r="I260" s="328"/>
      <c r="J260" s="328">
        <v>410</v>
      </c>
      <c r="K260" s="331" t="s">
        <v>548</v>
      </c>
      <c r="L260" s="328">
        <v>273748.8</v>
      </c>
      <c r="M260" s="328">
        <v>410</v>
      </c>
      <c r="N260" s="328">
        <v>0</v>
      </c>
      <c r="O260" s="182">
        <f t="shared" si="5"/>
        <v>1</v>
      </c>
    </row>
    <row r="261" spans="1:16" x14ac:dyDescent="0.25">
      <c r="A261" s="329">
        <v>1116</v>
      </c>
      <c r="B261" s="330" t="s">
        <v>549</v>
      </c>
      <c r="C261" s="331" t="s">
        <v>250</v>
      </c>
      <c r="D261" s="331" t="s">
        <v>123</v>
      </c>
      <c r="E261" s="331" t="s">
        <v>124</v>
      </c>
      <c r="F261" s="331" t="s">
        <v>128</v>
      </c>
      <c r="G261" s="331" t="s">
        <v>550</v>
      </c>
      <c r="H261" s="331" t="s">
        <v>126</v>
      </c>
      <c r="I261" s="328"/>
      <c r="J261" s="328">
        <v>205</v>
      </c>
      <c r="K261" s="331" t="s">
        <v>551</v>
      </c>
      <c r="L261" s="332">
        <v>136874.4</v>
      </c>
      <c r="M261" s="328">
        <v>205</v>
      </c>
      <c r="N261" s="328">
        <v>136874.4</v>
      </c>
      <c r="O261" s="182">
        <f t="shared" si="5"/>
        <v>1</v>
      </c>
    </row>
    <row r="262" spans="1:16" x14ac:dyDescent="0.25">
      <c r="A262" s="329">
        <v>1117</v>
      </c>
      <c r="B262" s="330" t="s">
        <v>552</v>
      </c>
      <c r="C262" s="331" t="s">
        <v>250</v>
      </c>
      <c r="D262" s="331" t="s">
        <v>123</v>
      </c>
      <c r="E262" s="331" t="s">
        <v>124</v>
      </c>
      <c r="F262" s="331" t="s">
        <v>125</v>
      </c>
      <c r="G262" s="331" t="s">
        <v>553</v>
      </c>
      <c r="H262" s="331" t="s">
        <v>126</v>
      </c>
      <c r="I262" s="328"/>
      <c r="J262" s="328">
        <v>205</v>
      </c>
      <c r="K262" s="331" t="s">
        <v>339</v>
      </c>
      <c r="L262" s="328">
        <v>136874.4</v>
      </c>
      <c r="M262" s="328">
        <v>205</v>
      </c>
      <c r="N262" s="328">
        <v>273748.8</v>
      </c>
      <c r="O262" s="182">
        <f t="shared" si="5"/>
        <v>1</v>
      </c>
    </row>
    <row r="263" spans="1:16" x14ac:dyDescent="0.25">
      <c r="A263" s="329">
        <v>1118</v>
      </c>
      <c r="B263" s="330" t="s">
        <v>554</v>
      </c>
      <c r="C263" s="331" t="s">
        <v>250</v>
      </c>
      <c r="D263" s="331" t="s">
        <v>123</v>
      </c>
      <c r="E263" s="331" t="s">
        <v>124</v>
      </c>
      <c r="F263" s="331" t="s">
        <v>128</v>
      </c>
      <c r="G263" s="331" t="s">
        <v>555</v>
      </c>
      <c r="H263" s="331" t="s">
        <v>126</v>
      </c>
      <c r="I263" s="328"/>
      <c r="J263" s="328">
        <v>194.75</v>
      </c>
      <c r="K263" s="331" t="s">
        <v>556</v>
      </c>
      <c r="L263" s="328">
        <v>130030.68</v>
      </c>
      <c r="M263" s="328">
        <v>194.75</v>
      </c>
      <c r="N263" s="328">
        <v>520122.72</v>
      </c>
      <c r="O263" s="182">
        <f t="shared" si="5"/>
        <v>1</v>
      </c>
    </row>
    <row r="264" spans="1:16" x14ac:dyDescent="0.25">
      <c r="A264" s="329">
        <v>1119</v>
      </c>
      <c r="B264" s="330" t="s">
        <v>557</v>
      </c>
      <c r="C264" s="331" t="s">
        <v>250</v>
      </c>
      <c r="D264" s="331" t="s">
        <v>123</v>
      </c>
      <c r="E264" s="331" t="s">
        <v>124</v>
      </c>
      <c r="F264" s="331" t="s">
        <v>128</v>
      </c>
      <c r="G264" s="331" t="s">
        <v>555</v>
      </c>
      <c r="H264" s="331" t="s">
        <v>126</v>
      </c>
      <c r="I264" s="328"/>
      <c r="J264" s="328">
        <v>205</v>
      </c>
      <c r="K264" s="331" t="s">
        <v>558</v>
      </c>
      <c r="L264" s="328">
        <v>136874.4</v>
      </c>
      <c r="M264" s="328">
        <v>205</v>
      </c>
      <c r="N264" s="328">
        <v>547497.6</v>
      </c>
      <c r="O264" s="182">
        <f t="shared" si="5"/>
        <v>1</v>
      </c>
    </row>
    <row r="265" spans="1:16" x14ac:dyDescent="0.25">
      <c r="A265" s="329">
        <v>1120</v>
      </c>
      <c r="B265" s="330" t="s">
        <v>559</v>
      </c>
      <c r="C265" s="331" t="s">
        <v>250</v>
      </c>
      <c r="D265" s="331" t="s">
        <v>123</v>
      </c>
      <c r="E265" s="331" t="s">
        <v>124</v>
      </c>
      <c r="F265" s="331" t="s">
        <v>129</v>
      </c>
      <c r="G265" s="331" t="s">
        <v>352</v>
      </c>
      <c r="H265" s="331" t="s">
        <v>126</v>
      </c>
      <c r="I265" s="328"/>
      <c r="J265" s="328">
        <v>779</v>
      </c>
      <c r="K265" s="331" t="s">
        <v>560</v>
      </c>
      <c r="L265" s="328">
        <v>520122.72</v>
      </c>
      <c r="M265" s="328">
        <v>779</v>
      </c>
      <c r="N265" s="328">
        <v>0</v>
      </c>
      <c r="O265" s="182">
        <f t="shared" si="5"/>
        <v>1</v>
      </c>
    </row>
    <row r="266" spans="1:16" x14ac:dyDescent="0.25">
      <c r="A266" s="329">
        <v>1121</v>
      </c>
      <c r="B266" s="330" t="s">
        <v>561</v>
      </c>
      <c r="C266" s="331" t="s">
        <v>250</v>
      </c>
      <c r="D266" s="331" t="s">
        <v>123</v>
      </c>
      <c r="E266" s="331" t="s">
        <v>124</v>
      </c>
      <c r="F266" s="331" t="s">
        <v>129</v>
      </c>
      <c r="G266" s="331" t="s">
        <v>362</v>
      </c>
      <c r="H266" s="331" t="s">
        <v>126</v>
      </c>
      <c r="I266" s="328"/>
      <c r="J266" s="328">
        <v>205</v>
      </c>
      <c r="K266" s="331" t="s">
        <v>562</v>
      </c>
      <c r="L266" s="328">
        <v>136874.4</v>
      </c>
      <c r="M266" s="328">
        <v>205</v>
      </c>
      <c r="N266" s="328">
        <v>0</v>
      </c>
      <c r="O266" s="182">
        <f t="shared" si="5"/>
        <v>1</v>
      </c>
    </row>
    <row r="267" spans="1:16" x14ac:dyDescent="0.25">
      <c r="A267" s="329">
        <v>1122</v>
      </c>
      <c r="B267" s="330" t="s">
        <v>563</v>
      </c>
      <c r="C267" s="331" t="s">
        <v>250</v>
      </c>
      <c r="D267" s="331" t="s">
        <v>123</v>
      </c>
      <c r="E267" s="331" t="s">
        <v>124</v>
      </c>
      <c r="F267" s="331" t="s">
        <v>129</v>
      </c>
      <c r="G267" s="331" t="s">
        <v>564</v>
      </c>
      <c r="H267" s="331" t="s">
        <v>126</v>
      </c>
      <c r="I267" s="328"/>
      <c r="J267" s="328">
        <v>195</v>
      </c>
      <c r="K267" s="331" t="s">
        <v>565</v>
      </c>
      <c r="L267" s="328">
        <v>130197.59999999999</v>
      </c>
      <c r="M267" s="328">
        <v>195</v>
      </c>
      <c r="N267" s="328">
        <v>130197.59999999999</v>
      </c>
      <c r="O267" s="182">
        <f t="shared" si="5"/>
        <v>1</v>
      </c>
    </row>
    <row r="268" spans="1:16" x14ac:dyDescent="0.25">
      <c r="A268" s="329">
        <v>1123</v>
      </c>
      <c r="B268" s="330" t="s">
        <v>566</v>
      </c>
      <c r="C268" s="331" t="s">
        <v>250</v>
      </c>
      <c r="D268" s="331" t="s">
        <v>123</v>
      </c>
      <c r="E268" s="331" t="s">
        <v>124</v>
      </c>
      <c r="F268" s="331" t="s">
        <v>128</v>
      </c>
      <c r="G268" s="331" t="s">
        <v>357</v>
      </c>
      <c r="H268" s="331" t="s">
        <v>126</v>
      </c>
      <c r="I268" s="328"/>
      <c r="J268" s="328">
        <v>985</v>
      </c>
      <c r="K268" s="331" t="s">
        <v>567</v>
      </c>
      <c r="L268" s="328">
        <v>657664.79999999993</v>
      </c>
      <c r="M268" s="328">
        <v>985</v>
      </c>
      <c r="N268" s="328">
        <v>0</v>
      </c>
      <c r="O268" s="182">
        <f t="shared" si="5"/>
        <v>1</v>
      </c>
    </row>
    <row r="269" spans="1:16" x14ac:dyDescent="0.25">
      <c r="A269" s="329">
        <v>1124</v>
      </c>
      <c r="B269" s="330" t="s">
        <v>568</v>
      </c>
      <c r="C269" s="331" t="s">
        <v>250</v>
      </c>
      <c r="D269" s="331" t="s">
        <v>123</v>
      </c>
      <c r="E269" s="331" t="s">
        <v>124</v>
      </c>
      <c r="F269" s="331" t="s">
        <v>128</v>
      </c>
      <c r="G269" s="331" t="s">
        <v>359</v>
      </c>
      <c r="H269" s="331" t="s">
        <v>126</v>
      </c>
      <c r="I269" s="328"/>
      <c r="J269" s="328">
        <v>205</v>
      </c>
      <c r="K269" s="331" t="s">
        <v>569</v>
      </c>
      <c r="L269" s="328">
        <v>136874.4</v>
      </c>
      <c r="M269" s="328">
        <v>205</v>
      </c>
      <c r="N269" s="328">
        <v>0</v>
      </c>
      <c r="O269" s="182">
        <f t="shared" si="5"/>
        <v>1</v>
      </c>
    </row>
    <row r="270" spans="1:16" x14ac:dyDescent="0.25">
      <c r="A270" s="329">
        <v>1124</v>
      </c>
      <c r="B270" s="330" t="s">
        <v>568</v>
      </c>
      <c r="C270" s="331" t="s">
        <v>250</v>
      </c>
      <c r="D270" s="331" t="s">
        <v>123</v>
      </c>
      <c r="E270" s="331" t="s">
        <v>320</v>
      </c>
      <c r="F270" s="331" t="s">
        <v>128</v>
      </c>
      <c r="G270" s="331" t="s">
        <v>359</v>
      </c>
      <c r="H270" s="331" t="s">
        <v>126</v>
      </c>
      <c r="I270" s="328"/>
      <c r="J270" s="328">
        <v>-205</v>
      </c>
      <c r="K270" s="331" t="s">
        <v>569</v>
      </c>
      <c r="L270" s="328">
        <v>-136874.4</v>
      </c>
      <c r="M270" s="328">
        <v>-205</v>
      </c>
      <c r="N270" s="328">
        <v>0</v>
      </c>
      <c r="O270" s="182">
        <f t="shared" si="5"/>
        <v>0</v>
      </c>
    </row>
    <row r="271" spans="1:16" x14ac:dyDescent="0.25">
      <c r="A271" s="329">
        <v>1125</v>
      </c>
      <c r="B271" s="330" t="s">
        <v>570</v>
      </c>
      <c r="C271" s="331" t="s">
        <v>250</v>
      </c>
      <c r="D271" s="331" t="s">
        <v>123</v>
      </c>
      <c r="E271" s="331" t="s">
        <v>124</v>
      </c>
      <c r="F271" s="331" t="s">
        <v>128</v>
      </c>
      <c r="G271" s="331" t="s">
        <v>571</v>
      </c>
      <c r="H271" s="331" t="s">
        <v>126</v>
      </c>
      <c r="I271" s="328"/>
      <c r="J271" s="328">
        <v>205</v>
      </c>
      <c r="K271" s="331" t="s">
        <v>572</v>
      </c>
      <c r="L271" s="328">
        <v>136874.4</v>
      </c>
      <c r="M271" s="328">
        <v>205</v>
      </c>
      <c r="N271" s="328">
        <v>0</v>
      </c>
      <c r="O271" s="182">
        <f t="shared" si="5"/>
        <v>1</v>
      </c>
    </row>
    <row r="272" spans="1:16" x14ac:dyDescent="0.25">
      <c r="A272" s="329">
        <v>1126</v>
      </c>
      <c r="B272" s="330" t="s">
        <v>573</v>
      </c>
      <c r="C272" s="331" t="s">
        <v>250</v>
      </c>
      <c r="D272" s="331" t="s">
        <v>123</v>
      </c>
      <c r="E272" s="331" t="s">
        <v>124</v>
      </c>
      <c r="F272" s="331" t="s">
        <v>128</v>
      </c>
      <c r="G272" s="331" t="s">
        <v>574</v>
      </c>
      <c r="H272" s="331" t="s">
        <v>126</v>
      </c>
      <c r="I272" s="328"/>
      <c r="J272" s="328">
        <v>1230</v>
      </c>
      <c r="K272" s="331" t="s">
        <v>575</v>
      </c>
      <c r="L272" s="328">
        <v>821246.39999999991</v>
      </c>
      <c r="M272" s="328">
        <v>1230</v>
      </c>
      <c r="N272" s="328">
        <v>0</v>
      </c>
      <c r="O272" s="182">
        <f t="shared" si="5"/>
        <v>1</v>
      </c>
    </row>
    <row r="273" spans="1:19" x14ac:dyDescent="0.25">
      <c r="A273" s="329">
        <v>1127</v>
      </c>
      <c r="B273" s="330" t="s">
        <v>576</v>
      </c>
      <c r="C273" s="331" t="s">
        <v>250</v>
      </c>
      <c r="D273" s="331" t="s">
        <v>123</v>
      </c>
      <c r="E273" s="331" t="s">
        <v>124</v>
      </c>
      <c r="F273" s="331" t="s">
        <v>129</v>
      </c>
      <c r="G273" s="331" t="s">
        <v>355</v>
      </c>
      <c r="H273" s="331" t="s">
        <v>126</v>
      </c>
      <c r="I273" s="328"/>
      <c r="J273" s="328">
        <v>615</v>
      </c>
      <c r="K273" s="331" t="s">
        <v>577</v>
      </c>
      <c r="L273" s="328">
        <v>410623.19999999995</v>
      </c>
      <c r="M273" s="328">
        <v>615</v>
      </c>
      <c r="N273" s="328">
        <v>0</v>
      </c>
      <c r="O273" s="182">
        <f t="shared" si="5"/>
        <v>1</v>
      </c>
    </row>
    <row r="274" spans="1:19" x14ac:dyDescent="0.25">
      <c r="A274" s="329">
        <v>1128</v>
      </c>
      <c r="B274" s="330" t="s">
        <v>578</v>
      </c>
      <c r="C274" s="331" t="s">
        <v>250</v>
      </c>
      <c r="D274" s="331" t="s">
        <v>123</v>
      </c>
      <c r="E274" s="331" t="s">
        <v>124</v>
      </c>
      <c r="F274" s="331" t="s">
        <v>128</v>
      </c>
      <c r="G274" s="331" t="s">
        <v>579</v>
      </c>
      <c r="H274" s="331" t="s">
        <v>126</v>
      </c>
      <c r="I274" s="328"/>
      <c r="J274" s="328">
        <v>194.75</v>
      </c>
      <c r="K274" s="331" t="s">
        <v>580</v>
      </c>
      <c r="L274" s="328">
        <v>130030.68</v>
      </c>
      <c r="M274" s="328">
        <v>194.75</v>
      </c>
      <c r="N274" s="328">
        <v>0</v>
      </c>
      <c r="O274" s="182">
        <f t="shared" si="5"/>
        <v>1</v>
      </c>
    </row>
    <row r="275" spans="1:19" x14ac:dyDescent="0.25">
      <c r="A275" s="329">
        <v>1129</v>
      </c>
      <c r="B275" s="330" t="s">
        <v>581</v>
      </c>
      <c r="C275" s="331" t="s">
        <v>250</v>
      </c>
      <c r="D275" s="331" t="s">
        <v>123</v>
      </c>
      <c r="E275" s="331" t="s">
        <v>124</v>
      </c>
      <c r="F275" s="331" t="s">
        <v>129</v>
      </c>
      <c r="G275" s="331" t="s">
        <v>582</v>
      </c>
      <c r="H275" s="331" t="s">
        <v>126</v>
      </c>
      <c r="I275" s="328"/>
      <c r="J275" s="328">
        <v>205</v>
      </c>
      <c r="K275" s="331" t="s">
        <v>583</v>
      </c>
      <c r="L275" s="328">
        <v>136874.4</v>
      </c>
      <c r="M275" s="328">
        <v>205</v>
      </c>
      <c r="N275" s="328">
        <v>136874.4</v>
      </c>
      <c r="O275" s="182">
        <f t="shared" si="5"/>
        <v>1</v>
      </c>
    </row>
    <row r="276" spans="1:19" x14ac:dyDescent="0.25">
      <c r="A276" s="329">
        <v>1130</v>
      </c>
      <c r="B276" s="330" t="s">
        <v>584</v>
      </c>
      <c r="C276" s="331" t="s">
        <v>250</v>
      </c>
      <c r="D276" s="331" t="s">
        <v>123</v>
      </c>
      <c r="E276" s="331" t="s">
        <v>124</v>
      </c>
      <c r="F276" s="331" t="s">
        <v>128</v>
      </c>
      <c r="G276" s="331" t="s">
        <v>585</v>
      </c>
      <c r="H276" s="331" t="s">
        <v>126</v>
      </c>
      <c r="I276" s="328"/>
      <c r="J276" s="328">
        <v>195</v>
      </c>
      <c r="K276" s="331" t="s">
        <v>586</v>
      </c>
      <c r="L276" s="328">
        <v>130197.59999999999</v>
      </c>
      <c r="M276" s="328">
        <v>195</v>
      </c>
      <c r="N276" s="328">
        <v>130197.59999999999</v>
      </c>
      <c r="O276" s="182">
        <f t="shared" si="5"/>
        <v>1</v>
      </c>
    </row>
    <row r="277" spans="1:19" x14ac:dyDescent="0.25">
      <c r="A277" s="329">
        <v>1131</v>
      </c>
      <c r="B277" s="330" t="s">
        <v>587</v>
      </c>
      <c r="C277" s="331" t="s">
        <v>250</v>
      </c>
      <c r="D277" s="331" t="s">
        <v>123</v>
      </c>
      <c r="E277" s="331" t="s">
        <v>124</v>
      </c>
      <c r="F277" s="331" t="s">
        <v>128</v>
      </c>
      <c r="G277" s="331" t="s">
        <v>588</v>
      </c>
      <c r="H277" s="331" t="s">
        <v>126</v>
      </c>
      <c r="I277" s="328"/>
      <c r="J277" s="328">
        <v>195</v>
      </c>
      <c r="K277" s="331" t="s">
        <v>589</v>
      </c>
      <c r="L277" s="328">
        <v>130197.59999999999</v>
      </c>
      <c r="M277" s="328">
        <v>195</v>
      </c>
      <c r="N277" s="328">
        <v>390592.8</v>
      </c>
      <c r="O277" s="182">
        <f t="shared" si="5"/>
        <v>1</v>
      </c>
      <c r="R277" s="58" t="s">
        <v>182</v>
      </c>
      <c r="S277" s="58" t="s">
        <v>183</v>
      </c>
    </row>
    <row r="278" spans="1:19" x14ac:dyDescent="0.25">
      <c r="A278" s="329">
        <v>1132</v>
      </c>
      <c r="B278" s="330" t="s">
        <v>590</v>
      </c>
      <c r="C278" s="331" t="s">
        <v>250</v>
      </c>
      <c r="D278" s="331" t="s">
        <v>123</v>
      </c>
      <c r="E278" s="331" t="s">
        <v>124</v>
      </c>
      <c r="F278" s="331" t="s">
        <v>129</v>
      </c>
      <c r="G278" s="331" t="s">
        <v>591</v>
      </c>
      <c r="H278" s="331" t="s">
        <v>126</v>
      </c>
      <c r="I278" s="328"/>
      <c r="J278" s="328">
        <v>410</v>
      </c>
      <c r="K278" s="331" t="s">
        <v>592</v>
      </c>
      <c r="L278" s="328">
        <v>273748.8</v>
      </c>
      <c r="M278" s="328">
        <v>410</v>
      </c>
      <c r="N278" s="328">
        <v>0</v>
      </c>
      <c r="O278" s="182">
        <f t="shared" si="5"/>
        <v>1</v>
      </c>
    </row>
    <row r="279" spans="1:19" x14ac:dyDescent="0.25">
      <c r="A279" s="329">
        <v>1133</v>
      </c>
      <c r="B279" s="330" t="s">
        <v>593</v>
      </c>
      <c r="C279" s="331" t="s">
        <v>249</v>
      </c>
      <c r="D279" s="331" t="s">
        <v>123</v>
      </c>
      <c r="E279" s="331" t="s">
        <v>127</v>
      </c>
      <c r="F279" s="331" t="s">
        <v>129</v>
      </c>
      <c r="G279" s="331" t="s">
        <v>594</v>
      </c>
      <c r="H279" s="331" t="s">
        <v>127</v>
      </c>
      <c r="I279" s="328">
        <v>154777</v>
      </c>
      <c r="J279" s="328"/>
      <c r="K279" s="331" t="s">
        <v>595</v>
      </c>
      <c r="L279" s="328">
        <v>154777</v>
      </c>
      <c r="M279" s="328">
        <v>231.81314402108796</v>
      </c>
      <c r="N279" s="328">
        <v>638530</v>
      </c>
      <c r="O279" s="182">
        <f t="shared" si="5"/>
        <v>1</v>
      </c>
    </row>
    <row r="280" spans="1:19" x14ac:dyDescent="0.25">
      <c r="A280" s="329">
        <v>1134</v>
      </c>
      <c r="B280" s="330" t="s">
        <v>596</v>
      </c>
      <c r="C280" s="331" t="s">
        <v>250</v>
      </c>
      <c r="D280" s="331" t="s">
        <v>123</v>
      </c>
      <c r="E280" s="331" t="s">
        <v>124</v>
      </c>
      <c r="F280" s="331" t="s">
        <v>128</v>
      </c>
      <c r="G280" s="331" t="s">
        <v>597</v>
      </c>
      <c r="H280" s="331" t="s">
        <v>126</v>
      </c>
      <c r="I280" s="328"/>
      <c r="J280" s="328">
        <v>195</v>
      </c>
      <c r="K280" s="331" t="s">
        <v>598</v>
      </c>
      <c r="L280" s="328">
        <v>130197.59999999999</v>
      </c>
      <c r="M280" s="328">
        <v>195</v>
      </c>
      <c r="N280" s="328">
        <v>534144</v>
      </c>
      <c r="O280" s="182">
        <f t="shared" si="5"/>
        <v>1</v>
      </c>
    </row>
    <row r="281" spans="1:19" x14ac:dyDescent="0.25">
      <c r="A281" s="329">
        <v>1135</v>
      </c>
      <c r="B281" s="330" t="s">
        <v>599</v>
      </c>
      <c r="C281" s="331" t="s">
        <v>250</v>
      </c>
      <c r="D281" s="331" t="s">
        <v>123</v>
      </c>
      <c r="E281" s="331" t="s">
        <v>124</v>
      </c>
      <c r="F281" s="331" t="s">
        <v>129</v>
      </c>
      <c r="G281" s="331" t="s">
        <v>361</v>
      </c>
      <c r="H281" s="331" t="s">
        <v>126</v>
      </c>
      <c r="I281" s="328"/>
      <c r="J281" s="328">
        <v>410</v>
      </c>
      <c r="K281" s="331" t="s">
        <v>600</v>
      </c>
      <c r="L281" s="328">
        <v>273748.8</v>
      </c>
      <c r="M281" s="328">
        <v>410</v>
      </c>
      <c r="N281" s="328">
        <v>0</v>
      </c>
      <c r="O281" s="182">
        <f t="shared" si="5"/>
        <v>1</v>
      </c>
    </row>
    <row r="282" spans="1:19" x14ac:dyDescent="0.25">
      <c r="A282" s="329">
        <v>1136</v>
      </c>
      <c r="B282" s="330" t="s">
        <v>601</v>
      </c>
      <c r="C282" s="331" t="s">
        <v>250</v>
      </c>
      <c r="D282" s="331" t="s">
        <v>123</v>
      </c>
      <c r="E282" s="331" t="s">
        <v>124</v>
      </c>
      <c r="F282" s="331" t="s">
        <v>128</v>
      </c>
      <c r="G282" s="331" t="s">
        <v>602</v>
      </c>
      <c r="H282" s="331" t="s">
        <v>126</v>
      </c>
      <c r="I282" s="328"/>
      <c r="J282" s="328">
        <v>820</v>
      </c>
      <c r="K282" s="331" t="s">
        <v>603</v>
      </c>
      <c r="L282" s="328">
        <v>547497.6</v>
      </c>
      <c r="M282" s="328">
        <v>820</v>
      </c>
      <c r="N282" s="328">
        <v>0</v>
      </c>
      <c r="O282" s="182">
        <f t="shared" si="5"/>
        <v>1</v>
      </c>
    </row>
    <row r="283" spans="1:19" x14ac:dyDescent="0.25">
      <c r="A283" s="329">
        <v>1137</v>
      </c>
      <c r="B283" s="330" t="s">
        <v>604</v>
      </c>
      <c r="C283" s="331" t="s">
        <v>249</v>
      </c>
      <c r="D283" s="331" t="s">
        <v>123</v>
      </c>
      <c r="E283" s="331" t="s">
        <v>127</v>
      </c>
      <c r="F283" s="331" t="s">
        <v>128</v>
      </c>
      <c r="G283" s="331" t="s">
        <v>605</v>
      </c>
      <c r="H283" s="331" t="s">
        <v>127</v>
      </c>
      <c r="I283" s="328">
        <v>4000</v>
      </c>
      <c r="J283" s="328"/>
      <c r="K283" s="331" t="s">
        <v>606</v>
      </c>
      <c r="L283" s="328">
        <v>4000</v>
      </c>
      <c r="M283" s="328">
        <v>5.9908938413611317</v>
      </c>
      <c r="N283" s="328">
        <v>0</v>
      </c>
      <c r="O283" s="182">
        <f t="shared" si="5"/>
        <v>1</v>
      </c>
    </row>
    <row r="284" spans="1:19" x14ac:dyDescent="0.25">
      <c r="A284" s="329">
        <v>1138</v>
      </c>
      <c r="B284" s="330" t="s">
        <v>607</v>
      </c>
      <c r="C284" s="331" t="s">
        <v>250</v>
      </c>
      <c r="D284" s="331" t="s">
        <v>123</v>
      </c>
      <c r="E284" s="331" t="s">
        <v>124</v>
      </c>
      <c r="F284" s="331" t="s">
        <v>129</v>
      </c>
      <c r="G284" s="331" t="s">
        <v>608</v>
      </c>
      <c r="H284" s="331" t="s">
        <v>126</v>
      </c>
      <c r="I284" s="328"/>
      <c r="J284" s="328">
        <v>410</v>
      </c>
      <c r="K284" s="331" t="s">
        <v>609</v>
      </c>
      <c r="L284" s="328">
        <v>273748.8</v>
      </c>
      <c r="M284" s="328">
        <v>410</v>
      </c>
      <c r="N284" s="328">
        <v>0</v>
      </c>
      <c r="O284" s="182">
        <f t="shared" si="5"/>
        <v>1</v>
      </c>
    </row>
    <row r="285" spans="1:19" x14ac:dyDescent="0.25">
      <c r="A285" s="329">
        <v>1139</v>
      </c>
      <c r="B285" s="330" t="s">
        <v>610</v>
      </c>
      <c r="C285" s="331" t="s">
        <v>250</v>
      </c>
      <c r="D285" s="331" t="s">
        <v>123</v>
      </c>
      <c r="E285" s="331" t="s">
        <v>124</v>
      </c>
      <c r="F285" s="331" t="s">
        <v>128</v>
      </c>
      <c r="G285" s="331" t="s">
        <v>371</v>
      </c>
      <c r="H285" s="331" t="s">
        <v>126</v>
      </c>
      <c r="I285" s="328"/>
      <c r="J285" s="328">
        <v>584.25</v>
      </c>
      <c r="K285" s="331" t="s">
        <v>611</v>
      </c>
      <c r="L285" s="328">
        <v>390092.04</v>
      </c>
      <c r="M285" s="328">
        <v>584.25</v>
      </c>
      <c r="N285" s="328">
        <v>0</v>
      </c>
      <c r="O285" s="182">
        <f t="shared" si="5"/>
        <v>1</v>
      </c>
    </row>
    <row r="286" spans="1:19" x14ac:dyDescent="0.25">
      <c r="A286" s="329">
        <v>1140</v>
      </c>
      <c r="B286" s="330" t="s">
        <v>612</v>
      </c>
      <c r="C286" s="331" t="s">
        <v>250</v>
      </c>
      <c r="D286" s="331" t="s">
        <v>123</v>
      </c>
      <c r="E286" s="331" t="s">
        <v>124</v>
      </c>
      <c r="F286" s="331" t="s">
        <v>129</v>
      </c>
      <c r="G286" s="331" t="s">
        <v>613</v>
      </c>
      <c r="H286" s="331" t="s">
        <v>126</v>
      </c>
      <c r="I286" s="328"/>
      <c r="J286" s="328">
        <v>230</v>
      </c>
      <c r="K286" s="331" t="s">
        <v>614</v>
      </c>
      <c r="L286" s="328">
        <v>153566.39999999999</v>
      </c>
      <c r="M286" s="328">
        <v>230</v>
      </c>
      <c r="N286" s="328">
        <v>307132.79999999999</v>
      </c>
      <c r="O286" s="182">
        <f t="shared" si="5"/>
        <v>1</v>
      </c>
    </row>
    <row r="287" spans="1:19" x14ac:dyDescent="0.25">
      <c r="A287" s="329">
        <v>1141</v>
      </c>
      <c r="B287" s="330" t="s">
        <v>615</v>
      </c>
      <c r="C287" s="331" t="s">
        <v>250</v>
      </c>
      <c r="D287" s="331" t="s">
        <v>123</v>
      </c>
      <c r="E287" s="331" t="s">
        <v>124</v>
      </c>
      <c r="F287" s="331" t="s">
        <v>125</v>
      </c>
      <c r="G287" s="331" t="s">
        <v>506</v>
      </c>
      <c r="H287" s="331" t="s">
        <v>126</v>
      </c>
      <c r="I287" s="328"/>
      <c r="J287" s="328">
        <v>230</v>
      </c>
      <c r="K287" s="331" t="s">
        <v>322</v>
      </c>
      <c r="L287" s="328">
        <v>153566.39999999999</v>
      </c>
      <c r="M287" s="328">
        <v>230</v>
      </c>
      <c r="N287" s="328">
        <v>153566.39999999999</v>
      </c>
      <c r="O287" s="182">
        <f t="shared" si="5"/>
        <v>1</v>
      </c>
    </row>
    <row r="288" spans="1:19" x14ac:dyDescent="0.25">
      <c r="A288" s="329">
        <v>1142</v>
      </c>
      <c r="B288" s="330" t="s">
        <v>616</v>
      </c>
      <c r="C288" s="331" t="s">
        <v>249</v>
      </c>
      <c r="D288" s="331" t="s">
        <v>123</v>
      </c>
      <c r="E288" s="331" t="s">
        <v>127</v>
      </c>
      <c r="F288" s="331" t="s">
        <v>129</v>
      </c>
      <c r="G288" s="331" t="s">
        <v>617</v>
      </c>
      <c r="H288" s="331" t="s">
        <v>127</v>
      </c>
      <c r="I288" s="328">
        <v>182010</v>
      </c>
      <c r="J288" s="328"/>
      <c r="K288" s="331" t="s">
        <v>618</v>
      </c>
      <c r="L288" s="328">
        <v>182010</v>
      </c>
      <c r="M288" s="328">
        <v>272.60064701653488</v>
      </c>
      <c r="N288" s="328">
        <v>0</v>
      </c>
      <c r="O288" s="182">
        <f t="shared" si="5"/>
        <v>1</v>
      </c>
    </row>
    <row r="289" spans="1:17" x14ac:dyDescent="0.25">
      <c r="A289" s="329">
        <v>1142</v>
      </c>
      <c r="B289" s="330" t="s">
        <v>616</v>
      </c>
      <c r="C289" s="331" t="s">
        <v>249</v>
      </c>
      <c r="D289" s="331" t="s">
        <v>123</v>
      </c>
      <c r="E289" s="331" t="s">
        <v>302</v>
      </c>
      <c r="F289" s="331" t="s">
        <v>129</v>
      </c>
      <c r="G289" s="331" t="s">
        <v>617</v>
      </c>
      <c r="H289" s="331" t="s">
        <v>127</v>
      </c>
      <c r="I289" s="328">
        <v>-182010</v>
      </c>
      <c r="J289" s="328"/>
      <c r="K289" s="331" t="s">
        <v>618</v>
      </c>
      <c r="L289" s="328">
        <v>-182010</v>
      </c>
      <c r="M289" s="328">
        <v>-272.60064701653488</v>
      </c>
      <c r="N289" s="328">
        <v>0</v>
      </c>
      <c r="O289" s="182">
        <f t="shared" si="5"/>
        <v>0</v>
      </c>
    </row>
    <row r="290" spans="1:17" x14ac:dyDescent="0.25">
      <c r="A290" s="329">
        <v>1143</v>
      </c>
      <c r="B290" s="330" t="s">
        <v>619</v>
      </c>
      <c r="C290" s="331" t="s">
        <v>249</v>
      </c>
      <c r="D290" s="331" t="s">
        <v>123</v>
      </c>
      <c r="E290" s="331" t="s">
        <v>127</v>
      </c>
      <c r="F290" s="331" t="s">
        <v>128</v>
      </c>
      <c r="G290" s="331" t="s">
        <v>620</v>
      </c>
      <c r="H290" s="331" t="s">
        <v>127</v>
      </c>
      <c r="I290" s="328">
        <v>182010</v>
      </c>
      <c r="J290" s="328"/>
      <c r="K290" s="331" t="s">
        <v>621</v>
      </c>
      <c r="L290" s="328">
        <v>182010</v>
      </c>
      <c r="M290" s="328">
        <v>272.60064701653488</v>
      </c>
      <c r="N290" s="328">
        <v>182010</v>
      </c>
      <c r="O290" s="182">
        <f t="shared" si="5"/>
        <v>1</v>
      </c>
      <c r="Q290" s="58" t="s">
        <v>213</v>
      </c>
    </row>
    <row r="291" spans="1:17" x14ac:dyDescent="0.25">
      <c r="A291" s="329">
        <v>1144</v>
      </c>
      <c r="B291" s="330" t="s">
        <v>622</v>
      </c>
      <c r="C291" s="331" t="s">
        <v>250</v>
      </c>
      <c r="D291" s="331" t="s">
        <v>123</v>
      </c>
      <c r="E291" s="331" t="s">
        <v>124</v>
      </c>
      <c r="F291" s="331" t="s">
        <v>128</v>
      </c>
      <c r="G291" s="331" t="s">
        <v>623</v>
      </c>
      <c r="H291" s="331" t="s">
        <v>126</v>
      </c>
      <c r="I291" s="328"/>
      <c r="J291" s="328">
        <v>195</v>
      </c>
      <c r="K291" s="331" t="s">
        <v>624</v>
      </c>
      <c r="L291" s="328">
        <v>130197.59999999999</v>
      </c>
      <c r="M291" s="328">
        <v>195</v>
      </c>
      <c r="N291" s="328">
        <v>260395.19999999998</v>
      </c>
      <c r="O291" s="182">
        <f t="shared" si="5"/>
        <v>1</v>
      </c>
    </row>
    <row r="292" spans="1:17" x14ac:dyDescent="0.25">
      <c r="A292" s="329">
        <v>1145</v>
      </c>
      <c r="B292" s="330" t="s">
        <v>625</v>
      </c>
      <c r="C292" s="331" t="s">
        <v>250</v>
      </c>
      <c r="D292" s="331" t="s">
        <v>123</v>
      </c>
      <c r="E292" s="331" t="s">
        <v>124</v>
      </c>
      <c r="F292" s="331" t="s">
        <v>129</v>
      </c>
      <c r="G292" s="331" t="s">
        <v>363</v>
      </c>
      <c r="H292" s="331" t="s">
        <v>126</v>
      </c>
      <c r="I292" s="328"/>
      <c r="J292" s="328">
        <v>205</v>
      </c>
      <c r="K292" s="331" t="s">
        <v>626</v>
      </c>
      <c r="L292" s="328">
        <v>136874.4</v>
      </c>
      <c r="M292" s="328">
        <v>205</v>
      </c>
      <c r="N292" s="328">
        <v>0</v>
      </c>
      <c r="O292" s="182">
        <f t="shared" si="5"/>
        <v>1</v>
      </c>
    </row>
    <row r="293" spans="1:17" x14ac:dyDescent="0.25">
      <c r="A293" s="329">
        <v>1146</v>
      </c>
      <c r="B293" s="330" t="s">
        <v>627</v>
      </c>
      <c r="C293" s="331" t="s">
        <v>250</v>
      </c>
      <c r="D293" s="331" t="s">
        <v>123</v>
      </c>
      <c r="E293" s="331" t="s">
        <v>124</v>
      </c>
      <c r="F293" s="331" t="s">
        <v>125</v>
      </c>
      <c r="G293" s="331" t="s">
        <v>628</v>
      </c>
      <c r="H293" s="331" t="s">
        <v>126</v>
      </c>
      <c r="I293" s="328"/>
      <c r="J293" s="328">
        <v>615</v>
      </c>
      <c r="K293" s="331" t="s">
        <v>629</v>
      </c>
      <c r="L293" s="328">
        <v>410623.19999999995</v>
      </c>
      <c r="M293" s="328">
        <v>615</v>
      </c>
      <c r="N293" s="328">
        <v>0</v>
      </c>
      <c r="O293" s="182">
        <f t="shared" si="5"/>
        <v>1</v>
      </c>
    </row>
    <row r="294" spans="1:17" x14ac:dyDescent="0.25">
      <c r="A294" s="329">
        <v>1147</v>
      </c>
      <c r="B294" s="330" t="s">
        <v>630</v>
      </c>
      <c r="C294" s="331" t="s">
        <v>250</v>
      </c>
      <c r="D294" s="331" t="s">
        <v>123</v>
      </c>
      <c r="E294" s="331" t="s">
        <v>124</v>
      </c>
      <c r="F294" s="331" t="s">
        <v>128</v>
      </c>
      <c r="G294" s="331" t="s">
        <v>631</v>
      </c>
      <c r="H294" s="331" t="s">
        <v>126</v>
      </c>
      <c r="I294" s="328"/>
      <c r="J294" s="328">
        <v>205</v>
      </c>
      <c r="K294" s="331" t="s">
        <v>632</v>
      </c>
      <c r="L294" s="328">
        <v>136874.4</v>
      </c>
      <c r="M294" s="328">
        <v>205</v>
      </c>
      <c r="N294" s="328">
        <v>136874.4</v>
      </c>
      <c r="O294" s="182">
        <f t="shared" si="5"/>
        <v>1</v>
      </c>
    </row>
    <row r="295" spans="1:17" x14ac:dyDescent="0.25">
      <c r="A295" s="329">
        <v>1148</v>
      </c>
      <c r="B295" s="330" t="s">
        <v>633</v>
      </c>
      <c r="C295" s="331" t="s">
        <v>250</v>
      </c>
      <c r="D295" s="331" t="s">
        <v>123</v>
      </c>
      <c r="E295" s="331" t="s">
        <v>124</v>
      </c>
      <c r="F295" s="331" t="s">
        <v>128</v>
      </c>
      <c r="G295" s="331" t="s">
        <v>631</v>
      </c>
      <c r="H295" s="331" t="s">
        <v>126</v>
      </c>
      <c r="I295" s="328"/>
      <c r="J295" s="328">
        <v>230</v>
      </c>
      <c r="K295" s="331" t="s">
        <v>634</v>
      </c>
      <c r="L295" s="328">
        <v>153566.39999999999</v>
      </c>
      <c r="M295" s="328">
        <v>230</v>
      </c>
      <c r="N295" s="328">
        <v>460699.19999999995</v>
      </c>
      <c r="O295" s="182">
        <f t="shared" si="5"/>
        <v>1</v>
      </c>
    </row>
    <row r="296" spans="1:17" x14ac:dyDescent="0.25">
      <c r="A296" s="329">
        <v>1149</v>
      </c>
      <c r="B296" s="330" t="s">
        <v>635</v>
      </c>
      <c r="C296" s="331" t="s">
        <v>249</v>
      </c>
      <c r="D296" s="331" t="s">
        <v>123</v>
      </c>
      <c r="E296" s="331" t="s">
        <v>127</v>
      </c>
      <c r="F296" s="331" t="s">
        <v>128</v>
      </c>
      <c r="G296" s="331" t="s">
        <v>636</v>
      </c>
      <c r="H296" s="331" t="s">
        <v>127</v>
      </c>
      <c r="I296" s="328">
        <v>182284</v>
      </c>
      <c r="J296" s="328"/>
      <c r="K296" s="331" t="s">
        <v>637</v>
      </c>
      <c r="L296" s="328">
        <v>182284</v>
      </c>
      <c r="M296" s="328">
        <v>273.01102324466814</v>
      </c>
      <c r="N296" s="328">
        <v>363200</v>
      </c>
      <c r="O296" s="182">
        <f t="shared" si="5"/>
        <v>1</v>
      </c>
    </row>
    <row r="297" spans="1:17" x14ac:dyDescent="0.25">
      <c r="A297" s="329">
        <v>1150</v>
      </c>
      <c r="B297" s="330" t="s">
        <v>635</v>
      </c>
      <c r="C297" s="331" t="s">
        <v>250</v>
      </c>
      <c r="D297" s="331" t="s">
        <v>123</v>
      </c>
      <c r="E297" s="331" t="s">
        <v>124</v>
      </c>
      <c r="F297" s="331" t="s">
        <v>129</v>
      </c>
      <c r="G297" s="331" t="s">
        <v>638</v>
      </c>
      <c r="H297" s="331" t="s">
        <v>126</v>
      </c>
      <c r="I297" s="328"/>
      <c r="J297" s="328">
        <v>230</v>
      </c>
      <c r="K297" s="331" t="s">
        <v>639</v>
      </c>
      <c r="L297" s="328">
        <v>153566.39999999999</v>
      </c>
      <c r="M297" s="328">
        <v>230</v>
      </c>
      <c r="N297" s="328">
        <v>597573.6</v>
      </c>
      <c r="O297" s="182">
        <f t="shared" si="5"/>
        <v>1</v>
      </c>
    </row>
    <row r="298" spans="1:17" x14ac:dyDescent="0.25">
      <c r="A298" s="329">
        <v>1151</v>
      </c>
      <c r="B298" s="330" t="s">
        <v>640</v>
      </c>
      <c r="C298" s="331" t="s">
        <v>250</v>
      </c>
      <c r="D298" s="331" t="s">
        <v>123</v>
      </c>
      <c r="E298" s="331" t="s">
        <v>124</v>
      </c>
      <c r="F298" s="331" t="s">
        <v>129</v>
      </c>
      <c r="G298" s="331" t="s">
        <v>582</v>
      </c>
      <c r="H298" s="331" t="s">
        <v>126</v>
      </c>
      <c r="I298" s="328"/>
      <c r="J298" s="328">
        <v>230</v>
      </c>
      <c r="K298" s="331" t="s">
        <v>641</v>
      </c>
      <c r="L298" s="328">
        <v>153566.39999999999</v>
      </c>
      <c r="M298" s="328">
        <v>230</v>
      </c>
      <c r="N298" s="328">
        <v>153566.39999999999</v>
      </c>
      <c r="O298" s="182">
        <f t="shared" si="5"/>
        <v>1</v>
      </c>
    </row>
    <row r="299" spans="1:17" x14ac:dyDescent="0.25">
      <c r="A299" s="329">
        <v>1152</v>
      </c>
      <c r="B299" s="330" t="s">
        <v>642</v>
      </c>
      <c r="C299" s="331" t="s">
        <v>250</v>
      </c>
      <c r="D299" s="331" t="s">
        <v>123</v>
      </c>
      <c r="E299" s="331" t="s">
        <v>124</v>
      </c>
      <c r="F299" s="331" t="s">
        <v>128</v>
      </c>
      <c r="G299" s="331" t="s">
        <v>643</v>
      </c>
      <c r="H299" s="331" t="s">
        <v>126</v>
      </c>
      <c r="I299" s="328"/>
      <c r="J299" s="328">
        <v>205</v>
      </c>
      <c r="K299" s="331" t="s">
        <v>644</v>
      </c>
      <c r="L299" s="328">
        <v>136874.4</v>
      </c>
      <c r="M299" s="328">
        <v>205</v>
      </c>
      <c r="N299" s="328">
        <v>0</v>
      </c>
      <c r="O299" s="182">
        <f t="shared" si="5"/>
        <v>1</v>
      </c>
    </row>
    <row r="300" spans="1:17" x14ac:dyDescent="0.25">
      <c r="A300" s="329">
        <v>1153</v>
      </c>
      <c r="B300" s="330" t="s">
        <v>645</v>
      </c>
      <c r="C300" s="331" t="s">
        <v>249</v>
      </c>
      <c r="D300" s="331" t="s">
        <v>123</v>
      </c>
      <c r="E300" s="331" t="s">
        <v>127</v>
      </c>
      <c r="F300" s="331" t="s">
        <v>128</v>
      </c>
      <c r="G300" s="331" t="s">
        <v>646</v>
      </c>
      <c r="H300" s="331" t="s">
        <v>127</v>
      </c>
      <c r="I300" s="328">
        <v>462346</v>
      </c>
      <c r="J300" s="328"/>
      <c r="K300" s="331" t="s">
        <v>647</v>
      </c>
      <c r="L300" s="328">
        <v>462346</v>
      </c>
      <c r="M300" s="328">
        <v>692.46645099448847</v>
      </c>
      <c r="N300" s="328">
        <v>0</v>
      </c>
      <c r="O300" s="182">
        <f t="shared" si="5"/>
        <v>1</v>
      </c>
    </row>
    <row r="301" spans="1:17" x14ac:dyDescent="0.25">
      <c r="A301" s="329">
        <v>1154</v>
      </c>
      <c r="B301" s="330" t="s">
        <v>648</v>
      </c>
      <c r="C301" s="331" t="s">
        <v>250</v>
      </c>
      <c r="D301" s="331" t="s">
        <v>123</v>
      </c>
      <c r="E301" s="331" t="s">
        <v>124</v>
      </c>
      <c r="F301" s="331" t="s">
        <v>129</v>
      </c>
      <c r="G301" s="331" t="s">
        <v>649</v>
      </c>
      <c r="H301" s="331" t="s">
        <v>126</v>
      </c>
      <c r="I301" s="328"/>
      <c r="J301" s="328">
        <v>615</v>
      </c>
      <c r="K301" s="331" t="s">
        <v>650</v>
      </c>
      <c r="L301" s="328">
        <v>410623.19999999995</v>
      </c>
      <c r="M301" s="328">
        <v>615</v>
      </c>
      <c r="N301" s="328">
        <v>0</v>
      </c>
      <c r="O301" s="182">
        <f t="shared" si="5"/>
        <v>1</v>
      </c>
    </row>
    <row r="302" spans="1:17" x14ac:dyDescent="0.25">
      <c r="A302" s="329">
        <v>1155</v>
      </c>
      <c r="B302" s="330" t="s">
        <v>651</v>
      </c>
      <c r="C302" s="331" t="s">
        <v>250</v>
      </c>
      <c r="D302" s="331" t="s">
        <v>123</v>
      </c>
      <c r="E302" s="331" t="s">
        <v>124</v>
      </c>
      <c r="F302" s="331" t="s">
        <v>128</v>
      </c>
      <c r="G302" s="331" t="s">
        <v>652</v>
      </c>
      <c r="H302" s="331" t="s">
        <v>126</v>
      </c>
      <c r="I302" s="328"/>
      <c r="J302" s="328">
        <v>230</v>
      </c>
      <c r="K302" s="331" t="s">
        <v>653</v>
      </c>
      <c r="L302" s="328">
        <v>153566.39999999999</v>
      </c>
      <c r="M302" s="328">
        <v>230</v>
      </c>
      <c r="N302" s="328">
        <v>717756</v>
      </c>
      <c r="O302" s="182">
        <f t="shared" si="5"/>
        <v>1</v>
      </c>
    </row>
    <row r="303" spans="1:17" x14ac:dyDescent="0.25">
      <c r="A303" s="329">
        <v>1156</v>
      </c>
      <c r="B303" s="330" t="s">
        <v>654</v>
      </c>
      <c r="C303" s="331" t="s">
        <v>250</v>
      </c>
      <c r="D303" s="331" t="s">
        <v>123</v>
      </c>
      <c r="E303" s="331" t="s">
        <v>124</v>
      </c>
      <c r="F303" s="331" t="s">
        <v>128</v>
      </c>
      <c r="G303" s="331" t="s">
        <v>655</v>
      </c>
      <c r="H303" s="331" t="s">
        <v>126</v>
      </c>
      <c r="I303" s="328"/>
      <c r="J303" s="328">
        <v>205</v>
      </c>
      <c r="K303" s="331" t="s">
        <v>656</v>
      </c>
      <c r="L303" s="328">
        <v>136874.4</v>
      </c>
      <c r="M303" s="328">
        <v>205</v>
      </c>
      <c r="N303" s="328">
        <v>547497.6</v>
      </c>
      <c r="O303" s="182">
        <f t="shared" ref="O303:O364" si="6">+A303-A302</f>
        <v>1</v>
      </c>
    </row>
    <row r="304" spans="1:17" ht="15.75" x14ac:dyDescent="0.25">
      <c r="A304" s="329">
        <v>1157</v>
      </c>
      <c r="B304" s="330" t="s">
        <v>657</v>
      </c>
      <c r="C304" s="331" t="s">
        <v>250</v>
      </c>
      <c r="D304" s="331" t="s">
        <v>123</v>
      </c>
      <c r="E304" s="331" t="s">
        <v>124</v>
      </c>
      <c r="F304" s="331" t="s">
        <v>128</v>
      </c>
      <c r="G304" s="331" t="s">
        <v>658</v>
      </c>
      <c r="H304" s="331" t="s">
        <v>126</v>
      </c>
      <c r="I304" s="328"/>
      <c r="J304" s="328">
        <v>230</v>
      </c>
      <c r="K304" s="331" t="s">
        <v>659</v>
      </c>
      <c r="L304" s="328">
        <v>153566.39999999999</v>
      </c>
      <c r="M304" s="328">
        <v>230</v>
      </c>
      <c r="N304" s="328">
        <v>290440.8</v>
      </c>
      <c r="O304" s="182">
        <f t="shared" si="6"/>
        <v>1</v>
      </c>
      <c r="P304" s="308" t="s">
        <v>344</v>
      </c>
    </row>
    <row r="305" spans="1:16" ht="15.75" x14ac:dyDescent="0.25">
      <c r="A305" s="329">
        <v>1158</v>
      </c>
      <c r="B305" s="330" t="s">
        <v>660</v>
      </c>
      <c r="C305" s="331" t="s">
        <v>250</v>
      </c>
      <c r="D305" s="331" t="s">
        <v>123</v>
      </c>
      <c r="E305" s="331" t="s">
        <v>124</v>
      </c>
      <c r="F305" s="331" t="s">
        <v>129</v>
      </c>
      <c r="G305" s="331" t="s">
        <v>661</v>
      </c>
      <c r="H305" s="331" t="s">
        <v>126</v>
      </c>
      <c r="I305" s="328"/>
      <c r="J305" s="328">
        <v>230</v>
      </c>
      <c r="K305" s="331" t="s">
        <v>662</v>
      </c>
      <c r="L305" s="328">
        <v>153566.39999999999</v>
      </c>
      <c r="M305" s="328">
        <v>230</v>
      </c>
      <c r="N305" s="328">
        <v>427315.19999999995</v>
      </c>
      <c r="O305" s="182">
        <f t="shared" si="6"/>
        <v>1</v>
      </c>
      <c r="P305" s="308"/>
    </row>
    <row r="306" spans="1:16" x14ac:dyDescent="0.25">
      <c r="A306" s="329">
        <v>1159</v>
      </c>
      <c r="B306" s="330" t="s">
        <v>663</v>
      </c>
      <c r="C306" s="331" t="s">
        <v>250</v>
      </c>
      <c r="D306" s="331" t="s">
        <v>123</v>
      </c>
      <c r="E306" s="331" t="s">
        <v>124</v>
      </c>
      <c r="F306" s="331" t="s">
        <v>129</v>
      </c>
      <c r="G306" s="331" t="s">
        <v>508</v>
      </c>
      <c r="H306" s="331" t="s">
        <v>126</v>
      </c>
      <c r="I306" s="328"/>
      <c r="J306" s="328">
        <v>389.5</v>
      </c>
      <c r="K306" s="331" t="s">
        <v>664</v>
      </c>
      <c r="L306" s="328">
        <v>260061.36</v>
      </c>
      <c r="M306" s="328">
        <v>389.5</v>
      </c>
      <c r="N306" s="328">
        <v>0</v>
      </c>
      <c r="O306" s="182">
        <f t="shared" si="6"/>
        <v>1</v>
      </c>
    </row>
    <row r="307" spans="1:16" x14ac:dyDescent="0.25">
      <c r="A307" s="329">
        <v>1160</v>
      </c>
      <c r="B307" s="330" t="s">
        <v>665</v>
      </c>
      <c r="C307" s="331" t="s">
        <v>250</v>
      </c>
      <c r="D307" s="331" t="s">
        <v>123</v>
      </c>
      <c r="E307" s="331" t="s">
        <v>124</v>
      </c>
      <c r="F307" s="331" t="s">
        <v>129</v>
      </c>
      <c r="G307" s="331" t="s">
        <v>522</v>
      </c>
      <c r="H307" s="331" t="s">
        <v>126</v>
      </c>
      <c r="I307" s="328"/>
      <c r="J307" s="328">
        <v>820</v>
      </c>
      <c r="K307" s="331" t="s">
        <v>666</v>
      </c>
      <c r="L307" s="328">
        <v>547497.6</v>
      </c>
      <c r="M307" s="328">
        <v>820</v>
      </c>
      <c r="N307" s="328">
        <v>0</v>
      </c>
      <c r="O307" s="182">
        <f t="shared" si="6"/>
        <v>1</v>
      </c>
    </row>
    <row r="308" spans="1:16" x14ac:dyDescent="0.25">
      <c r="A308" s="329">
        <v>1161</v>
      </c>
      <c r="B308" s="330" t="s">
        <v>667</v>
      </c>
      <c r="C308" s="331" t="s">
        <v>249</v>
      </c>
      <c r="D308" s="331" t="s">
        <v>123</v>
      </c>
      <c r="E308" s="331" t="s">
        <v>127</v>
      </c>
      <c r="F308" s="331" t="s">
        <v>128</v>
      </c>
      <c r="G308" s="331" t="s">
        <v>602</v>
      </c>
      <c r="H308" s="331" t="s">
        <v>127</v>
      </c>
      <c r="I308" s="328">
        <v>6000</v>
      </c>
      <c r="J308" s="328"/>
      <c r="K308" s="331" t="s">
        <v>668</v>
      </c>
      <c r="L308" s="328">
        <v>6000</v>
      </c>
      <c r="M308" s="328">
        <v>8.9863407620416975</v>
      </c>
      <c r="N308" s="328">
        <v>0</v>
      </c>
      <c r="O308" s="182">
        <f t="shared" si="6"/>
        <v>1</v>
      </c>
    </row>
    <row r="309" spans="1:16" x14ac:dyDescent="0.25">
      <c r="A309" s="329">
        <v>1162</v>
      </c>
      <c r="B309" s="330" t="s">
        <v>669</v>
      </c>
      <c r="C309" s="331" t="s">
        <v>250</v>
      </c>
      <c r="D309" s="331" t="s">
        <v>123</v>
      </c>
      <c r="E309" s="331" t="s">
        <v>124</v>
      </c>
      <c r="F309" s="331" t="s">
        <v>129</v>
      </c>
      <c r="G309" s="331" t="s">
        <v>365</v>
      </c>
      <c r="H309" s="331" t="s">
        <v>126</v>
      </c>
      <c r="I309" s="328"/>
      <c r="J309" s="328">
        <v>410</v>
      </c>
      <c r="K309" s="331" t="s">
        <v>670</v>
      </c>
      <c r="L309" s="328">
        <v>273748.8</v>
      </c>
      <c r="M309" s="328">
        <v>410</v>
      </c>
      <c r="N309" s="328">
        <v>0</v>
      </c>
      <c r="O309" s="182">
        <f t="shared" si="6"/>
        <v>1</v>
      </c>
    </row>
    <row r="310" spans="1:16" x14ac:dyDescent="0.25">
      <c r="A310" s="329">
        <v>1163</v>
      </c>
      <c r="B310" s="330" t="s">
        <v>671</v>
      </c>
      <c r="C310" s="331" t="s">
        <v>250</v>
      </c>
      <c r="D310" s="331" t="s">
        <v>123</v>
      </c>
      <c r="E310" s="331" t="s">
        <v>124</v>
      </c>
      <c r="F310" s="331" t="s">
        <v>129</v>
      </c>
      <c r="G310" s="331" t="s">
        <v>366</v>
      </c>
      <c r="H310" s="331" t="s">
        <v>126</v>
      </c>
      <c r="I310" s="328"/>
      <c r="J310" s="328">
        <v>615</v>
      </c>
      <c r="K310" s="331" t="s">
        <v>672</v>
      </c>
      <c r="L310" s="328">
        <v>410623.19999999995</v>
      </c>
      <c r="M310" s="328">
        <v>615</v>
      </c>
      <c r="N310" s="328">
        <v>0</v>
      </c>
      <c r="O310" s="182">
        <f t="shared" si="6"/>
        <v>1</v>
      </c>
    </row>
    <row r="311" spans="1:16" x14ac:dyDescent="0.25">
      <c r="A311" s="329">
        <v>1164</v>
      </c>
      <c r="B311" s="330" t="s">
        <v>673</v>
      </c>
      <c r="C311" s="331" t="s">
        <v>249</v>
      </c>
      <c r="D311" s="331" t="s">
        <v>123</v>
      </c>
      <c r="E311" s="331" t="s">
        <v>127</v>
      </c>
      <c r="F311" s="331" t="s">
        <v>129</v>
      </c>
      <c r="G311" s="331" t="s">
        <v>674</v>
      </c>
      <c r="H311" s="331" t="s">
        <v>127</v>
      </c>
      <c r="I311" s="328">
        <v>6000</v>
      </c>
      <c r="J311" s="328"/>
      <c r="K311" s="331" t="s">
        <v>675</v>
      </c>
      <c r="L311" s="328">
        <v>6000</v>
      </c>
      <c r="M311" s="328">
        <v>8.9863407620416975</v>
      </c>
      <c r="N311" s="328">
        <v>0</v>
      </c>
      <c r="O311" s="182">
        <f t="shared" si="6"/>
        <v>1</v>
      </c>
    </row>
    <row r="312" spans="1:16" x14ac:dyDescent="0.25">
      <c r="A312" s="329">
        <v>1165</v>
      </c>
      <c r="B312" s="330" t="s">
        <v>676</v>
      </c>
      <c r="C312" s="331" t="s">
        <v>250</v>
      </c>
      <c r="D312" s="331" t="s">
        <v>123</v>
      </c>
      <c r="E312" s="331" t="s">
        <v>124</v>
      </c>
      <c r="F312" s="331" t="s">
        <v>129</v>
      </c>
      <c r="G312" s="331" t="s">
        <v>677</v>
      </c>
      <c r="H312" s="331" t="s">
        <v>126</v>
      </c>
      <c r="I312" s="328"/>
      <c r="J312" s="328">
        <v>820</v>
      </c>
      <c r="K312" s="331" t="s">
        <v>678</v>
      </c>
      <c r="L312" s="328">
        <v>547497.6</v>
      </c>
      <c r="M312" s="328">
        <v>820</v>
      </c>
      <c r="N312" s="328">
        <v>0</v>
      </c>
      <c r="O312" s="182">
        <f t="shared" si="6"/>
        <v>1</v>
      </c>
    </row>
    <row r="313" spans="1:16" x14ac:dyDescent="0.25">
      <c r="A313" s="329">
        <v>1166</v>
      </c>
      <c r="B313" s="330" t="s">
        <v>679</v>
      </c>
      <c r="C313" s="331" t="s">
        <v>250</v>
      </c>
      <c r="D313" s="331" t="s">
        <v>123</v>
      </c>
      <c r="E313" s="331" t="s">
        <v>124</v>
      </c>
      <c r="F313" s="331" t="s">
        <v>129</v>
      </c>
      <c r="G313" s="331" t="s">
        <v>680</v>
      </c>
      <c r="H313" s="331" t="s">
        <v>126</v>
      </c>
      <c r="I313" s="328"/>
      <c r="J313" s="328">
        <v>205</v>
      </c>
      <c r="K313" s="331" t="s">
        <v>681</v>
      </c>
      <c r="L313" s="328">
        <v>136874.4</v>
      </c>
      <c r="M313" s="328">
        <v>205</v>
      </c>
      <c r="N313" s="328">
        <v>0</v>
      </c>
      <c r="O313" s="182">
        <f t="shared" si="6"/>
        <v>1</v>
      </c>
    </row>
    <row r="314" spans="1:16" x14ac:dyDescent="0.25">
      <c r="A314" s="329">
        <v>1167</v>
      </c>
      <c r="B314" s="330" t="s">
        <v>682</v>
      </c>
      <c r="C314" s="331" t="s">
        <v>250</v>
      </c>
      <c r="D314" s="331" t="s">
        <v>123</v>
      </c>
      <c r="E314" s="331" t="s">
        <v>124</v>
      </c>
      <c r="F314" s="331" t="s">
        <v>129</v>
      </c>
      <c r="G314" s="331" t="s">
        <v>680</v>
      </c>
      <c r="H314" s="331" t="s">
        <v>126</v>
      </c>
      <c r="I314" s="328"/>
      <c r="J314" s="328">
        <v>205</v>
      </c>
      <c r="K314" s="331" t="s">
        <v>683</v>
      </c>
      <c r="L314" s="328">
        <v>136874.4</v>
      </c>
      <c r="M314" s="328">
        <v>205</v>
      </c>
      <c r="N314" s="328">
        <v>0</v>
      </c>
      <c r="O314" s="182">
        <f t="shared" si="6"/>
        <v>1</v>
      </c>
    </row>
    <row r="315" spans="1:16" x14ac:dyDescent="0.25">
      <c r="A315" s="329">
        <v>1168</v>
      </c>
      <c r="B315" s="330" t="s">
        <v>684</v>
      </c>
      <c r="C315" s="331" t="s">
        <v>250</v>
      </c>
      <c r="D315" s="331" t="s">
        <v>123</v>
      </c>
      <c r="E315" s="331" t="s">
        <v>124</v>
      </c>
      <c r="F315" s="331" t="s">
        <v>129</v>
      </c>
      <c r="G315" s="331" t="s">
        <v>370</v>
      </c>
      <c r="H315" s="331" t="s">
        <v>126</v>
      </c>
      <c r="I315" s="328"/>
      <c r="J315" s="328">
        <v>205</v>
      </c>
      <c r="K315" s="331" t="s">
        <v>685</v>
      </c>
      <c r="L315" s="328">
        <v>136874.4</v>
      </c>
      <c r="M315" s="328">
        <v>205</v>
      </c>
      <c r="N315" s="328">
        <v>0</v>
      </c>
      <c r="O315" s="182">
        <f t="shared" si="6"/>
        <v>1</v>
      </c>
    </row>
    <row r="316" spans="1:16" x14ac:dyDescent="0.25">
      <c r="A316" s="329">
        <v>1169</v>
      </c>
      <c r="B316" s="330" t="s">
        <v>686</v>
      </c>
      <c r="C316" s="331" t="s">
        <v>250</v>
      </c>
      <c r="D316" s="331" t="s">
        <v>123</v>
      </c>
      <c r="E316" s="331" t="s">
        <v>124</v>
      </c>
      <c r="F316" s="331" t="s">
        <v>129</v>
      </c>
      <c r="G316" s="331" t="s">
        <v>687</v>
      </c>
      <c r="H316" s="331" t="s">
        <v>126</v>
      </c>
      <c r="I316" s="328"/>
      <c r="J316" s="328">
        <v>205</v>
      </c>
      <c r="K316" s="331" t="s">
        <v>688</v>
      </c>
      <c r="L316" s="328">
        <v>136874.4</v>
      </c>
      <c r="M316" s="328">
        <v>205</v>
      </c>
      <c r="N316" s="328">
        <v>0</v>
      </c>
      <c r="O316" s="182">
        <f t="shared" si="6"/>
        <v>1</v>
      </c>
    </row>
    <row r="317" spans="1:16" x14ac:dyDescent="0.25">
      <c r="A317" s="329">
        <v>1170</v>
      </c>
      <c r="B317" s="330" t="s">
        <v>689</v>
      </c>
      <c r="C317" s="331" t="s">
        <v>250</v>
      </c>
      <c r="D317" s="331" t="s">
        <v>123</v>
      </c>
      <c r="E317" s="331" t="s">
        <v>124</v>
      </c>
      <c r="F317" s="331" t="s">
        <v>128</v>
      </c>
      <c r="G317" s="331" t="s">
        <v>690</v>
      </c>
      <c r="H317" s="331" t="s">
        <v>126</v>
      </c>
      <c r="I317" s="328"/>
      <c r="J317" s="328">
        <v>205</v>
      </c>
      <c r="K317" s="331" t="s">
        <v>691</v>
      </c>
      <c r="L317" s="328">
        <v>136874.4</v>
      </c>
      <c r="M317" s="328">
        <v>205</v>
      </c>
      <c r="N317" s="328">
        <v>273748.8</v>
      </c>
      <c r="O317" s="182">
        <f t="shared" si="6"/>
        <v>1</v>
      </c>
    </row>
    <row r="318" spans="1:16" x14ac:dyDescent="0.25">
      <c r="A318" s="329">
        <v>1171</v>
      </c>
      <c r="B318" s="330" t="s">
        <v>692</v>
      </c>
      <c r="C318" s="331" t="s">
        <v>250</v>
      </c>
      <c r="D318" s="331" t="s">
        <v>123</v>
      </c>
      <c r="E318" s="331" t="s">
        <v>124</v>
      </c>
      <c r="F318" s="331" t="s">
        <v>129</v>
      </c>
      <c r="G318" s="331" t="s">
        <v>368</v>
      </c>
      <c r="H318" s="331" t="s">
        <v>126</v>
      </c>
      <c r="I318" s="328"/>
      <c r="J318" s="328">
        <v>390</v>
      </c>
      <c r="K318" s="331" t="s">
        <v>693</v>
      </c>
      <c r="L318" s="328">
        <v>260395.19999999998</v>
      </c>
      <c r="M318" s="328">
        <v>390</v>
      </c>
      <c r="N318" s="328">
        <v>0</v>
      </c>
      <c r="O318" s="182">
        <f t="shared" si="6"/>
        <v>1</v>
      </c>
    </row>
    <row r="319" spans="1:16" x14ac:dyDescent="0.25">
      <c r="A319" s="329">
        <v>1172</v>
      </c>
      <c r="B319" s="330" t="s">
        <v>694</v>
      </c>
      <c r="C319" s="331" t="s">
        <v>249</v>
      </c>
      <c r="D319" s="331" t="s">
        <v>123</v>
      </c>
      <c r="E319" s="331" t="s">
        <v>127</v>
      </c>
      <c r="F319" s="331" t="s">
        <v>128</v>
      </c>
      <c r="G319" s="331" t="s">
        <v>364</v>
      </c>
      <c r="H319" s="331" t="s">
        <v>127</v>
      </c>
      <c r="I319" s="328">
        <v>3000</v>
      </c>
      <c r="J319" s="328"/>
      <c r="K319" s="331" t="s">
        <v>695</v>
      </c>
      <c r="L319" s="328">
        <v>3000</v>
      </c>
      <c r="M319" s="328">
        <v>4.4931703810208488</v>
      </c>
      <c r="N319" s="328">
        <v>0</v>
      </c>
      <c r="O319" s="182">
        <f t="shared" si="6"/>
        <v>1</v>
      </c>
    </row>
    <row r="320" spans="1:16" x14ac:dyDescent="0.25">
      <c r="A320" s="329">
        <v>1173</v>
      </c>
      <c r="B320" s="330" t="s">
        <v>696</v>
      </c>
      <c r="C320" s="331" t="s">
        <v>250</v>
      </c>
      <c r="D320" s="331" t="s">
        <v>123</v>
      </c>
      <c r="E320" s="331" t="s">
        <v>124</v>
      </c>
      <c r="F320" s="331" t="s">
        <v>128</v>
      </c>
      <c r="G320" s="331" t="s">
        <v>697</v>
      </c>
      <c r="H320" s="331" t="s">
        <v>126</v>
      </c>
      <c r="I320" s="328"/>
      <c r="J320" s="328">
        <v>486.87</v>
      </c>
      <c r="K320" s="331" t="s">
        <v>698</v>
      </c>
      <c r="L320" s="328">
        <v>325073.3616</v>
      </c>
      <c r="M320" s="328">
        <v>486.87000000000006</v>
      </c>
      <c r="N320" s="328">
        <v>0</v>
      </c>
      <c r="O320" s="182">
        <f t="shared" si="6"/>
        <v>1</v>
      </c>
    </row>
    <row r="321" spans="1:17" x14ac:dyDescent="0.25">
      <c r="A321" s="329">
        <v>1174</v>
      </c>
      <c r="B321" s="330" t="s">
        <v>699</v>
      </c>
      <c r="C321" s="331" t="s">
        <v>250</v>
      </c>
      <c r="D321" s="331" t="s">
        <v>123</v>
      </c>
      <c r="E321" s="331" t="s">
        <v>124</v>
      </c>
      <c r="F321" s="331" t="s">
        <v>128</v>
      </c>
      <c r="G321" s="331" t="s">
        <v>367</v>
      </c>
      <c r="H321" s="331" t="s">
        <v>126</v>
      </c>
      <c r="I321" s="328"/>
      <c r="J321" s="328">
        <v>486.88</v>
      </c>
      <c r="K321" s="331" t="s">
        <v>700</v>
      </c>
      <c r="L321" s="328">
        <v>325080.03839999996</v>
      </c>
      <c r="M321" s="328">
        <v>486.88</v>
      </c>
      <c r="N321" s="328">
        <v>0</v>
      </c>
      <c r="O321" s="182">
        <f t="shared" si="6"/>
        <v>1</v>
      </c>
    </row>
    <row r="322" spans="1:17" x14ac:dyDescent="0.25">
      <c r="A322" s="329">
        <v>1175</v>
      </c>
      <c r="B322" s="330" t="s">
        <v>701</v>
      </c>
      <c r="C322" s="331" t="s">
        <v>250</v>
      </c>
      <c r="D322" s="331" t="s">
        <v>123</v>
      </c>
      <c r="E322" s="331" t="s">
        <v>124</v>
      </c>
      <c r="F322" s="331" t="s">
        <v>128</v>
      </c>
      <c r="G322" s="331" t="s">
        <v>702</v>
      </c>
      <c r="H322" s="331" t="s">
        <v>126</v>
      </c>
      <c r="I322" s="328"/>
      <c r="J322" s="328">
        <v>230</v>
      </c>
      <c r="K322" s="331" t="s">
        <v>703</v>
      </c>
      <c r="L322" s="328">
        <v>153566.39999999999</v>
      </c>
      <c r="M322" s="328">
        <v>230</v>
      </c>
      <c r="N322" s="328">
        <v>564189.6</v>
      </c>
      <c r="O322" s="182">
        <f t="shared" si="6"/>
        <v>1</v>
      </c>
      <c r="Q322" s="240" t="str">
        <f t="shared" ref="Q322:Q326" si="7">CONCATENATE(MID(B322,1,2),"-",MID(B322,4,2),"-",MID(B322,7,4))</f>
        <v>26-03-2019</v>
      </c>
    </row>
    <row r="323" spans="1:17" x14ac:dyDescent="0.25">
      <c r="A323" s="329">
        <v>1176</v>
      </c>
      <c r="B323" s="330" t="s">
        <v>704</v>
      </c>
      <c r="C323" s="331" t="s">
        <v>250</v>
      </c>
      <c r="D323" s="331" t="s">
        <v>123</v>
      </c>
      <c r="E323" s="331" t="s">
        <v>124</v>
      </c>
      <c r="F323" s="331" t="s">
        <v>128</v>
      </c>
      <c r="G323" s="331" t="s">
        <v>702</v>
      </c>
      <c r="H323" s="331" t="s">
        <v>126</v>
      </c>
      <c r="I323" s="328"/>
      <c r="J323" s="328">
        <v>230</v>
      </c>
      <c r="K323" s="331" t="s">
        <v>705</v>
      </c>
      <c r="L323" s="328">
        <v>153566.39999999999</v>
      </c>
      <c r="M323" s="328">
        <v>230</v>
      </c>
      <c r="N323" s="328">
        <v>564189.6</v>
      </c>
      <c r="O323" s="182">
        <f t="shared" si="6"/>
        <v>1</v>
      </c>
      <c r="Q323" s="240" t="str">
        <f t="shared" si="7"/>
        <v>26-03-2019</v>
      </c>
    </row>
    <row r="324" spans="1:17" x14ac:dyDescent="0.25">
      <c r="A324" s="329">
        <v>1177</v>
      </c>
      <c r="B324" s="330" t="s">
        <v>706</v>
      </c>
      <c r="C324" s="331" t="s">
        <v>250</v>
      </c>
      <c r="D324" s="331" t="s">
        <v>123</v>
      </c>
      <c r="E324" s="331" t="s">
        <v>124</v>
      </c>
      <c r="F324" s="331" t="s">
        <v>128</v>
      </c>
      <c r="G324" s="331" t="s">
        <v>707</v>
      </c>
      <c r="H324" s="331" t="s">
        <v>126</v>
      </c>
      <c r="I324" s="328"/>
      <c r="J324" s="328">
        <v>410</v>
      </c>
      <c r="K324" s="331" t="s">
        <v>708</v>
      </c>
      <c r="L324" s="328">
        <v>273748.8</v>
      </c>
      <c r="M324" s="328">
        <v>410</v>
      </c>
      <c r="N324" s="328">
        <v>0</v>
      </c>
      <c r="O324" s="182">
        <f t="shared" si="6"/>
        <v>1</v>
      </c>
      <c r="Q324" s="240" t="str">
        <f t="shared" si="7"/>
        <v>27-03-2019</v>
      </c>
    </row>
    <row r="325" spans="1:17" x14ac:dyDescent="0.25">
      <c r="A325" s="329">
        <v>1178</v>
      </c>
      <c r="B325" s="330" t="s">
        <v>709</v>
      </c>
      <c r="C325" s="331" t="s">
        <v>249</v>
      </c>
      <c r="D325" s="331" t="s">
        <v>123</v>
      </c>
      <c r="E325" s="331" t="s">
        <v>127</v>
      </c>
      <c r="F325" s="331" t="s">
        <v>129</v>
      </c>
      <c r="G325" s="331" t="s">
        <v>710</v>
      </c>
      <c r="H325" s="331" t="s">
        <v>127</v>
      </c>
      <c r="I325" s="328">
        <v>12000</v>
      </c>
      <c r="J325" s="328"/>
      <c r="K325" s="331" t="s">
        <v>711</v>
      </c>
      <c r="L325" s="328">
        <v>12000</v>
      </c>
      <c r="M325" s="328">
        <v>17.972681524083395</v>
      </c>
      <c r="N325" s="328">
        <v>0</v>
      </c>
      <c r="O325" s="182">
        <f t="shared" si="6"/>
        <v>1</v>
      </c>
      <c r="Q325" s="240" t="str">
        <f t="shared" si="7"/>
        <v>27-03-2019</v>
      </c>
    </row>
    <row r="326" spans="1:17" x14ac:dyDescent="0.25">
      <c r="A326" s="329">
        <v>1179</v>
      </c>
      <c r="B326" s="330" t="s">
        <v>712</v>
      </c>
      <c r="C326" s="331" t="s">
        <v>250</v>
      </c>
      <c r="D326" s="331" t="s">
        <v>123</v>
      </c>
      <c r="E326" s="331" t="s">
        <v>124</v>
      </c>
      <c r="F326" s="331" t="s">
        <v>129</v>
      </c>
      <c r="G326" s="331" t="s">
        <v>713</v>
      </c>
      <c r="H326" s="331" t="s">
        <v>126</v>
      </c>
      <c r="I326" s="328"/>
      <c r="J326" s="328">
        <v>205</v>
      </c>
      <c r="K326" s="331" t="s">
        <v>714</v>
      </c>
      <c r="L326" s="328">
        <v>136874.4</v>
      </c>
      <c r="M326" s="328">
        <v>205</v>
      </c>
      <c r="N326" s="328">
        <v>273748.8</v>
      </c>
      <c r="O326" s="182">
        <f t="shared" si="6"/>
        <v>1</v>
      </c>
      <c r="Q326" s="240" t="str">
        <f t="shared" si="7"/>
        <v>27-03-2019</v>
      </c>
    </row>
    <row r="327" spans="1:17" x14ac:dyDescent="0.25">
      <c r="A327" s="329">
        <v>1180</v>
      </c>
      <c r="B327" s="330" t="s">
        <v>715</v>
      </c>
      <c r="C327" s="331" t="s">
        <v>250</v>
      </c>
      <c r="D327" s="331" t="s">
        <v>123</v>
      </c>
      <c r="E327" s="331" t="s">
        <v>124</v>
      </c>
      <c r="F327" s="331" t="s">
        <v>125</v>
      </c>
      <c r="G327" s="331" t="s">
        <v>716</v>
      </c>
      <c r="H327" s="331" t="s">
        <v>126</v>
      </c>
      <c r="I327" s="328"/>
      <c r="J327" s="328">
        <v>205</v>
      </c>
      <c r="K327" s="331" t="s">
        <v>717</v>
      </c>
      <c r="L327" s="328">
        <v>136874.4</v>
      </c>
      <c r="M327" s="328">
        <v>205</v>
      </c>
      <c r="N327" s="328">
        <v>0</v>
      </c>
      <c r="O327" s="182">
        <f t="shared" si="6"/>
        <v>1</v>
      </c>
      <c r="Q327" s="240" t="str">
        <f>CONCATENATE(MID(B327,1,2),"-",MID(B327,4,2),"-",MID(B327,7,4))</f>
        <v>27-03-2019</v>
      </c>
    </row>
    <row r="328" spans="1:17" x14ac:dyDescent="0.25">
      <c r="A328" s="329">
        <v>1181</v>
      </c>
      <c r="B328" s="330" t="s">
        <v>718</v>
      </c>
      <c r="C328" s="331" t="s">
        <v>249</v>
      </c>
      <c r="D328" s="331" t="s">
        <v>123</v>
      </c>
      <c r="E328" s="331" t="s">
        <v>127</v>
      </c>
      <c r="F328" s="331" t="s">
        <v>129</v>
      </c>
      <c r="G328" s="331" t="s">
        <v>617</v>
      </c>
      <c r="H328" s="331" t="s">
        <v>127</v>
      </c>
      <c r="I328" s="328">
        <v>158722</v>
      </c>
      <c r="J328" s="328"/>
      <c r="K328" s="331" t="s">
        <v>719</v>
      </c>
      <c r="L328" s="328">
        <v>158722</v>
      </c>
      <c r="M328" s="328">
        <v>237.72166307213038</v>
      </c>
      <c r="N328" s="328">
        <v>158722</v>
      </c>
      <c r="O328" s="182">
        <f t="shared" si="6"/>
        <v>1</v>
      </c>
    </row>
    <row r="329" spans="1:17" x14ac:dyDescent="0.25">
      <c r="A329" s="329">
        <v>1182</v>
      </c>
      <c r="B329" s="330" t="s">
        <v>720</v>
      </c>
      <c r="C329" s="331" t="s">
        <v>249</v>
      </c>
      <c r="D329" s="331" t="s">
        <v>123</v>
      </c>
      <c r="E329" s="331" t="s">
        <v>127</v>
      </c>
      <c r="F329" s="331" t="s">
        <v>129</v>
      </c>
      <c r="G329" s="331" t="s">
        <v>680</v>
      </c>
      <c r="H329" s="331" t="s">
        <v>127</v>
      </c>
      <c r="I329" s="328">
        <v>6000</v>
      </c>
      <c r="J329" s="328"/>
      <c r="K329" s="331" t="s">
        <v>721</v>
      </c>
      <c r="L329" s="328">
        <v>6000</v>
      </c>
      <c r="M329" s="328">
        <v>8.9863407620416975</v>
      </c>
      <c r="N329" s="328">
        <v>0</v>
      </c>
      <c r="O329" s="182">
        <f t="shared" si="6"/>
        <v>1</v>
      </c>
    </row>
    <row r="330" spans="1:17" x14ac:dyDescent="0.25">
      <c r="A330" s="329">
        <v>1183</v>
      </c>
      <c r="B330" s="330" t="s">
        <v>722</v>
      </c>
      <c r="C330" s="331" t="s">
        <v>250</v>
      </c>
      <c r="D330" s="331" t="s">
        <v>123</v>
      </c>
      <c r="E330" s="331" t="s">
        <v>124</v>
      </c>
      <c r="F330" s="331" t="s">
        <v>128</v>
      </c>
      <c r="G330" s="331" t="s">
        <v>723</v>
      </c>
      <c r="H330" s="331" t="s">
        <v>126</v>
      </c>
      <c r="I330" s="328"/>
      <c r="J330" s="328">
        <v>779</v>
      </c>
      <c r="K330" s="331" t="s">
        <v>724</v>
      </c>
      <c r="L330" s="328">
        <v>520122.72</v>
      </c>
      <c r="M330" s="328">
        <v>779</v>
      </c>
      <c r="N330" s="328">
        <v>0</v>
      </c>
      <c r="O330" s="182">
        <f t="shared" si="6"/>
        <v>1</v>
      </c>
    </row>
    <row r="331" spans="1:17" x14ac:dyDescent="0.25">
      <c r="A331" s="329">
        <v>1184</v>
      </c>
      <c r="B331" s="330" t="s">
        <v>725</v>
      </c>
      <c r="C331" s="331" t="s">
        <v>249</v>
      </c>
      <c r="D331" s="331" t="s">
        <v>123</v>
      </c>
      <c r="E331" s="331" t="s">
        <v>127</v>
      </c>
      <c r="F331" s="331" t="s">
        <v>128</v>
      </c>
      <c r="G331" s="331" t="s">
        <v>369</v>
      </c>
      <c r="H331" s="331" t="s">
        <v>127</v>
      </c>
      <c r="I331" s="328">
        <v>333724</v>
      </c>
      <c r="J331" s="328"/>
      <c r="K331" s="331" t="s">
        <v>726</v>
      </c>
      <c r="L331" s="328">
        <v>333724</v>
      </c>
      <c r="M331" s="328">
        <v>499.82626407860056</v>
      </c>
      <c r="N331" s="328">
        <v>0</v>
      </c>
      <c r="O331" s="182">
        <f t="shared" si="6"/>
        <v>1</v>
      </c>
    </row>
    <row r="332" spans="1:17" x14ac:dyDescent="0.25">
      <c r="A332" s="329">
        <v>1185</v>
      </c>
      <c r="B332" s="330" t="s">
        <v>727</v>
      </c>
      <c r="C332" s="331" t="s">
        <v>250</v>
      </c>
      <c r="D332" s="331" t="s">
        <v>123</v>
      </c>
      <c r="E332" s="331" t="s">
        <v>124</v>
      </c>
      <c r="F332" s="331" t="s">
        <v>125</v>
      </c>
      <c r="G332" s="331" t="s">
        <v>716</v>
      </c>
      <c r="H332" s="331" t="s">
        <v>126</v>
      </c>
      <c r="I332" s="328"/>
      <c r="J332" s="328">
        <v>194.75</v>
      </c>
      <c r="K332" s="331" t="s">
        <v>728</v>
      </c>
      <c r="L332" s="328">
        <v>130030.68</v>
      </c>
      <c r="M332" s="328">
        <v>194.75</v>
      </c>
      <c r="N332" s="328">
        <v>0</v>
      </c>
      <c r="O332" s="182">
        <f t="shared" si="6"/>
        <v>1</v>
      </c>
    </row>
    <row r="333" spans="1:17" x14ac:dyDescent="0.25">
      <c r="A333" s="329">
        <v>1186</v>
      </c>
      <c r="B333" s="330" t="s">
        <v>729</v>
      </c>
      <c r="C333" s="331" t="s">
        <v>249</v>
      </c>
      <c r="D333" s="331" t="s">
        <v>123</v>
      </c>
      <c r="E333" s="331" t="s">
        <v>127</v>
      </c>
      <c r="F333" s="331" t="s">
        <v>128</v>
      </c>
      <c r="G333" s="331" t="s">
        <v>730</v>
      </c>
      <c r="H333" s="331" t="s">
        <v>127</v>
      </c>
      <c r="I333" s="328">
        <v>158519</v>
      </c>
      <c r="J333" s="328"/>
      <c r="K333" s="331" t="s">
        <v>731</v>
      </c>
      <c r="L333" s="328">
        <v>158519</v>
      </c>
      <c r="M333" s="328">
        <v>237.41762520968129</v>
      </c>
      <c r="N333" s="328">
        <v>0</v>
      </c>
      <c r="O333" s="182">
        <f t="shared" si="6"/>
        <v>1</v>
      </c>
    </row>
    <row r="334" spans="1:17" x14ac:dyDescent="0.25">
      <c r="A334" s="329">
        <v>1187</v>
      </c>
      <c r="B334" s="330" t="s">
        <v>732</v>
      </c>
      <c r="C334" s="331" t="s">
        <v>250</v>
      </c>
      <c r="D334" s="331" t="s">
        <v>123</v>
      </c>
      <c r="E334" s="331" t="s">
        <v>124</v>
      </c>
      <c r="F334" s="331" t="s">
        <v>128</v>
      </c>
      <c r="G334" s="331" t="s">
        <v>733</v>
      </c>
      <c r="H334" s="331" t="s">
        <v>126</v>
      </c>
      <c r="I334" s="328"/>
      <c r="J334" s="328">
        <v>205</v>
      </c>
      <c r="K334" s="331" t="s">
        <v>734</v>
      </c>
      <c r="L334" s="328">
        <v>136874.4</v>
      </c>
      <c r="M334" s="328">
        <v>205</v>
      </c>
      <c r="N334" s="328">
        <v>547497.6</v>
      </c>
      <c r="O334" s="182">
        <f t="shared" si="6"/>
        <v>1</v>
      </c>
    </row>
    <row r="335" spans="1:17" x14ac:dyDescent="0.25">
      <c r="A335" s="329">
        <v>1188</v>
      </c>
      <c r="B335" s="330" t="s">
        <v>735</v>
      </c>
      <c r="C335" s="331" t="s">
        <v>250</v>
      </c>
      <c r="D335" s="331" t="s">
        <v>123</v>
      </c>
      <c r="E335" s="331" t="s">
        <v>124</v>
      </c>
      <c r="F335" s="331" t="s">
        <v>129</v>
      </c>
      <c r="G335" s="331" t="s">
        <v>736</v>
      </c>
      <c r="H335" s="331" t="s">
        <v>126</v>
      </c>
      <c r="I335" s="328"/>
      <c r="J335" s="328">
        <v>195</v>
      </c>
      <c r="K335" s="331" t="s">
        <v>737</v>
      </c>
      <c r="L335" s="328">
        <v>130197.59999999999</v>
      </c>
      <c r="M335" s="328">
        <v>195</v>
      </c>
      <c r="N335" s="328">
        <v>0</v>
      </c>
      <c r="O335" s="182">
        <f t="shared" si="6"/>
        <v>1</v>
      </c>
    </row>
    <row r="336" spans="1:17" x14ac:dyDescent="0.25">
      <c r="A336" s="329">
        <v>1189</v>
      </c>
      <c r="B336" s="330" t="s">
        <v>738</v>
      </c>
      <c r="C336" s="331" t="s">
        <v>249</v>
      </c>
      <c r="D336" s="331" t="s">
        <v>123</v>
      </c>
      <c r="E336" s="331" t="s">
        <v>127</v>
      </c>
      <c r="F336" s="331" t="s">
        <v>128</v>
      </c>
      <c r="G336" s="331" t="s">
        <v>739</v>
      </c>
      <c r="H336" s="331" t="s">
        <v>127</v>
      </c>
      <c r="I336" s="328">
        <v>131284</v>
      </c>
      <c r="J336" s="328"/>
      <c r="K336" s="331" t="s">
        <v>740</v>
      </c>
      <c r="L336" s="328">
        <v>131284</v>
      </c>
      <c r="M336" s="328">
        <v>196.62712676731371</v>
      </c>
      <c r="N336" s="328">
        <v>0</v>
      </c>
      <c r="O336" s="182">
        <f t="shared" si="6"/>
        <v>1</v>
      </c>
    </row>
    <row r="337" spans="1:15" x14ac:dyDescent="0.25">
      <c r="A337" s="329">
        <v>1190</v>
      </c>
      <c r="B337" s="330" t="s">
        <v>741</v>
      </c>
      <c r="C337" s="331" t="s">
        <v>250</v>
      </c>
      <c r="D337" s="331" t="s">
        <v>123</v>
      </c>
      <c r="E337" s="331" t="s">
        <v>124</v>
      </c>
      <c r="F337" s="331" t="s">
        <v>128</v>
      </c>
      <c r="G337" s="331" t="s">
        <v>702</v>
      </c>
      <c r="H337" s="331" t="s">
        <v>126</v>
      </c>
      <c r="I337" s="328"/>
      <c r="J337" s="328">
        <v>205</v>
      </c>
      <c r="K337" s="331" t="s">
        <v>742</v>
      </c>
      <c r="L337" s="328">
        <v>136874.4</v>
      </c>
      <c r="M337" s="328">
        <v>205</v>
      </c>
      <c r="N337" s="328">
        <v>136874.4</v>
      </c>
      <c r="O337" s="182">
        <f t="shared" si="6"/>
        <v>1</v>
      </c>
    </row>
    <row r="338" spans="1:15" x14ac:dyDescent="0.25">
      <c r="A338" s="329">
        <v>1191</v>
      </c>
      <c r="B338" s="330" t="s">
        <v>743</v>
      </c>
      <c r="C338" s="331" t="s">
        <v>250</v>
      </c>
      <c r="D338" s="331" t="s">
        <v>123</v>
      </c>
      <c r="E338" s="331" t="s">
        <v>124</v>
      </c>
      <c r="F338" s="331" t="s">
        <v>128</v>
      </c>
      <c r="G338" s="331" t="s">
        <v>702</v>
      </c>
      <c r="H338" s="331" t="s">
        <v>126</v>
      </c>
      <c r="I338" s="328"/>
      <c r="J338" s="328">
        <v>205</v>
      </c>
      <c r="K338" s="331" t="s">
        <v>744</v>
      </c>
      <c r="L338" s="328">
        <v>136874.4</v>
      </c>
      <c r="M338" s="328">
        <v>205</v>
      </c>
      <c r="N338" s="328">
        <v>136874.4</v>
      </c>
      <c r="O338" s="182">
        <f t="shared" si="6"/>
        <v>1</v>
      </c>
    </row>
    <row r="339" spans="1:15" x14ac:dyDescent="0.25">
      <c r="A339" s="329">
        <v>1192</v>
      </c>
      <c r="B339" s="330" t="s">
        <v>745</v>
      </c>
      <c r="C339" s="331" t="s">
        <v>250</v>
      </c>
      <c r="D339" s="331" t="s">
        <v>123</v>
      </c>
      <c r="E339" s="331" t="s">
        <v>124</v>
      </c>
      <c r="F339" s="331" t="s">
        <v>129</v>
      </c>
      <c r="G339" s="331" t="s">
        <v>746</v>
      </c>
      <c r="H339" s="331" t="s">
        <v>126</v>
      </c>
      <c r="I339" s="328"/>
      <c r="J339" s="328">
        <v>205</v>
      </c>
      <c r="K339" s="331" t="s">
        <v>747</v>
      </c>
      <c r="L339" s="328">
        <v>136874.4</v>
      </c>
      <c r="M339" s="328">
        <v>205</v>
      </c>
      <c r="N339" s="328">
        <v>684372</v>
      </c>
      <c r="O339" s="182">
        <f t="shared" si="6"/>
        <v>1</v>
      </c>
    </row>
    <row r="340" spans="1:15" x14ac:dyDescent="0.25">
      <c r="A340" s="329">
        <v>1193</v>
      </c>
      <c r="B340" s="330" t="s">
        <v>748</v>
      </c>
      <c r="C340" s="331" t="s">
        <v>249</v>
      </c>
      <c r="D340" s="331" t="s">
        <v>123</v>
      </c>
      <c r="E340" s="331" t="s">
        <v>127</v>
      </c>
      <c r="F340" s="331" t="s">
        <v>129</v>
      </c>
      <c r="G340" s="331" t="s">
        <v>749</v>
      </c>
      <c r="H340" s="331" t="s">
        <v>127</v>
      </c>
      <c r="I340" s="328">
        <v>150125</v>
      </c>
      <c r="J340" s="328"/>
      <c r="K340" s="331" t="s">
        <v>750</v>
      </c>
      <c r="L340" s="328">
        <v>150125</v>
      </c>
      <c r="M340" s="328">
        <v>224.84573448358498</v>
      </c>
      <c r="N340" s="328">
        <v>150125</v>
      </c>
      <c r="O340" s="182">
        <f t="shared" si="6"/>
        <v>1</v>
      </c>
    </row>
    <row r="341" spans="1:15" x14ac:dyDescent="0.25">
      <c r="A341" s="329">
        <v>1194</v>
      </c>
      <c r="B341" s="330" t="s">
        <v>751</v>
      </c>
      <c r="C341" s="331" t="s">
        <v>249</v>
      </c>
      <c r="D341" s="331" t="s">
        <v>123</v>
      </c>
      <c r="E341" s="331" t="s">
        <v>127</v>
      </c>
      <c r="F341" s="331" t="s">
        <v>128</v>
      </c>
      <c r="G341" s="331" t="s">
        <v>752</v>
      </c>
      <c r="H341" s="331" t="s">
        <v>127</v>
      </c>
      <c r="I341" s="328">
        <v>157823</v>
      </c>
      <c r="J341" s="328"/>
      <c r="K341" s="331" t="s">
        <v>753</v>
      </c>
      <c r="L341" s="328">
        <v>157823</v>
      </c>
      <c r="M341" s="328">
        <v>236.37520968128447</v>
      </c>
      <c r="N341" s="328">
        <v>941146</v>
      </c>
      <c r="O341" s="182">
        <f t="shared" si="6"/>
        <v>1</v>
      </c>
    </row>
    <row r="342" spans="1:15" x14ac:dyDescent="0.25">
      <c r="A342" s="329">
        <v>1195</v>
      </c>
      <c r="B342" s="330" t="s">
        <v>754</v>
      </c>
      <c r="C342" s="331" t="s">
        <v>250</v>
      </c>
      <c r="D342" s="331" t="s">
        <v>123</v>
      </c>
      <c r="E342" s="331" t="s">
        <v>124</v>
      </c>
      <c r="F342" s="331" t="s">
        <v>129</v>
      </c>
      <c r="G342" s="331" t="s">
        <v>755</v>
      </c>
      <c r="H342" s="331" t="s">
        <v>126</v>
      </c>
      <c r="I342" s="328"/>
      <c r="J342" s="328">
        <v>205</v>
      </c>
      <c r="K342" s="331" t="s">
        <v>756</v>
      </c>
      <c r="L342" s="328">
        <v>136874.4</v>
      </c>
      <c r="M342" s="328">
        <v>205</v>
      </c>
      <c r="N342" s="328">
        <v>0</v>
      </c>
      <c r="O342" s="182">
        <f t="shared" si="6"/>
        <v>1</v>
      </c>
    </row>
    <row r="343" spans="1:15" x14ac:dyDescent="0.25">
      <c r="A343" s="329">
        <v>1196</v>
      </c>
      <c r="B343" s="330" t="s">
        <v>757</v>
      </c>
      <c r="C343" s="331" t="s">
        <v>250</v>
      </c>
      <c r="D343" s="331" t="s">
        <v>123</v>
      </c>
      <c r="E343" s="331" t="s">
        <v>124</v>
      </c>
      <c r="F343" s="331" t="s">
        <v>125</v>
      </c>
      <c r="G343" s="331" t="s">
        <v>758</v>
      </c>
      <c r="H343" s="331" t="s">
        <v>126</v>
      </c>
      <c r="I343" s="328"/>
      <c r="J343" s="328">
        <v>410</v>
      </c>
      <c r="K343" s="331" t="s">
        <v>338</v>
      </c>
      <c r="L343" s="328">
        <v>273748.8</v>
      </c>
      <c r="M343" s="328">
        <v>410</v>
      </c>
      <c r="N343" s="328">
        <v>0</v>
      </c>
      <c r="O343" s="182">
        <f t="shared" si="6"/>
        <v>1</v>
      </c>
    </row>
    <row r="344" spans="1:15" x14ac:dyDescent="0.25">
      <c r="A344" s="329">
        <v>1197</v>
      </c>
      <c r="B344" s="330" t="s">
        <v>759</v>
      </c>
      <c r="C344" s="331" t="s">
        <v>250</v>
      </c>
      <c r="D344" s="331" t="s">
        <v>123</v>
      </c>
      <c r="E344" s="331" t="s">
        <v>124</v>
      </c>
      <c r="F344" s="331" t="s">
        <v>128</v>
      </c>
      <c r="G344" s="331" t="s">
        <v>760</v>
      </c>
      <c r="H344" s="331" t="s">
        <v>126</v>
      </c>
      <c r="I344" s="328"/>
      <c r="J344" s="328">
        <v>205</v>
      </c>
      <c r="K344" s="331" t="s">
        <v>761</v>
      </c>
      <c r="L344" s="328">
        <v>136874.4</v>
      </c>
      <c r="M344" s="328">
        <v>205</v>
      </c>
      <c r="N344" s="328">
        <v>547497.6</v>
      </c>
      <c r="O344" s="182">
        <f t="shared" si="6"/>
        <v>1</v>
      </c>
    </row>
    <row r="345" spans="1:15" x14ac:dyDescent="0.25">
      <c r="A345" s="329">
        <v>1198</v>
      </c>
      <c r="B345" s="330" t="s">
        <v>762</v>
      </c>
      <c r="C345" s="331" t="s">
        <v>250</v>
      </c>
      <c r="D345" s="331" t="s">
        <v>123</v>
      </c>
      <c r="E345" s="331" t="s">
        <v>124</v>
      </c>
      <c r="F345" s="331" t="s">
        <v>129</v>
      </c>
      <c r="G345" s="331" t="s">
        <v>763</v>
      </c>
      <c r="H345" s="331" t="s">
        <v>126</v>
      </c>
      <c r="I345" s="328"/>
      <c r="J345" s="328">
        <v>205</v>
      </c>
      <c r="K345" s="331" t="s">
        <v>764</v>
      </c>
      <c r="L345" s="328">
        <v>136874.4</v>
      </c>
      <c r="M345" s="328">
        <v>205</v>
      </c>
      <c r="N345" s="328">
        <v>547497.6</v>
      </c>
      <c r="O345" s="182">
        <f t="shared" si="6"/>
        <v>1</v>
      </c>
    </row>
    <row r="346" spans="1:15" x14ac:dyDescent="0.25">
      <c r="A346" s="329">
        <v>1199</v>
      </c>
      <c r="B346" s="330" t="s">
        <v>765</v>
      </c>
      <c r="C346" s="331" t="s">
        <v>250</v>
      </c>
      <c r="D346" s="331" t="s">
        <v>123</v>
      </c>
      <c r="E346" s="331" t="s">
        <v>124</v>
      </c>
      <c r="F346" s="331" t="s">
        <v>129</v>
      </c>
      <c r="G346" s="331" t="s">
        <v>763</v>
      </c>
      <c r="H346" s="331" t="s">
        <v>126</v>
      </c>
      <c r="I346" s="328"/>
      <c r="J346" s="328">
        <v>205</v>
      </c>
      <c r="K346" s="331" t="s">
        <v>766</v>
      </c>
      <c r="L346" s="328">
        <v>136874.4</v>
      </c>
      <c r="M346" s="328">
        <v>205</v>
      </c>
      <c r="N346" s="328">
        <v>547497.6</v>
      </c>
      <c r="O346" s="182">
        <f t="shared" si="6"/>
        <v>1</v>
      </c>
    </row>
    <row r="347" spans="1:15" x14ac:dyDescent="0.25">
      <c r="A347" s="329">
        <v>1200</v>
      </c>
      <c r="B347" s="330" t="s">
        <v>767</v>
      </c>
      <c r="C347" s="331" t="s">
        <v>250</v>
      </c>
      <c r="D347" s="331" t="s">
        <v>123</v>
      </c>
      <c r="E347" s="331" t="s">
        <v>124</v>
      </c>
      <c r="F347" s="331" t="s">
        <v>129</v>
      </c>
      <c r="G347" s="331" t="s">
        <v>713</v>
      </c>
      <c r="H347" s="331" t="s">
        <v>126</v>
      </c>
      <c r="I347" s="328"/>
      <c r="J347" s="328">
        <v>205</v>
      </c>
      <c r="K347" s="331" t="s">
        <v>768</v>
      </c>
      <c r="L347" s="328">
        <v>136874.4</v>
      </c>
      <c r="M347" s="328">
        <v>205</v>
      </c>
      <c r="N347" s="328">
        <v>136874.4</v>
      </c>
      <c r="O347" s="182">
        <f t="shared" si="6"/>
        <v>1</v>
      </c>
    </row>
    <row r="348" spans="1:15" x14ac:dyDescent="0.25">
      <c r="A348" s="329">
        <v>1201</v>
      </c>
      <c r="B348" s="330" t="s">
        <v>769</v>
      </c>
      <c r="C348" s="331" t="s">
        <v>250</v>
      </c>
      <c r="D348" s="331" t="s">
        <v>123</v>
      </c>
      <c r="E348" s="331" t="s">
        <v>124</v>
      </c>
      <c r="F348" s="331" t="s">
        <v>125</v>
      </c>
      <c r="G348" s="331" t="s">
        <v>770</v>
      </c>
      <c r="H348" s="331" t="s">
        <v>126</v>
      </c>
      <c r="I348" s="328"/>
      <c r="J348" s="328">
        <v>205</v>
      </c>
      <c r="K348" s="331" t="s">
        <v>771</v>
      </c>
      <c r="L348" s="328">
        <v>136874.4</v>
      </c>
      <c r="M348" s="328">
        <v>205</v>
      </c>
      <c r="N348" s="328">
        <v>821246.39999999991</v>
      </c>
      <c r="O348" s="182">
        <f t="shared" si="6"/>
        <v>1</v>
      </c>
    </row>
    <row r="349" spans="1:15" x14ac:dyDescent="0.25">
      <c r="A349" s="329">
        <v>1202</v>
      </c>
      <c r="B349" s="330" t="s">
        <v>772</v>
      </c>
      <c r="C349" s="331" t="s">
        <v>250</v>
      </c>
      <c r="D349" s="331" t="s">
        <v>123</v>
      </c>
      <c r="E349" s="331" t="s">
        <v>124</v>
      </c>
      <c r="F349" s="331" t="s">
        <v>129</v>
      </c>
      <c r="G349" s="331" t="s">
        <v>458</v>
      </c>
      <c r="H349" s="331" t="s">
        <v>126</v>
      </c>
      <c r="I349" s="328"/>
      <c r="J349" s="328">
        <v>630</v>
      </c>
      <c r="K349" s="331" t="s">
        <v>773</v>
      </c>
      <c r="L349" s="328">
        <v>420638.39999999997</v>
      </c>
      <c r="M349" s="328">
        <v>630</v>
      </c>
      <c r="N349" s="328">
        <v>0</v>
      </c>
      <c r="O349" s="182">
        <f t="shared" si="6"/>
        <v>1</v>
      </c>
    </row>
    <row r="350" spans="1:15" x14ac:dyDescent="0.25">
      <c r="A350" s="329">
        <v>1203</v>
      </c>
      <c r="B350" s="330" t="s">
        <v>774</v>
      </c>
      <c r="C350" s="331" t="s">
        <v>250</v>
      </c>
      <c r="D350" s="331" t="s">
        <v>123</v>
      </c>
      <c r="E350" s="331" t="s">
        <v>124</v>
      </c>
      <c r="F350" s="331" t="s">
        <v>129</v>
      </c>
      <c r="G350" s="331" t="s">
        <v>775</v>
      </c>
      <c r="H350" s="331" t="s">
        <v>126</v>
      </c>
      <c r="I350" s="328"/>
      <c r="J350" s="328">
        <v>195</v>
      </c>
      <c r="K350" s="331" t="s">
        <v>776</v>
      </c>
      <c r="L350" s="328">
        <v>130197.59999999999</v>
      </c>
      <c r="M350" s="328">
        <v>195</v>
      </c>
      <c r="N350" s="328">
        <v>390592.8</v>
      </c>
      <c r="O350" s="182">
        <f t="shared" si="6"/>
        <v>1</v>
      </c>
    </row>
    <row r="351" spans="1:15" x14ac:dyDescent="0.25">
      <c r="A351" s="329">
        <v>1204</v>
      </c>
      <c r="B351" s="330" t="s">
        <v>777</v>
      </c>
      <c r="C351" s="331" t="s">
        <v>249</v>
      </c>
      <c r="D351" s="331" t="s">
        <v>123</v>
      </c>
      <c r="E351" s="331" t="s">
        <v>127</v>
      </c>
      <c r="F351" s="331" t="s">
        <v>128</v>
      </c>
      <c r="G351" s="331" t="s">
        <v>369</v>
      </c>
      <c r="H351" s="331" t="s">
        <v>127</v>
      </c>
      <c r="I351" s="328">
        <v>6000</v>
      </c>
      <c r="J351" s="328"/>
      <c r="K351" s="331" t="s">
        <v>778</v>
      </c>
      <c r="L351" s="328">
        <v>6000</v>
      </c>
      <c r="M351" s="328">
        <v>8.9863407620416975</v>
      </c>
      <c r="N351" s="328">
        <v>0</v>
      </c>
      <c r="O351" s="182">
        <f t="shared" si="6"/>
        <v>1</v>
      </c>
    </row>
    <row r="352" spans="1:15" x14ac:dyDescent="0.25">
      <c r="A352" s="329">
        <v>1205</v>
      </c>
      <c r="B352" s="330" t="s">
        <v>779</v>
      </c>
      <c r="C352" s="331" t="s">
        <v>249</v>
      </c>
      <c r="D352" s="331" t="s">
        <v>123</v>
      </c>
      <c r="E352" s="331" t="s">
        <v>127</v>
      </c>
      <c r="F352" s="331" t="s">
        <v>128</v>
      </c>
      <c r="G352" s="331" t="s">
        <v>780</v>
      </c>
      <c r="H352" s="331" t="s">
        <v>127</v>
      </c>
      <c r="I352" s="328">
        <v>165642</v>
      </c>
      <c r="J352" s="328"/>
      <c r="K352" s="331" t="s">
        <v>781</v>
      </c>
      <c r="L352" s="328">
        <v>165642</v>
      </c>
      <c r="M352" s="328">
        <v>248.08590941768514</v>
      </c>
      <c r="N352" s="328">
        <v>0</v>
      </c>
      <c r="O352" s="182">
        <f t="shared" si="6"/>
        <v>1</v>
      </c>
    </row>
    <row r="353" spans="1:15" x14ac:dyDescent="0.25">
      <c r="A353" s="329">
        <v>1206</v>
      </c>
      <c r="B353" s="330" t="s">
        <v>782</v>
      </c>
      <c r="C353" s="331" t="s">
        <v>250</v>
      </c>
      <c r="D353" s="331" t="s">
        <v>123</v>
      </c>
      <c r="E353" s="331" t="s">
        <v>124</v>
      </c>
      <c r="F353" s="331" t="s">
        <v>129</v>
      </c>
      <c r="G353" s="331" t="s">
        <v>783</v>
      </c>
      <c r="H353" s="331" t="s">
        <v>126</v>
      </c>
      <c r="I353" s="328"/>
      <c r="J353" s="328">
        <v>195</v>
      </c>
      <c r="K353" s="331" t="s">
        <v>784</v>
      </c>
      <c r="L353" s="332">
        <v>130197.59999999999</v>
      </c>
      <c r="M353" s="328">
        <v>195</v>
      </c>
      <c r="N353" s="328">
        <v>130197.59999999999</v>
      </c>
      <c r="O353" s="182">
        <f t="shared" si="6"/>
        <v>1</v>
      </c>
    </row>
    <row r="354" spans="1:15" x14ac:dyDescent="0.25">
      <c r="A354" s="329">
        <v>1207</v>
      </c>
      <c r="B354" s="330" t="s">
        <v>785</v>
      </c>
      <c r="C354" s="331" t="s">
        <v>250</v>
      </c>
      <c r="D354" s="331" t="s">
        <v>123</v>
      </c>
      <c r="E354" s="331" t="s">
        <v>124</v>
      </c>
      <c r="F354" s="331" t="s">
        <v>128</v>
      </c>
      <c r="G354" s="331" t="s">
        <v>786</v>
      </c>
      <c r="H354" s="331" t="s">
        <v>126</v>
      </c>
      <c r="I354" s="328"/>
      <c r="J354" s="328">
        <v>205</v>
      </c>
      <c r="K354" s="331" t="s">
        <v>787</v>
      </c>
      <c r="L354" s="332">
        <v>136874.4</v>
      </c>
      <c r="M354" s="328">
        <v>205</v>
      </c>
      <c r="N354" s="328">
        <v>801215.99999999988</v>
      </c>
      <c r="O354" s="182">
        <f t="shared" si="6"/>
        <v>1</v>
      </c>
    </row>
    <row r="355" spans="1:15" x14ac:dyDescent="0.25">
      <c r="A355" s="329">
        <v>1208</v>
      </c>
      <c r="B355" s="330" t="s">
        <v>788</v>
      </c>
      <c r="C355" s="331" t="s">
        <v>250</v>
      </c>
      <c r="D355" s="331" t="s">
        <v>123</v>
      </c>
      <c r="E355" s="331" t="s">
        <v>124</v>
      </c>
      <c r="F355" s="331" t="s">
        <v>128</v>
      </c>
      <c r="G355" s="331" t="s">
        <v>789</v>
      </c>
      <c r="H355" s="331" t="s">
        <v>126</v>
      </c>
      <c r="I355" s="328"/>
      <c r="J355" s="328">
        <v>195</v>
      </c>
      <c r="K355" s="331" t="s">
        <v>790</v>
      </c>
      <c r="L355" s="332">
        <v>130197.59999999999</v>
      </c>
      <c r="M355" s="328">
        <v>195</v>
      </c>
      <c r="N355" s="328">
        <v>1021550.3999999999</v>
      </c>
      <c r="O355" s="182">
        <f t="shared" si="6"/>
        <v>1</v>
      </c>
    </row>
    <row r="356" spans="1:15" x14ac:dyDescent="0.25">
      <c r="A356" s="212"/>
      <c r="B356" s="213"/>
      <c r="C356" s="214"/>
      <c r="D356" s="214"/>
      <c r="E356" s="214"/>
      <c r="F356" s="214"/>
      <c r="G356" s="214"/>
      <c r="H356" s="214"/>
      <c r="I356" s="215"/>
      <c r="J356" s="215"/>
      <c r="K356" s="214"/>
      <c r="L356" s="310"/>
      <c r="M356" s="309"/>
      <c r="N356" s="309"/>
      <c r="O356" s="182">
        <f t="shared" si="6"/>
        <v>-1208</v>
      </c>
    </row>
    <row r="357" spans="1:15" x14ac:dyDescent="0.25">
      <c r="A357" s="212"/>
      <c r="B357" s="213"/>
      <c r="C357" s="214"/>
      <c r="D357" s="214"/>
      <c r="E357" s="214"/>
      <c r="F357" s="214"/>
      <c r="G357" s="214"/>
      <c r="H357" s="214"/>
      <c r="I357" s="215"/>
      <c r="J357" s="215"/>
      <c r="K357" s="214"/>
      <c r="L357" s="310"/>
      <c r="M357" s="309"/>
      <c r="N357" s="309"/>
      <c r="O357" s="182">
        <f t="shared" si="6"/>
        <v>0</v>
      </c>
    </row>
    <row r="358" spans="1:15" x14ac:dyDescent="0.25">
      <c r="A358" s="212"/>
      <c r="B358" s="213"/>
      <c r="C358" s="214"/>
      <c r="D358" s="214"/>
      <c r="E358" s="214"/>
      <c r="F358" s="214"/>
      <c r="G358" s="214"/>
      <c r="H358" s="214"/>
      <c r="I358" s="215"/>
      <c r="J358" s="215"/>
      <c r="K358" s="214"/>
      <c r="L358" s="310"/>
      <c r="M358" s="309"/>
      <c r="N358" s="309"/>
      <c r="O358" s="182">
        <f t="shared" si="6"/>
        <v>0</v>
      </c>
    </row>
    <row r="359" spans="1:15" x14ac:dyDescent="0.25">
      <c r="A359" s="212"/>
      <c r="B359" s="213"/>
      <c r="C359" s="214"/>
      <c r="D359" s="214"/>
      <c r="E359" s="214"/>
      <c r="F359" s="214"/>
      <c r="G359" s="214"/>
      <c r="H359" s="214"/>
      <c r="I359" s="215"/>
      <c r="J359" s="215"/>
      <c r="K359" s="214"/>
      <c r="L359" s="310"/>
      <c r="M359" s="309"/>
      <c r="N359" s="309"/>
      <c r="O359" s="182">
        <f t="shared" si="6"/>
        <v>0</v>
      </c>
    </row>
    <row r="360" spans="1:15" x14ac:dyDescent="0.25">
      <c r="A360" s="212"/>
      <c r="B360" s="213"/>
      <c r="C360" s="214"/>
      <c r="D360" s="214"/>
      <c r="E360" s="214"/>
      <c r="F360" s="214"/>
      <c r="G360" s="214"/>
      <c r="H360" s="214"/>
      <c r="I360" s="215"/>
      <c r="J360" s="215"/>
      <c r="K360" s="214"/>
      <c r="L360" s="310"/>
      <c r="M360" s="309"/>
      <c r="N360" s="309"/>
      <c r="O360" s="182">
        <f t="shared" si="6"/>
        <v>0</v>
      </c>
    </row>
    <row r="361" spans="1:15" x14ac:dyDescent="0.25">
      <c r="A361" s="212"/>
      <c r="B361" s="213"/>
      <c r="C361" s="214"/>
      <c r="D361" s="214"/>
      <c r="E361" s="214"/>
      <c r="F361" s="214"/>
      <c r="G361" s="214"/>
      <c r="H361" s="214"/>
      <c r="I361" s="215"/>
      <c r="J361" s="215"/>
      <c r="K361" s="214"/>
      <c r="L361" s="310"/>
      <c r="M361" s="309"/>
      <c r="N361" s="309"/>
      <c r="O361" s="182">
        <f t="shared" si="6"/>
        <v>0</v>
      </c>
    </row>
    <row r="362" spans="1:15" x14ac:dyDescent="0.25">
      <c r="A362" s="212"/>
      <c r="B362" s="213"/>
      <c r="C362" s="214"/>
      <c r="D362" s="214"/>
      <c r="E362" s="214"/>
      <c r="F362" s="214"/>
      <c r="G362" s="214"/>
      <c r="H362" s="214"/>
      <c r="I362" s="215"/>
      <c r="J362" s="215"/>
      <c r="K362" s="214"/>
      <c r="L362" s="310"/>
      <c r="M362" s="309"/>
      <c r="N362" s="309"/>
      <c r="O362" s="182">
        <f t="shared" si="6"/>
        <v>0</v>
      </c>
    </row>
    <row r="363" spans="1:15" x14ac:dyDescent="0.25">
      <c r="A363" s="212"/>
      <c r="B363" s="213"/>
      <c r="C363" s="214"/>
      <c r="D363" s="214"/>
      <c r="E363" s="214"/>
      <c r="F363" s="214"/>
      <c r="G363" s="214"/>
      <c r="H363" s="214"/>
      <c r="I363" s="215"/>
      <c r="J363" s="215"/>
      <c r="K363" s="214"/>
      <c r="L363" s="310"/>
      <c r="M363" s="309"/>
      <c r="N363" s="309"/>
      <c r="O363" s="182">
        <f t="shared" si="6"/>
        <v>0</v>
      </c>
    </row>
    <row r="364" spans="1:15" x14ac:dyDescent="0.25">
      <c r="A364" s="212"/>
      <c r="B364" s="213"/>
      <c r="C364" s="214"/>
      <c r="D364" s="214"/>
      <c r="E364" s="214"/>
      <c r="F364" s="214"/>
      <c r="G364" s="214"/>
      <c r="H364" s="214"/>
      <c r="I364" s="215"/>
      <c r="J364" s="215"/>
      <c r="K364" s="214"/>
      <c r="L364" s="310"/>
      <c r="M364" s="309"/>
      <c r="N364" s="309"/>
      <c r="O364" s="182">
        <f t="shared" si="6"/>
        <v>0</v>
      </c>
    </row>
    <row r="365" spans="1:15" x14ac:dyDescent="0.25">
      <c r="A365" s="121"/>
      <c r="B365" s="118"/>
      <c r="C365" s="107"/>
      <c r="D365" s="107"/>
      <c r="E365" s="107"/>
      <c r="F365" s="107"/>
      <c r="G365" s="107"/>
      <c r="H365" s="107"/>
      <c r="I365" s="108"/>
      <c r="J365" s="108"/>
      <c r="K365" s="107"/>
      <c r="L365" s="168"/>
      <c r="M365" s="109"/>
      <c r="N365" s="109"/>
    </row>
    <row r="366" spans="1:15" x14ac:dyDescent="0.25">
      <c r="A366" s="121"/>
      <c r="B366" s="118"/>
      <c r="C366" s="107"/>
      <c r="D366" s="107"/>
      <c r="E366" s="107"/>
      <c r="F366" s="107"/>
      <c r="G366" s="107"/>
      <c r="H366" s="107"/>
      <c r="I366" s="108"/>
      <c r="J366" s="108"/>
      <c r="K366" s="107"/>
      <c r="L366" s="168"/>
      <c r="M366" s="109"/>
      <c r="N366" s="109"/>
    </row>
    <row r="367" spans="1:15" x14ac:dyDescent="0.25">
      <c r="A367" s="121"/>
      <c r="B367" s="118"/>
      <c r="C367" s="107"/>
      <c r="D367" s="107"/>
      <c r="E367" s="107"/>
      <c r="F367" s="107"/>
      <c r="G367" s="107"/>
      <c r="H367" s="107"/>
      <c r="I367" s="108"/>
      <c r="J367" s="108"/>
      <c r="K367" s="107"/>
      <c r="L367" s="168"/>
      <c r="M367" s="109"/>
      <c r="N367" s="109"/>
    </row>
    <row r="368" spans="1:15" x14ac:dyDescent="0.25">
      <c r="A368" s="121"/>
      <c r="B368" s="118"/>
      <c r="C368" s="107"/>
      <c r="D368" s="107"/>
      <c r="E368" s="107"/>
      <c r="F368" s="107"/>
      <c r="G368" s="107"/>
      <c r="H368" s="107"/>
      <c r="I368" s="108"/>
      <c r="J368" s="108"/>
      <c r="K368" s="107"/>
      <c r="L368" s="168"/>
      <c r="M368" s="109"/>
      <c r="N368" s="109"/>
    </row>
    <row r="369" spans="1:14" x14ac:dyDescent="0.25">
      <c r="A369" s="121"/>
      <c r="B369" s="118"/>
      <c r="C369" s="107"/>
      <c r="D369" s="107"/>
      <c r="E369" s="107"/>
      <c r="F369" s="107"/>
      <c r="G369" s="107"/>
      <c r="H369" s="107"/>
      <c r="I369" s="108"/>
      <c r="J369" s="108"/>
      <c r="K369" s="107"/>
      <c r="L369" s="168"/>
      <c r="M369" s="109"/>
      <c r="N369" s="109"/>
    </row>
    <row r="370" spans="1:14" x14ac:dyDescent="0.25">
      <c r="A370" s="121"/>
      <c r="B370" s="118"/>
      <c r="C370" s="107"/>
      <c r="D370" s="107"/>
      <c r="E370" s="107"/>
      <c r="F370" s="107"/>
      <c r="G370" s="107"/>
      <c r="H370" s="107"/>
      <c r="I370" s="108"/>
      <c r="J370" s="108"/>
      <c r="K370" s="107"/>
      <c r="L370" s="168"/>
      <c r="M370" s="109"/>
      <c r="N370" s="109"/>
    </row>
    <row r="371" spans="1:14" x14ac:dyDescent="0.25">
      <c r="A371" s="121"/>
      <c r="B371" s="118"/>
      <c r="C371" s="107"/>
      <c r="D371" s="107"/>
      <c r="E371" s="107"/>
      <c r="F371" s="107"/>
      <c r="G371" s="107"/>
      <c r="H371" s="107"/>
      <c r="I371" s="108"/>
      <c r="J371" s="108"/>
      <c r="K371" s="107"/>
      <c r="L371" s="168"/>
      <c r="M371" s="109"/>
      <c r="N371" s="109"/>
    </row>
    <row r="372" spans="1:14" x14ac:dyDescent="0.25">
      <c r="A372" s="121"/>
      <c r="B372" s="118"/>
      <c r="C372" s="107"/>
      <c r="D372" s="107"/>
      <c r="E372" s="107"/>
      <c r="F372" s="107"/>
      <c r="G372" s="107"/>
      <c r="H372" s="107"/>
      <c r="I372" s="108"/>
      <c r="J372" s="108"/>
      <c r="K372" s="107"/>
      <c r="L372" s="168"/>
      <c r="M372" s="109"/>
      <c r="N372" s="109"/>
    </row>
    <row r="373" spans="1:14" x14ac:dyDescent="0.25">
      <c r="A373" s="121"/>
      <c r="B373" s="118"/>
      <c r="C373" s="107"/>
      <c r="D373" s="107"/>
      <c r="E373" s="107"/>
      <c r="F373" s="107"/>
      <c r="G373" s="107"/>
      <c r="H373" s="107"/>
      <c r="I373" s="108"/>
      <c r="J373" s="108"/>
      <c r="K373" s="107"/>
      <c r="L373" s="168"/>
      <c r="M373" s="109"/>
      <c r="N373" s="109"/>
    </row>
    <row r="374" spans="1:14" x14ac:dyDescent="0.25">
      <c r="A374" s="121"/>
      <c r="B374" s="118"/>
      <c r="C374" s="107"/>
      <c r="D374" s="107"/>
      <c r="E374" s="107"/>
      <c r="F374" s="107"/>
      <c r="G374" s="107"/>
      <c r="H374" s="107"/>
      <c r="I374" s="108"/>
      <c r="J374" s="108"/>
      <c r="K374" s="107"/>
      <c r="L374" s="168"/>
      <c r="M374" s="109"/>
      <c r="N374" s="109"/>
    </row>
    <row r="375" spans="1:14" x14ac:dyDescent="0.25">
      <c r="A375" s="121"/>
      <c r="B375" s="118"/>
      <c r="C375" s="107"/>
      <c r="D375" s="107"/>
      <c r="E375" s="107"/>
      <c r="F375" s="107"/>
      <c r="G375" s="107"/>
      <c r="H375" s="107"/>
      <c r="I375" s="108"/>
      <c r="J375" s="108"/>
      <c r="K375" s="107"/>
      <c r="L375" s="168"/>
      <c r="M375" s="109"/>
      <c r="N375" s="109"/>
    </row>
    <row r="376" spans="1:14" x14ac:dyDescent="0.25">
      <c r="A376" s="121"/>
      <c r="B376" s="118"/>
      <c r="C376" s="107"/>
      <c r="D376" s="107"/>
      <c r="E376" s="107"/>
      <c r="F376" s="107"/>
      <c r="G376" s="107"/>
      <c r="H376" s="107"/>
      <c r="I376" s="108"/>
      <c r="J376" s="108"/>
      <c r="K376" s="107"/>
      <c r="L376" s="168"/>
      <c r="M376" s="109"/>
      <c r="N376" s="109"/>
    </row>
    <row r="377" spans="1:14" x14ac:dyDescent="0.25">
      <c r="A377" s="121"/>
      <c r="B377" s="118"/>
      <c r="C377" s="107"/>
      <c r="D377" s="107"/>
      <c r="E377" s="107"/>
      <c r="F377" s="107"/>
      <c r="G377" s="107"/>
      <c r="H377" s="107"/>
      <c r="I377" s="108"/>
      <c r="J377" s="108"/>
      <c r="K377" s="107"/>
      <c r="L377" s="168"/>
      <c r="M377" s="109"/>
      <c r="N377" s="109"/>
    </row>
    <row r="378" spans="1:14" x14ac:dyDescent="0.25">
      <c r="A378" s="121"/>
      <c r="B378" s="118"/>
      <c r="C378" s="107"/>
      <c r="D378" s="107"/>
      <c r="E378" s="107"/>
      <c r="F378" s="107"/>
      <c r="G378" s="107"/>
      <c r="H378" s="107"/>
      <c r="I378" s="108"/>
      <c r="J378" s="108"/>
      <c r="K378" s="107"/>
      <c r="L378" s="168"/>
      <c r="M378" s="109"/>
      <c r="N378" s="109"/>
    </row>
    <row r="379" spans="1:14" x14ac:dyDescent="0.25">
      <c r="A379" s="121"/>
      <c r="B379" s="118"/>
      <c r="C379" s="107"/>
      <c r="D379" s="107"/>
      <c r="E379" s="107"/>
      <c r="F379" s="107"/>
      <c r="G379" s="107"/>
      <c r="H379" s="107"/>
      <c r="I379" s="108"/>
      <c r="J379" s="108"/>
      <c r="K379" s="107"/>
      <c r="L379" s="168"/>
      <c r="M379" s="109"/>
      <c r="N379" s="109"/>
    </row>
    <row r="380" spans="1:14" x14ac:dyDescent="0.25">
      <c r="A380" s="121"/>
      <c r="B380" s="118"/>
      <c r="C380" s="107"/>
      <c r="D380" s="107"/>
      <c r="E380" s="107"/>
      <c r="F380" s="107"/>
      <c r="G380" s="107"/>
      <c r="H380" s="107"/>
      <c r="I380" s="108"/>
      <c r="J380" s="108"/>
      <c r="K380" s="107"/>
      <c r="L380" s="168"/>
      <c r="M380" s="109"/>
      <c r="N380" s="109"/>
    </row>
    <row r="381" spans="1:14" x14ac:dyDescent="0.25">
      <c r="A381" s="121"/>
      <c r="B381" s="118"/>
      <c r="C381" s="107"/>
      <c r="D381" s="107"/>
      <c r="E381" s="107"/>
      <c r="F381" s="107"/>
      <c r="G381" s="107"/>
      <c r="H381" s="107"/>
      <c r="I381" s="108"/>
      <c r="J381" s="108"/>
      <c r="K381" s="107"/>
      <c r="L381" s="168"/>
      <c r="M381" s="109"/>
      <c r="N381" s="109"/>
    </row>
    <row r="382" spans="1:14" x14ac:dyDescent="0.25">
      <c r="A382" s="121"/>
      <c r="B382" s="118"/>
      <c r="C382" s="107"/>
      <c r="D382" s="107"/>
      <c r="E382" s="107"/>
      <c r="F382" s="107"/>
      <c r="G382" s="107"/>
      <c r="H382" s="107"/>
      <c r="I382" s="108"/>
      <c r="J382" s="108"/>
      <c r="K382" s="107"/>
      <c r="L382" s="168"/>
      <c r="M382" s="109"/>
      <c r="N382" s="109"/>
    </row>
    <row r="383" spans="1:14" x14ac:dyDescent="0.25">
      <c r="A383" s="121"/>
      <c r="B383" s="118"/>
      <c r="C383" s="107"/>
      <c r="D383" s="107"/>
      <c r="E383" s="107"/>
      <c r="F383" s="107"/>
      <c r="G383" s="107"/>
      <c r="H383" s="107"/>
      <c r="I383" s="108"/>
      <c r="J383" s="108"/>
      <c r="K383" s="107"/>
      <c r="L383" s="168"/>
      <c r="M383" s="109"/>
      <c r="N383" s="109"/>
    </row>
    <row r="384" spans="1:14" x14ac:dyDescent="0.25">
      <c r="A384" s="216"/>
      <c r="B384" s="217"/>
      <c r="C384" s="218"/>
      <c r="D384" s="218"/>
      <c r="E384" s="218"/>
      <c r="F384" s="218"/>
      <c r="G384" s="218"/>
      <c r="H384" s="218"/>
      <c r="I384" s="219"/>
      <c r="J384" s="219"/>
      <c r="K384" s="218"/>
      <c r="L384" s="168"/>
      <c r="M384" s="109"/>
      <c r="N384" s="109"/>
    </row>
    <row r="385" spans="1:21" x14ac:dyDescent="0.25">
      <c r="A385" s="216"/>
      <c r="B385" s="217"/>
      <c r="C385" s="218"/>
      <c r="D385" s="218"/>
      <c r="E385" s="218"/>
      <c r="F385" s="218"/>
      <c r="G385" s="218"/>
      <c r="H385" s="218"/>
      <c r="I385" s="219"/>
      <c r="J385" s="219"/>
      <c r="K385" s="218"/>
      <c r="L385" s="168"/>
      <c r="M385" s="109"/>
      <c r="N385" s="109"/>
    </row>
    <row r="386" spans="1:21" x14ac:dyDescent="0.25">
      <c r="A386" s="216"/>
      <c r="B386" s="217"/>
      <c r="C386" s="218"/>
      <c r="D386" s="218"/>
      <c r="E386" s="218"/>
      <c r="F386" s="218"/>
      <c r="G386" s="218"/>
      <c r="H386" s="218"/>
      <c r="I386" s="219"/>
      <c r="J386" s="219"/>
      <c r="K386" s="218"/>
      <c r="L386" s="168"/>
      <c r="M386" s="109"/>
      <c r="N386" s="109"/>
    </row>
    <row r="387" spans="1:21" x14ac:dyDescent="0.25">
      <c r="A387" s="216"/>
      <c r="B387" s="217"/>
      <c r="C387" s="218"/>
      <c r="D387" s="218"/>
      <c r="E387" s="218"/>
      <c r="F387" s="218"/>
      <c r="G387" s="218"/>
      <c r="H387" s="218"/>
      <c r="I387" s="219"/>
      <c r="J387" s="219"/>
      <c r="K387" s="218"/>
      <c r="L387" s="168"/>
      <c r="M387" s="109"/>
      <c r="N387" s="109"/>
      <c r="U387" s="58" t="s">
        <v>214</v>
      </c>
    </row>
    <row r="388" spans="1:21" x14ac:dyDescent="0.25">
      <c r="A388" s="121"/>
      <c r="B388" s="118"/>
      <c r="C388" s="107"/>
      <c r="D388" s="107"/>
      <c r="E388" s="107"/>
      <c r="F388" s="107"/>
      <c r="G388" s="107"/>
      <c r="H388" s="107"/>
      <c r="I388" s="108"/>
      <c r="J388" s="108"/>
      <c r="K388" s="107"/>
      <c r="L388" s="168">
        <f>I388+J388*EERR!$D$2</f>
        <v>0</v>
      </c>
      <c r="M388" s="109">
        <f>L388/EERR!$D$2</f>
        <v>0</v>
      </c>
      <c r="N388" s="109" t="e">
        <f>SUMIF(Abr!#REF!,A388,Abr!$T$3:$T$113)+SUMIF(Abr!$B$3:$B$113,A388,Abr!$T$3:$T$113)</f>
        <v>#REF!</v>
      </c>
    </row>
    <row r="389" spans="1:21" x14ac:dyDescent="0.25">
      <c r="A389" s="121"/>
      <c r="B389" s="118"/>
      <c r="C389" s="107"/>
      <c r="D389" s="107"/>
      <c r="E389" s="107"/>
      <c r="F389" s="107"/>
      <c r="G389" s="107"/>
      <c r="H389" s="107"/>
      <c r="I389" s="108"/>
      <c r="J389" s="108"/>
      <c r="K389" s="107"/>
      <c r="L389" s="168">
        <f>I389+J389*EERR!$D$2</f>
        <v>0</v>
      </c>
      <c r="M389" s="109">
        <f>L389/EERR!$D$2</f>
        <v>0</v>
      </c>
      <c r="N389" s="109" t="e">
        <f>SUMIF(Abr!#REF!,A389,Abr!$T$3:$T$113)+SUMIF(Abr!$B$3:$B$113,A389,Abr!$T$3:$T$113)</f>
        <v>#REF!</v>
      </c>
    </row>
    <row r="390" spans="1:21" x14ac:dyDescent="0.25">
      <c r="A390" s="121"/>
      <c r="B390" s="118"/>
      <c r="C390" s="107"/>
      <c r="D390" s="107"/>
      <c r="E390" s="107"/>
      <c r="F390" s="107"/>
      <c r="G390" s="107"/>
      <c r="H390" s="107"/>
      <c r="I390" s="108"/>
      <c r="J390" s="108"/>
      <c r="K390" s="107"/>
      <c r="L390" s="168">
        <f>I390+J390*EERR!$D$2</f>
        <v>0</v>
      </c>
      <c r="M390" s="109">
        <f>L390/EERR!$D$2</f>
        <v>0</v>
      </c>
      <c r="N390" s="109" t="e">
        <f>SUMIF(Abr!#REF!,A390,Abr!$T$3:$T$113)+SUMIF(Abr!$B$3:$B$113,A390,Abr!$T$3:$T$113)</f>
        <v>#REF!</v>
      </c>
    </row>
    <row r="391" spans="1:21" x14ac:dyDescent="0.25">
      <c r="A391" s="121"/>
      <c r="B391" s="118"/>
      <c r="C391" s="107"/>
      <c r="D391" s="107"/>
      <c r="E391" s="107"/>
      <c r="F391" s="107"/>
      <c r="G391" s="107"/>
      <c r="H391" s="107"/>
      <c r="I391" s="108"/>
      <c r="J391" s="108"/>
      <c r="K391" s="107"/>
      <c r="L391" s="168">
        <f>I391+J391*EERR!$D$2</f>
        <v>0</v>
      </c>
      <c r="M391" s="109">
        <f>L391/EERR!$D$2</f>
        <v>0</v>
      </c>
      <c r="N391" s="109" t="e">
        <f>SUMIF(Abr!#REF!,A391,Abr!$T$3:$T$113)+SUMIF(Abr!$B$3:$B$113,A391,Abr!$T$3:$T$113)</f>
        <v>#REF!</v>
      </c>
    </row>
    <row r="392" spans="1:21" x14ac:dyDescent="0.25">
      <c r="A392" s="121"/>
      <c r="B392" s="118"/>
      <c r="C392" s="107"/>
      <c r="D392" s="107"/>
      <c r="E392" s="107"/>
      <c r="F392" s="107"/>
      <c r="G392" s="107"/>
      <c r="H392" s="107"/>
      <c r="I392" s="108">
        <f>SUM(I197:I391)</f>
        <v>3110458</v>
      </c>
      <c r="J392" s="108">
        <f>SUM(J197:J391)</f>
        <v>41311.5</v>
      </c>
      <c r="K392" s="107"/>
      <c r="L392" s="168">
        <f>I392+J392*EERR!$D$2</f>
        <v>30681753.099999998</v>
      </c>
      <c r="M392" s="109">
        <f>L392/EERR!$D$2</f>
        <v>45972.060383578064</v>
      </c>
      <c r="N392" s="109" t="e">
        <f>SUMIF(Abr!#REF!,A392,Abr!$T$3:$T$113)+SUMIF(Abr!$B$3:$B$113,A392,Abr!$T$3:$T$113)</f>
        <v>#REF!</v>
      </c>
    </row>
    <row r="396" spans="1:21" x14ac:dyDescent="0.25">
      <c r="A396" s="162"/>
      <c r="B396" s="162"/>
      <c r="C396" s="162"/>
      <c r="D396" s="162"/>
      <c r="E396" s="162"/>
      <c r="F396" s="162"/>
      <c r="G396" s="162"/>
      <c r="H396" s="162"/>
      <c r="I396" s="186"/>
      <c r="J396" s="186"/>
      <c r="K396" s="162"/>
      <c r="L396" s="186">
        <f>Abr!L114</f>
        <v>11700</v>
      </c>
      <c r="M396" s="162"/>
      <c r="N396" s="162"/>
    </row>
    <row r="397" spans="1:21" x14ac:dyDescent="0.25">
      <c r="A397" s="162"/>
      <c r="B397" s="187"/>
      <c r="C397" s="162"/>
      <c r="D397" s="162"/>
      <c r="E397" s="162"/>
      <c r="F397" s="162"/>
      <c r="G397" s="162"/>
      <c r="H397" s="162"/>
      <c r="I397" s="186"/>
      <c r="J397" s="186"/>
      <c r="K397" s="162"/>
      <c r="L397" s="163" t="e">
        <f>SUM(L190:L396)</f>
        <v>#VALUE!</v>
      </c>
    </row>
    <row r="398" spans="1:21" x14ac:dyDescent="0.25">
      <c r="A398" s="162"/>
      <c r="B398" s="187"/>
      <c r="C398" s="162"/>
      <c r="D398" s="162"/>
      <c r="E398" s="162"/>
      <c r="F398" s="162"/>
      <c r="G398" s="162"/>
      <c r="H398" s="162"/>
      <c r="I398" s="186"/>
      <c r="J398" s="186"/>
      <c r="K398" s="162"/>
    </row>
    <row r="399" spans="1:21" x14ac:dyDescent="0.25">
      <c r="A399" s="188"/>
      <c r="B399" s="188"/>
      <c r="C399" s="188"/>
      <c r="D399" s="188"/>
      <c r="E399" s="188"/>
      <c r="F399" s="188"/>
      <c r="G399" s="188" t="s">
        <v>110</v>
      </c>
      <c r="H399" s="188"/>
      <c r="I399" s="189">
        <f>I190</f>
        <v>3233408</v>
      </c>
      <c r="J399" s="189">
        <f>J190</f>
        <v>32428</v>
      </c>
      <c r="K399" s="188"/>
      <c r="L399" s="163">
        <v>51431551.622000001</v>
      </c>
    </row>
    <row r="400" spans="1:21" x14ac:dyDescent="0.25">
      <c r="A400" s="188"/>
      <c r="B400" s="188"/>
      <c r="C400" s="188"/>
      <c r="D400" s="188"/>
      <c r="E400" s="188"/>
      <c r="F400" s="188"/>
      <c r="G400" s="188" t="s">
        <v>111</v>
      </c>
      <c r="H400" s="188"/>
      <c r="I400" s="190"/>
      <c r="J400" s="190"/>
      <c r="K400" s="188"/>
    </row>
    <row r="401" spans="1:11" x14ac:dyDescent="0.25">
      <c r="A401" s="188"/>
      <c r="B401" s="188"/>
      <c r="C401" s="188"/>
      <c r="D401" s="188"/>
      <c r="E401" s="188"/>
      <c r="F401" s="188"/>
      <c r="G401" s="188"/>
      <c r="H401" s="188"/>
      <c r="K401" s="163"/>
    </row>
    <row r="402" spans="1:11" x14ac:dyDescent="0.25">
      <c r="A402" s="188"/>
      <c r="B402" s="188"/>
      <c r="C402" s="188"/>
      <c r="D402" s="188"/>
      <c r="E402" s="188"/>
      <c r="F402" s="188"/>
      <c r="G402" s="188"/>
      <c r="H402" s="188"/>
      <c r="I402" s="191"/>
      <c r="J402" s="191"/>
      <c r="K402" s="188"/>
    </row>
    <row r="403" spans="1:11" x14ac:dyDescent="0.25">
      <c r="A403" s="149" t="s">
        <v>99</v>
      </c>
      <c r="B403" s="188"/>
      <c r="C403" s="188"/>
      <c r="D403" s="188"/>
      <c r="E403" s="188"/>
      <c r="F403" s="188"/>
      <c r="G403" s="188"/>
      <c r="H403" s="188"/>
      <c r="I403" s="191"/>
      <c r="J403" s="191"/>
      <c r="K403" s="188"/>
    </row>
    <row r="404" spans="1:11" x14ac:dyDescent="0.25">
      <c r="A404" s="107"/>
      <c r="B404" s="188"/>
      <c r="C404" s="188"/>
      <c r="D404" s="188"/>
      <c r="E404" s="188"/>
      <c r="F404" s="188"/>
      <c r="G404" s="188"/>
      <c r="H404" s="188"/>
      <c r="I404" s="191"/>
      <c r="J404" s="191"/>
      <c r="K404" s="188"/>
    </row>
    <row r="405" spans="1:11" x14ac:dyDescent="0.25">
      <c r="A405" s="107"/>
      <c r="B405" s="188"/>
      <c r="C405" s="188"/>
      <c r="D405" s="188"/>
      <c r="E405" s="188"/>
      <c r="F405" s="188"/>
      <c r="G405" s="188"/>
      <c r="H405" s="188"/>
      <c r="I405" s="191"/>
      <c r="J405" s="191"/>
      <c r="K405" s="188"/>
    </row>
    <row r="406" spans="1:11" x14ac:dyDescent="0.25">
      <c r="A406" s="107"/>
      <c r="B406" s="188"/>
      <c r="C406" s="188"/>
      <c r="D406" s="188"/>
      <c r="E406" s="188"/>
      <c r="F406" s="188"/>
      <c r="G406" s="188"/>
      <c r="H406" s="188"/>
      <c r="I406" s="191"/>
      <c r="J406" s="191"/>
      <c r="K406" s="188"/>
    </row>
    <row r="407" spans="1:11" x14ac:dyDescent="0.25">
      <c r="A407" s="107"/>
      <c r="B407" s="188"/>
      <c r="C407" s="188"/>
      <c r="D407" s="188"/>
      <c r="E407" s="188"/>
      <c r="F407" s="188"/>
      <c r="G407" s="188"/>
      <c r="H407" s="188"/>
      <c r="I407" s="191"/>
      <c r="J407" s="191"/>
      <c r="K407" s="188"/>
    </row>
    <row r="408" spans="1:11" x14ac:dyDescent="0.25">
      <c r="A408" s="107"/>
    </row>
    <row r="409" spans="1:11" x14ac:dyDescent="0.25">
      <c r="A409" s="107"/>
    </row>
    <row r="410" spans="1:11" x14ac:dyDescent="0.25">
      <c r="A410" s="107"/>
    </row>
    <row r="411" spans="1:11" x14ac:dyDescent="0.25">
      <c r="A411" s="107"/>
    </row>
    <row r="412" spans="1:11" x14ac:dyDescent="0.25">
      <c r="A412" s="107"/>
    </row>
    <row r="413" spans="1:11" x14ac:dyDescent="0.25">
      <c r="A413" s="107"/>
    </row>
    <row r="414" spans="1:11" x14ac:dyDescent="0.25">
      <c r="A414" s="107"/>
    </row>
    <row r="415" spans="1:11" x14ac:dyDescent="0.25">
      <c r="A415" s="107"/>
    </row>
    <row r="416" spans="1:11" x14ac:dyDescent="0.25">
      <c r="A416" s="107"/>
    </row>
    <row r="417" spans="1:1" x14ac:dyDescent="0.25">
      <c r="A417" s="107"/>
    </row>
    <row r="418" spans="1:1" x14ac:dyDescent="0.25">
      <c r="A418" s="107"/>
    </row>
  </sheetData>
  <autoFilter ref="A1:S364"/>
  <sortState ref="A208:N384">
    <sortCondition ref="A20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filterMode="1">
    <pageSetUpPr fitToPage="1"/>
  </sheetPr>
  <dimension ref="A1:AI207"/>
  <sheetViews>
    <sheetView topLeftCell="A115" zoomScale="55" zoomScaleNormal="55" workbookViewId="0">
      <selection activeCell="G119" sqref="G119:G127"/>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4" customWidth="1"/>
    <col min="10" max="10" width="30.85546875" style="44" customWidth="1"/>
    <col min="11" max="11" width="35" style="18" customWidth="1"/>
    <col min="12" max="12" width="23.42578125" style="18" customWidth="1"/>
    <col min="13" max="13" width="18.140625" style="18" customWidth="1"/>
    <col min="14" max="14" width="7.28515625" style="18" customWidth="1"/>
    <col min="15" max="15" width="13.28515625" style="104" customWidth="1"/>
    <col min="16" max="16" width="11.5703125" style="44" customWidth="1"/>
    <col min="17" max="17" width="18" style="44" customWidth="1"/>
    <col min="18" max="18" width="11.140625" style="44" customWidth="1"/>
    <col min="19" max="19" width="15.42578125" style="105" customWidth="1"/>
    <col min="20" max="20" width="11.140625" style="105" customWidth="1"/>
    <col min="21" max="22" width="11.140625" style="44" customWidth="1"/>
    <col min="23" max="23" width="29.7109375" style="44"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46"/>
      <c r="N1" s="57"/>
      <c r="O1" s="130" t="s">
        <v>114</v>
      </c>
      <c r="P1" s="131"/>
      <c r="Q1" s="131"/>
      <c r="R1" s="131"/>
      <c r="S1" s="132"/>
      <c r="T1" s="132"/>
      <c r="U1" s="131"/>
      <c r="V1" s="131"/>
      <c r="W1" s="131"/>
    </row>
    <row r="2" spans="1:25" ht="18" customHeight="1" x14ac:dyDescent="0.25">
      <c r="A2" s="26"/>
      <c r="B2" s="59" t="s">
        <v>5</v>
      </c>
      <c r="C2" s="59" t="s">
        <v>25</v>
      </c>
      <c r="D2" s="59" t="s">
        <v>26</v>
      </c>
      <c r="E2" s="59" t="s">
        <v>27</v>
      </c>
      <c r="F2" s="59" t="s">
        <v>28</v>
      </c>
      <c r="G2" s="59" t="s">
        <v>29</v>
      </c>
      <c r="H2" s="59" t="s">
        <v>51</v>
      </c>
      <c r="I2" s="60" t="s">
        <v>36</v>
      </c>
      <c r="J2" s="60" t="s">
        <v>169</v>
      </c>
      <c r="K2" s="60" t="s">
        <v>115</v>
      </c>
      <c r="L2" s="116"/>
      <c r="M2" s="146"/>
      <c r="N2" s="110"/>
      <c r="O2" s="205" t="s">
        <v>5</v>
      </c>
      <c r="P2" s="205" t="s">
        <v>194</v>
      </c>
      <c r="Q2" s="205" t="s">
        <v>195</v>
      </c>
      <c r="R2" s="205" t="s">
        <v>196</v>
      </c>
      <c r="S2" s="205" t="s">
        <v>197</v>
      </c>
      <c r="T2" s="205" t="s">
        <v>112</v>
      </c>
      <c r="U2" s="205" t="s">
        <v>64</v>
      </c>
      <c r="V2" s="205" t="s">
        <v>198</v>
      </c>
      <c r="W2" s="205" t="s">
        <v>199</v>
      </c>
    </row>
    <row r="3" spans="1:25" ht="18" hidden="1" customHeight="1" x14ac:dyDescent="0.3">
      <c r="A3" s="26"/>
      <c r="B3" s="160" t="s">
        <v>1325</v>
      </c>
      <c r="C3" s="161" t="s">
        <v>135</v>
      </c>
      <c r="D3" s="161" t="s">
        <v>139</v>
      </c>
      <c r="E3" s="161" t="s">
        <v>163</v>
      </c>
      <c r="F3" s="161">
        <v>2500000</v>
      </c>
      <c r="G3" s="161">
        <v>0</v>
      </c>
      <c r="H3" s="161">
        <v>8532669</v>
      </c>
      <c r="I3" s="192" t="s">
        <v>187</v>
      </c>
      <c r="J3" s="145" t="str">
        <f>IFERROR(VLOOKUP(-F3,$T$3:$W$50,4,FALSE),"")</f>
        <v xml:space="preserve"> </v>
      </c>
      <c r="K3" s="145" t="str">
        <f>IFERROR(VLOOKUP(-F3,$T$3:$W$50,3,FALSE),"")</f>
        <v>SOCIEDAD HOTELERA ZAMORA RAMIREZ HERMANOS LIM</v>
      </c>
      <c r="L3" s="171"/>
      <c r="M3" s="110"/>
      <c r="N3" s="110"/>
      <c r="O3" s="226" t="s">
        <v>1325</v>
      </c>
      <c r="P3" s="227" t="s">
        <v>1361</v>
      </c>
      <c r="Q3" s="227" t="s">
        <v>1362</v>
      </c>
      <c r="R3" s="227" t="s">
        <v>334</v>
      </c>
      <c r="S3" s="228" t="s">
        <v>1363</v>
      </c>
      <c r="T3" s="275">
        <v>-552000</v>
      </c>
      <c r="U3" s="227" t="s">
        <v>156</v>
      </c>
      <c r="V3" s="227" t="s">
        <v>1364</v>
      </c>
      <c r="W3" s="229" t="s">
        <v>1365</v>
      </c>
    </row>
    <row r="4" spans="1:25" ht="18" hidden="1" customHeight="1" x14ac:dyDescent="0.3">
      <c r="A4" s="26"/>
      <c r="B4" s="160" t="s">
        <v>1325</v>
      </c>
      <c r="C4" s="161" t="s">
        <v>135</v>
      </c>
      <c r="D4" s="161" t="s">
        <v>140</v>
      </c>
      <c r="E4" s="161" t="s">
        <v>163</v>
      </c>
      <c r="F4" s="161">
        <v>0</v>
      </c>
      <c r="G4" s="161">
        <v>5000000</v>
      </c>
      <c r="H4" s="161">
        <v>11032669</v>
      </c>
      <c r="I4" s="192" t="s">
        <v>147</v>
      </c>
      <c r="J4" s="145" t="str">
        <f t="shared" ref="J4:J67" si="0">IFERROR(VLOOKUP(-F4,$T$3:$W$50,4,FALSE),"")</f>
        <v/>
      </c>
      <c r="K4" s="145" t="str">
        <f t="shared" ref="K4:K67" si="1">IFERROR(VLOOKUP(-F4,$T$3:$W$50,3,FALSE),"")</f>
        <v/>
      </c>
      <c r="L4" s="171"/>
      <c r="M4" s="110"/>
      <c r="N4" s="110"/>
      <c r="O4" s="230" t="s">
        <v>1325</v>
      </c>
      <c r="P4" s="227" t="s">
        <v>1366</v>
      </c>
      <c r="Q4" s="227" t="s">
        <v>330</v>
      </c>
      <c r="R4" s="227" t="s">
        <v>157</v>
      </c>
      <c r="S4" s="228" t="s">
        <v>331</v>
      </c>
      <c r="T4" s="275">
        <v>-391128</v>
      </c>
      <c r="U4" s="227" t="s">
        <v>156</v>
      </c>
      <c r="V4" s="227" t="s">
        <v>332</v>
      </c>
      <c r="W4" s="229" t="s">
        <v>1367</v>
      </c>
      <c r="Y4" s="209"/>
    </row>
    <row r="5" spans="1:25" ht="18" hidden="1" customHeight="1" x14ac:dyDescent="0.3">
      <c r="A5" s="26"/>
      <c r="B5" s="160" t="s">
        <v>1325</v>
      </c>
      <c r="C5" s="161" t="s">
        <v>135</v>
      </c>
      <c r="D5" s="161" t="s">
        <v>140</v>
      </c>
      <c r="E5" s="161" t="s">
        <v>163</v>
      </c>
      <c r="F5" s="161">
        <v>0</v>
      </c>
      <c r="G5" s="161">
        <v>5000000</v>
      </c>
      <c r="H5" s="161">
        <v>6032669</v>
      </c>
      <c r="I5" s="192" t="s">
        <v>147</v>
      </c>
      <c r="J5" s="145" t="str">
        <f t="shared" si="0"/>
        <v/>
      </c>
      <c r="K5" s="145" t="str">
        <f t="shared" si="1"/>
        <v/>
      </c>
      <c r="L5" s="171"/>
      <c r="M5" s="110"/>
      <c r="N5" s="110"/>
      <c r="O5" s="230" t="s">
        <v>1325</v>
      </c>
      <c r="P5" s="227" t="s">
        <v>1368</v>
      </c>
      <c r="Q5" s="227" t="s">
        <v>333</v>
      </c>
      <c r="R5" s="227" t="s">
        <v>334</v>
      </c>
      <c r="S5" s="228" t="s">
        <v>335</v>
      </c>
      <c r="T5" s="275">
        <v>-147614</v>
      </c>
      <c r="U5" s="227" t="s">
        <v>156</v>
      </c>
      <c r="V5" s="227" t="s">
        <v>336</v>
      </c>
      <c r="W5" s="229" t="s">
        <v>1369</v>
      </c>
      <c r="Y5" s="209"/>
    </row>
    <row r="6" spans="1:25" ht="18" hidden="1" customHeight="1" x14ac:dyDescent="0.3">
      <c r="A6" s="26"/>
      <c r="B6" s="160" t="s">
        <v>1325</v>
      </c>
      <c r="C6" s="161" t="s">
        <v>135</v>
      </c>
      <c r="D6" s="161" t="s">
        <v>136</v>
      </c>
      <c r="E6" s="161" t="s">
        <v>163</v>
      </c>
      <c r="F6" s="161">
        <v>108000</v>
      </c>
      <c r="G6" s="161">
        <v>0</v>
      </c>
      <c r="H6" s="161">
        <v>1032669</v>
      </c>
      <c r="I6" s="192" t="s">
        <v>30</v>
      </c>
      <c r="J6" s="145" t="str">
        <f t="shared" si="0"/>
        <v>Sueldo mar19</v>
      </c>
      <c r="K6" s="145" t="str">
        <f t="shared" si="1"/>
        <v xml:space="preserve">Edmilson Misericordia                        </v>
      </c>
      <c r="L6" s="171"/>
      <c r="M6" s="110"/>
      <c r="N6" s="110"/>
      <c r="O6" s="230" t="s">
        <v>1325</v>
      </c>
      <c r="P6" s="227" t="s">
        <v>1370</v>
      </c>
      <c r="Q6" s="227" t="s">
        <v>1371</v>
      </c>
      <c r="R6" s="227" t="s">
        <v>334</v>
      </c>
      <c r="S6" s="228" t="s">
        <v>1372</v>
      </c>
      <c r="T6" s="275">
        <v>-193788</v>
      </c>
      <c r="U6" s="227" t="s">
        <v>156</v>
      </c>
      <c r="V6" s="227" t="s">
        <v>1373</v>
      </c>
      <c r="W6" s="229" t="s">
        <v>1374</v>
      </c>
      <c r="Y6" s="209"/>
    </row>
    <row r="7" spans="1:25" s="98" customFormat="1" ht="18" hidden="1" customHeight="1" x14ac:dyDescent="0.3">
      <c r="A7" s="26"/>
      <c r="B7" s="160" t="s">
        <v>1325</v>
      </c>
      <c r="C7" s="161" t="s">
        <v>219</v>
      </c>
      <c r="D7" s="161" t="s">
        <v>241</v>
      </c>
      <c r="E7" s="161" t="s">
        <v>163</v>
      </c>
      <c r="F7" s="161">
        <v>0</v>
      </c>
      <c r="G7" s="161">
        <v>200000</v>
      </c>
      <c r="H7" s="161">
        <v>1140669</v>
      </c>
      <c r="I7" s="192" t="s">
        <v>191</v>
      </c>
      <c r="J7" s="145" t="str">
        <f t="shared" si="0"/>
        <v/>
      </c>
      <c r="K7" s="145" t="str">
        <f t="shared" si="1"/>
        <v/>
      </c>
      <c r="L7" s="171"/>
      <c r="M7" s="110"/>
      <c r="N7" s="110"/>
      <c r="O7" s="230" t="s">
        <v>1325</v>
      </c>
      <c r="P7" s="227" t="s">
        <v>1375</v>
      </c>
      <c r="Q7" s="227" t="s">
        <v>818</v>
      </c>
      <c r="R7" s="227" t="s">
        <v>819</v>
      </c>
      <c r="S7" s="228" t="s">
        <v>820</v>
      </c>
      <c r="T7" s="275">
        <v>-250000</v>
      </c>
      <c r="U7" s="227" t="s">
        <v>156</v>
      </c>
      <c r="V7" s="227" t="s">
        <v>821</v>
      </c>
      <c r="W7" s="229" t="s">
        <v>1376</v>
      </c>
      <c r="Y7" s="209"/>
    </row>
    <row r="8" spans="1:25" ht="18" hidden="1" customHeight="1" x14ac:dyDescent="0.3">
      <c r="A8" s="26"/>
      <c r="B8" s="160" t="s">
        <v>1325</v>
      </c>
      <c r="C8" s="161" t="s">
        <v>143</v>
      </c>
      <c r="D8" s="161" t="s">
        <v>144</v>
      </c>
      <c r="E8" s="161" t="s">
        <v>163</v>
      </c>
      <c r="F8" s="161">
        <v>64098</v>
      </c>
      <c r="G8" s="161">
        <v>0</v>
      </c>
      <c r="H8" s="161">
        <v>940669</v>
      </c>
      <c r="I8" s="192"/>
      <c r="J8" s="145" t="str">
        <f t="shared" si="0"/>
        <v/>
      </c>
      <c r="K8" s="145" t="str">
        <f t="shared" si="1"/>
        <v/>
      </c>
      <c r="L8" s="171"/>
      <c r="M8" s="110"/>
      <c r="N8" s="110"/>
      <c r="O8" s="226" t="s">
        <v>1325</v>
      </c>
      <c r="P8" s="227" t="s">
        <v>1377</v>
      </c>
      <c r="Q8" s="227" t="s">
        <v>373</v>
      </c>
      <c r="R8" s="227" t="s">
        <v>157</v>
      </c>
      <c r="S8" s="228" t="s">
        <v>374</v>
      </c>
      <c r="T8" s="275">
        <v>-131213</v>
      </c>
      <c r="U8" s="227" t="s">
        <v>156</v>
      </c>
      <c r="V8" s="227" t="s">
        <v>375</v>
      </c>
      <c r="W8" s="229" t="s">
        <v>1378</v>
      </c>
      <c r="Y8" s="209"/>
    </row>
    <row r="9" spans="1:25" ht="18" hidden="1" customHeight="1" x14ac:dyDescent="0.3">
      <c r="A9" s="26"/>
      <c r="B9" s="160" t="s">
        <v>1325</v>
      </c>
      <c r="C9" s="161" t="s">
        <v>143</v>
      </c>
      <c r="D9" s="161" t="s">
        <v>144</v>
      </c>
      <c r="E9" s="161" t="s">
        <v>163</v>
      </c>
      <c r="F9" s="161">
        <v>194379</v>
      </c>
      <c r="G9" s="161">
        <v>0</v>
      </c>
      <c r="H9" s="161">
        <v>1004767</v>
      </c>
      <c r="I9" s="192"/>
      <c r="J9" s="145" t="str">
        <f t="shared" si="0"/>
        <v/>
      </c>
      <c r="K9" s="145" t="str">
        <f t="shared" si="1"/>
        <v/>
      </c>
      <c r="L9" s="171"/>
      <c r="M9" s="110"/>
      <c r="N9" s="110"/>
      <c r="O9" s="226" t="s">
        <v>1325</v>
      </c>
      <c r="P9" s="227" t="s">
        <v>1379</v>
      </c>
      <c r="Q9" s="227" t="s">
        <v>178</v>
      </c>
      <c r="R9" s="227" t="s">
        <v>159</v>
      </c>
      <c r="S9" s="228" t="s">
        <v>233</v>
      </c>
      <c r="T9" s="275">
        <v>-2500000</v>
      </c>
      <c r="U9" s="227" t="s">
        <v>156</v>
      </c>
      <c r="V9" s="227" t="s">
        <v>179</v>
      </c>
      <c r="W9" s="229" t="s">
        <v>193</v>
      </c>
      <c r="Y9" s="209"/>
    </row>
    <row r="10" spans="1:25" ht="18" hidden="1" customHeight="1" x14ac:dyDescent="0.3">
      <c r="A10" s="26"/>
      <c r="B10" s="160" t="s">
        <v>1325</v>
      </c>
      <c r="C10" s="161" t="s">
        <v>135</v>
      </c>
      <c r="D10" s="161" t="s">
        <v>136</v>
      </c>
      <c r="E10" s="161" t="s">
        <v>163</v>
      </c>
      <c r="F10" s="161">
        <v>80000</v>
      </c>
      <c r="G10" s="161">
        <v>0</v>
      </c>
      <c r="H10" s="161">
        <v>1199146</v>
      </c>
      <c r="I10" s="192" t="s">
        <v>30</v>
      </c>
      <c r="J10" s="145" t="str">
        <f t="shared" si="0"/>
        <v>Sueldo Abr19</v>
      </c>
      <c r="K10" s="145" t="str">
        <f t="shared" si="1"/>
        <v xml:space="preserve">Diego Maldonado                              </v>
      </c>
      <c r="L10" s="171"/>
      <c r="M10" s="110"/>
      <c r="N10" s="110"/>
      <c r="O10" s="226" t="s">
        <v>1325</v>
      </c>
      <c r="P10" s="227" t="s">
        <v>1380</v>
      </c>
      <c r="Q10" s="227" t="s">
        <v>1381</v>
      </c>
      <c r="R10" s="227" t="s">
        <v>158</v>
      </c>
      <c r="S10" s="228" t="s">
        <v>1382</v>
      </c>
      <c r="T10" s="275">
        <v>-108000</v>
      </c>
      <c r="U10" s="227" t="s">
        <v>156</v>
      </c>
      <c r="V10" s="227" t="s">
        <v>1383</v>
      </c>
      <c r="W10" s="229" t="s">
        <v>813</v>
      </c>
      <c r="Y10" s="209"/>
    </row>
    <row r="11" spans="1:25" ht="18" customHeight="1" x14ac:dyDescent="0.3">
      <c r="A11" s="26"/>
      <c r="B11" s="160" t="s">
        <v>1326</v>
      </c>
      <c r="C11" s="161" t="s">
        <v>137</v>
      </c>
      <c r="D11" s="161" t="s">
        <v>1327</v>
      </c>
      <c r="E11" s="161" t="s">
        <v>1328</v>
      </c>
      <c r="F11" s="161">
        <v>300000</v>
      </c>
      <c r="G11" s="161">
        <v>0</v>
      </c>
      <c r="H11" s="161">
        <v>6566926</v>
      </c>
      <c r="I11" s="192" t="s">
        <v>188</v>
      </c>
      <c r="J11" s="145" t="str">
        <f t="shared" si="0"/>
        <v/>
      </c>
      <c r="K11" s="145" t="str">
        <f t="shared" si="1"/>
        <v/>
      </c>
      <c r="L11" s="171" t="s">
        <v>1444</v>
      </c>
      <c r="M11" s="110"/>
      <c r="N11" s="110"/>
      <c r="O11" s="226" t="s">
        <v>1333</v>
      </c>
      <c r="P11" s="227" t="s">
        <v>1384</v>
      </c>
      <c r="Q11" s="227" t="s">
        <v>317</v>
      </c>
      <c r="R11" s="227" t="s">
        <v>159</v>
      </c>
      <c r="S11" s="228" t="s">
        <v>318</v>
      </c>
      <c r="T11" s="275">
        <v>-53785</v>
      </c>
      <c r="U11" s="227" t="s">
        <v>156</v>
      </c>
      <c r="V11" s="227" t="s">
        <v>319</v>
      </c>
      <c r="W11" s="229" t="s">
        <v>1385</v>
      </c>
      <c r="Y11" s="209"/>
    </row>
    <row r="12" spans="1:25" ht="18" hidden="1" customHeight="1" x14ac:dyDescent="0.3">
      <c r="A12" s="26"/>
      <c r="B12" s="160" t="s">
        <v>1326</v>
      </c>
      <c r="C12" s="161" t="s">
        <v>135</v>
      </c>
      <c r="D12" s="161" t="s">
        <v>136</v>
      </c>
      <c r="E12" s="161" t="s">
        <v>163</v>
      </c>
      <c r="F12" s="161">
        <v>552000</v>
      </c>
      <c r="G12" s="161">
        <v>0</v>
      </c>
      <c r="H12" s="161">
        <v>6866926</v>
      </c>
      <c r="I12" s="192"/>
      <c r="J12" s="145" t="str">
        <f t="shared" si="0"/>
        <v>arriendo casa marzo</v>
      </c>
      <c r="K12" s="145" t="str">
        <f t="shared" si="1"/>
        <v xml:space="preserve">Sergio Zamora Bco Chile                      </v>
      </c>
      <c r="L12" s="171" t="s">
        <v>1443</v>
      </c>
      <c r="M12" s="110"/>
      <c r="N12" s="110"/>
      <c r="O12" s="226" t="s">
        <v>1334</v>
      </c>
      <c r="P12" s="227" t="s">
        <v>1386</v>
      </c>
      <c r="Q12" s="227" t="s">
        <v>254</v>
      </c>
      <c r="R12" s="227" t="s">
        <v>158</v>
      </c>
      <c r="S12" s="228" t="s">
        <v>255</v>
      </c>
      <c r="T12" s="275">
        <v>-50000</v>
      </c>
      <c r="U12" s="227" t="s">
        <v>156</v>
      </c>
      <c r="V12" s="227" t="s">
        <v>256</v>
      </c>
      <c r="W12" s="229" t="s">
        <v>1387</v>
      </c>
      <c r="Y12" s="209"/>
    </row>
    <row r="13" spans="1:25" ht="18" hidden="1" customHeight="1" x14ac:dyDescent="0.3">
      <c r="A13" s="26"/>
      <c r="B13" s="160" t="s">
        <v>1326</v>
      </c>
      <c r="C13" s="161" t="s">
        <v>135</v>
      </c>
      <c r="D13" s="161" t="s">
        <v>136</v>
      </c>
      <c r="E13" s="161" t="s">
        <v>163</v>
      </c>
      <c r="F13" s="161">
        <v>193788</v>
      </c>
      <c r="G13" s="161">
        <v>0</v>
      </c>
      <c r="H13" s="161">
        <v>7418926</v>
      </c>
      <c r="I13" s="192" t="s">
        <v>190</v>
      </c>
      <c r="J13" s="145" t="str">
        <f t="shared" si="0"/>
        <v>fact 8899427</v>
      </c>
      <c r="K13" s="145" t="str">
        <f t="shared" si="1"/>
        <v xml:space="preserve">GASCO GLP S.A                                </v>
      </c>
      <c r="L13" s="171"/>
      <c r="M13" s="110"/>
      <c r="N13" s="110"/>
      <c r="O13" s="226" t="s">
        <v>1388</v>
      </c>
      <c r="P13" s="227" t="s">
        <v>1389</v>
      </c>
      <c r="Q13" s="227" t="s">
        <v>291</v>
      </c>
      <c r="R13" s="227" t="s">
        <v>159</v>
      </c>
      <c r="S13" s="228" t="s">
        <v>292</v>
      </c>
      <c r="T13" s="275">
        <v>-817125</v>
      </c>
      <c r="U13" s="227" t="s">
        <v>156</v>
      </c>
      <c r="V13" s="227" t="s">
        <v>293</v>
      </c>
      <c r="W13" s="229" t="s">
        <v>1390</v>
      </c>
      <c r="Y13" s="209"/>
    </row>
    <row r="14" spans="1:25" ht="18" hidden="1" customHeight="1" x14ac:dyDescent="0.3">
      <c r="A14" s="26"/>
      <c r="B14" s="160" t="s">
        <v>1326</v>
      </c>
      <c r="C14" s="161" t="s">
        <v>135</v>
      </c>
      <c r="D14" s="161" t="s">
        <v>136</v>
      </c>
      <c r="E14" s="161" t="s">
        <v>163</v>
      </c>
      <c r="F14" s="274">
        <v>131213</v>
      </c>
      <c r="G14" s="161">
        <v>0</v>
      </c>
      <c r="H14" s="161">
        <v>7612714</v>
      </c>
      <c r="I14" s="192" t="s">
        <v>189</v>
      </c>
      <c r="J14" s="145" t="str">
        <f t="shared" si="0"/>
        <v>fact 675992</v>
      </c>
      <c r="K14" s="145" t="str">
        <f t="shared" si="1"/>
        <v xml:space="preserve">Acepta.com                                   </v>
      </c>
      <c r="L14" s="171"/>
      <c r="M14" s="110"/>
      <c r="N14" s="110"/>
      <c r="O14" s="226" t="s">
        <v>1388</v>
      </c>
      <c r="P14" s="227" t="s">
        <v>1391</v>
      </c>
      <c r="Q14" s="227" t="s">
        <v>326</v>
      </c>
      <c r="R14" s="227" t="s">
        <v>327</v>
      </c>
      <c r="S14" s="228" t="s">
        <v>328</v>
      </c>
      <c r="T14" s="275">
        <v>-2555384</v>
      </c>
      <c r="U14" s="227" t="s">
        <v>156</v>
      </c>
      <c r="V14" s="227" t="s">
        <v>329</v>
      </c>
      <c r="W14" s="229" t="s">
        <v>1392</v>
      </c>
      <c r="Y14" s="209"/>
    </row>
    <row r="15" spans="1:25" ht="18" hidden="1" customHeight="1" x14ac:dyDescent="0.3">
      <c r="A15" s="26"/>
      <c r="B15" s="160" t="s">
        <v>1326</v>
      </c>
      <c r="C15" s="161" t="s">
        <v>135</v>
      </c>
      <c r="D15" s="161" t="s">
        <v>136</v>
      </c>
      <c r="E15" s="161" t="s">
        <v>163</v>
      </c>
      <c r="F15" s="274">
        <v>250000</v>
      </c>
      <c r="G15" s="161">
        <v>0</v>
      </c>
      <c r="H15" s="161">
        <v>7743927</v>
      </c>
      <c r="I15" s="192" t="s">
        <v>189</v>
      </c>
      <c r="J15" s="145" t="str">
        <f t="shared" si="0"/>
        <v>Marzo19</v>
      </c>
      <c r="K15" s="145" t="str">
        <f t="shared" si="1"/>
        <v xml:space="preserve">SERVICIOS CONTABLES JABR EIRL                </v>
      </c>
      <c r="L15" s="171"/>
      <c r="M15" s="110"/>
      <c r="N15" s="110"/>
      <c r="O15" s="226" t="s">
        <v>1388</v>
      </c>
      <c r="P15" s="227" t="s">
        <v>1393</v>
      </c>
      <c r="Q15" s="227" t="s">
        <v>274</v>
      </c>
      <c r="R15" s="227" t="s">
        <v>275</v>
      </c>
      <c r="S15" s="228" t="s">
        <v>276</v>
      </c>
      <c r="T15" s="275">
        <v>-1570887</v>
      </c>
      <c r="U15" s="227" t="s">
        <v>156</v>
      </c>
      <c r="V15" s="227" t="s">
        <v>277</v>
      </c>
      <c r="W15" s="229" t="s">
        <v>1394</v>
      </c>
      <c r="Y15" s="209"/>
    </row>
    <row r="16" spans="1:25" ht="18" hidden="1" customHeight="1" x14ac:dyDescent="0.3">
      <c r="A16" s="26"/>
      <c r="B16" s="160" t="s">
        <v>1326</v>
      </c>
      <c r="C16" s="161" t="s">
        <v>135</v>
      </c>
      <c r="D16" s="161" t="s">
        <v>136</v>
      </c>
      <c r="E16" s="161" t="s">
        <v>163</v>
      </c>
      <c r="F16" s="274">
        <v>147614</v>
      </c>
      <c r="G16" s="161">
        <v>0</v>
      </c>
      <c r="H16" s="161">
        <v>7993927</v>
      </c>
      <c r="I16" s="192" t="s">
        <v>188</v>
      </c>
      <c r="J16" s="145" t="str">
        <f t="shared" si="0"/>
        <v>fact 223155</v>
      </c>
      <c r="K16" s="145" t="str">
        <f t="shared" si="1"/>
        <v xml:space="preserve">Truly Nolen Chile SA                         </v>
      </c>
      <c r="L16" s="171"/>
      <c r="M16" s="110"/>
      <c r="N16" s="110"/>
      <c r="O16" s="226" t="s">
        <v>1336</v>
      </c>
      <c r="P16" s="227" t="s">
        <v>1395</v>
      </c>
      <c r="Q16" s="227" t="s">
        <v>215</v>
      </c>
      <c r="R16" s="227" t="s">
        <v>158</v>
      </c>
      <c r="S16" s="228" t="s">
        <v>234</v>
      </c>
      <c r="T16" s="275">
        <v>-200000</v>
      </c>
      <c r="U16" s="227" t="s">
        <v>156</v>
      </c>
      <c r="V16" s="227" t="s">
        <v>253</v>
      </c>
      <c r="W16" s="229" t="s">
        <v>1396</v>
      </c>
      <c r="Y16" s="209"/>
    </row>
    <row r="17" spans="1:25" ht="18" hidden="1" customHeight="1" x14ac:dyDescent="0.3">
      <c r="A17" s="26"/>
      <c r="B17" s="160" t="s">
        <v>1326</v>
      </c>
      <c r="C17" s="161" t="s">
        <v>135</v>
      </c>
      <c r="D17" s="161" t="s">
        <v>136</v>
      </c>
      <c r="E17" s="161" t="s">
        <v>163</v>
      </c>
      <c r="F17" s="274">
        <v>391128</v>
      </c>
      <c r="G17" s="161">
        <v>0</v>
      </c>
      <c r="H17" s="161">
        <v>8141541</v>
      </c>
      <c r="I17" s="192" t="s">
        <v>8</v>
      </c>
      <c r="J17" s="145" t="str">
        <f t="shared" si="0"/>
        <v>fact 12739,12938,13060,13017</v>
      </c>
      <c r="K17" s="145" t="str">
        <f t="shared" si="1"/>
        <v xml:space="preserve">Nieva Soft EIRL                              </v>
      </c>
      <c r="L17" s="14"/>
      <c r="M17" s="110"/>
      <c r="N17" s="110"/>
      <c r="O17" s="226" t="s">
        <v>1336</v>
      </c>
      <c r="P17" s="227" t="s">
        <v>1397</v>
      </c>
      <c r="Q17" s="227" t="s">
        <v>254</v>
      </c>
      <c r="R17" s="227" t="s">
        <v>158</v>
      </c>
      <c r="S17" s="228" t="s">
        <v>255</v>
      </c>
      <c r="T17" s="275">
        <v>-150000</v>
      </c>
      <c r="U17" s="227" t="s">
        <v>156</v>
      </c>
      <c r="V17" s="227" t="s">
        <v>256</v>
      </c>
      <c r="W17" s="229" t="s">
        <v>1396</v>
      </c>
      <c r="Y17" s="209"/>
    </row>
    <row r="18" spans="1:25" ht="18" hidden="1" customHeight="1" x14ac:dyDescent="0.3">
      <c r="A18" s="26"/>
      <c r="B18" s="160" t="s">
        <v>1329</v>
      </c>
      <c r="C18" s="161" t="s">
        <v>143</v>
      </c>
      <c r="D18" s="161" t="s">
        <v>144</v>
      </c>
      <c r="E18" s="161" t="s">
        <v>163</v>
      </c>
      <c r="F18" s="274">
        <v>70841</v>
      </c>
      <c r="G18" s="161">
        <v>0</v>
      </c>
      <c r="H18" s="161">
        <v>6346085</v>
      </c>
      <c r="I18" s="192" t="s">
        <v>189</v>
      </c>
      <c r="J18" s="145" t="str">
        <f t="shared" si="0"/>
        <v/>
      </c>
      <c r="K18" s="145" t="str">
        <f t="shared" si="1"/>
        <v/>
      </c>
      <c r="L18" s="171"/>
      <c r="M18" s="110"/>
      <c r="N18" s="110"/>
      <c r="O18" s="226" t="s">
        <v>1337</v>
      </c>
      <c r="P18" s="227" t="s">
        <v>1398</v>
      </c>
      <c r="Q18" s="227" t="s">
        <v>288</v>
      </c>
      <c r="R18" s="227" t="s">
        <v>159</v>
      </c>
      <c r="S18" s="228" t="s">
        <v>289</v>
      </c>
      <c r="T18" s="275">
        <v>-585572</v>
      </c>
      <c r="U18" s="227" t="s">
        <v>156</v>
      </c>
      <c r="V18" s="227" t="s">
        <v>290</v>
      </c>
      <c r="W18" s="229" t="s">
        <v>1399</v>
      </c>
      <c r="Y18" s="209"/>
    </row>
    <row r="19" spans="1:25" ht="18" customHeight="1" x14ac:dyDescent="0.3">
      <c r="A19" s="26"/>
      <c r="B19" s="160" t="s">
        <v>1329</v>
      </c>
      <c r="C19" s="161" t="s">
        <v>143</v>
      </c>
      <c r="D19" s="161" t="s">
        <v>164</v>
      </c>
      <c r="E19" s="161" t="s">
        <v>163</v>
      </c>
      <c r="F19" s="241">
        <v>150000.01</v>
      </c>
      <c r="G19" s="161">
        <v>0</v>
      </c>
      <c r="H19" s="161">
        <v>6416926</v>
      </c>
      <c r="I19" s="192" t="s">
        <v>188</v>
      </c>
      <c r="J19" s="145" t="str">
        <f t="shared" si="0"/>
        <v/>
      </c>
      <c r="K19" s="145" t="str">
        <f t="shared" si="1"/>
        <v/>
      </c>
      <c r="L19" s="171"/>
      <c r="M19" s="110"/>
      <c r="N19" s="110"/>
      <c r="O19" s="226" t="s">
        <v>1400</v>
      </c>
      <c r="P19" s="227" t="s">
        <v>1401</v>
      </c>
      <c r="Q19" s="227" t="s">
        <v>317</v>
      </c>
      <c r="R19" s="227" t="s">
        <v>159</v>
      </c>
      <c r="S19" s="228" t="s">
        <v>318</v>
      </c>
      <c r="T19" s="275">
        <v>-48830</v>
      </c>
      <c r="U19" s="227" t="s">
        <v>156</v>
      </c>
      <c r="V19" s="227" t="s">
        <v>319</v>
      </c>
      <c r="W19" s="229" t="s">
        <v>1402</v>
      </c>
      <c r="Y19" s="209"/>
    </row>
    <row r="20" spans="1:25" ht="18" hidden="1" customHeight="1" x14ac:dyDescent="0.3">
      <c r="A20" s="26"/>
      <c r="B20" s="160" t="s">
        <v>1330</v>
      </c>
      <c r="C20" s="161" t="s">
        <v>135</v>
      </c>
      <c r="D20" s="161" t="s">
        <v>140</v>
      </c>
      <c r="E20" s="161" t="s">
        <v>163</v>
      </c>
      <c r="F20" s="274">
        <v>0</v>
      </c>
      <c r="G20" s="161">
        <v>154545</v>
      </c>
      <c r="H20" s="161">
        <v>6489997</v>
      </c>
      <c r="I20" s="192" t="s">
        <v>191</v>
      </c>
      <c r="J20" s="145" t="str">
        <f t="shared" si="0"/>
        <v/>
      </c>
      <c r="K20" s="145" t="str">
        <f t="shared" si="1"/>
        <v/>
      </c>
      <c r="L20" s="171"/>
      <c r="M20" s="242"/>
      <c r="N20" s="110"/>
      <c r="O20" s="226" t="s">
        <v>1345</v>
      </c>
      <c r="P20" s="227" t="s">
        <v>1403</v>
      </c>
      <c r="Q20" s="227" t="s">
        <v>235</v>
      </c>
      <c r="R20" s="227" t="s">
        <v>158</v>
      </c>
      <c r="S20" s="228" t="s">
        <v>236</v>
      </c>
      <c r="T20" s="275">
        <v>-1301507</v>
      </c>
      <c r="U20" s="227" t="s">
        <v>156</v>
      </c>
      <c r="V20" s="227" t="s">
        <v>237</v>
      </c>
      <c r="W20" s="229" t="s">
        <v>1396</v>
      </c>
      <c r="Y20" s="209"/>
    </row>
    <row r="21" spans="1:25" ht="18" hidden="1" customHeight="1" x14ac:dyDescent="0.3">
      <c r="A21" s="26"/>
      <c r="B21" s="160" t="s">
        <v>1330</v>
      </c>
      <c r="C21" s="161" t="s">
        <v>143</v>
      </c>
      <c r="D21" s="161" t="s">
        <v>144</v>
      </c>
      <c r="E21" s="161" t="s">
        <v>163</v>
      </c>
      <c r="F21" s="241">
        <v>10633</v>
      </c>
      <c r="G21" s="161">
        <v>0</v>
      </c>
      <c r="H21" s="161">
        <v>6335452</v>
      </c>
      <c r="I21" s="192" t="s">
        <v>189</v>
      </c>
      <c r="J21" s="145" t="str">
        <f t="shared" si="0"/>
        <v/>
      </c>
      <c r="K21" s="145" t="str">
        <f t="shared" si="1"/>
        <v/>
      </c>
      <c r="L21" s="171"/>
      <c r="M21" s="110"/>
      <c r="N21" s="110"/>
      <c r="O21" s="226" t="s">
        <v>1345</v>
      </c>
      <c r="P21" s="227" t="s">
        <v>1404</v>
      </c>
      <c r="Q21" s="227" t="s">
        <v>161</v>
      </c>
      <c r="R21" s="227" t="s">
        <v>157</v>
      </c>
      <c r="S21" s="228" t="s">
        <v>242</v>
      </c>
      <c r="T21" s="275">
        <v>-1163517</v>
      </c>
      <c r="U21" s="227" t="s">
        <v>156</v>
      </c>
      <c r="V21" s="227" t="s">
        <v>243</v>
      </c>
      <c r="W21" s="229" t="s">
        <v>1396</v>
      </c>
      <c r="Y21" s="209"/>
    </row>
    <row r="22" spans="1:25" ht="18" hidden="1" customHeight="1" x14ac:dyDescent="0.3">
      <c r="A22" s="26"/>
      <c r="B22" s="160" t="s">
        <v>1331</v>
      </c>
      <c r="C22" s="161" t="s">
        <v>137</v>
      </c>
      <c r="D22" s="161" t="s">
        <v>138</v>
      </c>
      <c r="E22" s="161" t="s">
        <v>163</v>
      </c>
      <c r="F22" s="241">
        <v>11591</v>
      </c>
      <c r="G22" s="161">
        <v>0</v>
      </c>
      <c r="H22" s="161">
        <v>2176298</v>
      </c>
      <c r="I22" s="192" t="s">
        <v>186</v>
      </c>
      <c r="J22" s="145" t="str">
        <f t="shared" si="0"/>
        <v/>
      </c>
      <c r="K22" s="145" t="str">
        <f t="shared" si="1"/>
        <v/>
      </c>
      <c r="L22" s="171"/>
      <c r="M22" s="110"/>
      <c r="N22" s="110"/>
      <c r="O22" s="226" t="s">
        <v>1345</v>
      </c>
      <c r="P22" s="227" t="s">
        <v>1405</v>
      </c>
      <c r="Q22" s="227" t="s">
        <v>218</v>
      </c>
      <c r="R22" s="227" t="s">
        <v>244</v>
      </c>
      <c r="S22" s="228" t="s">
        <v>315</v>
      </c>
      <c r="T22" s="275">
        <v>-617440</v>
      </c>
      <c r="U22" s="227" t="s">
        <v>156</v>
      </c>
      <c r="V22" s="227" t="s">
        <v>316</v>
      </c>
      <c r="W22" s="229" t="s">
        <v>1396</v>
      </c>
      <c r="Y22" s="209"/>
    </row>
    <row r="23" spans="1:25" ht="18" hidden="1" customHeight="1" x14ac:dyDescent="0.3">
      <c r="A23" s="26"/>
      <c r="B23" s="160" t="s">
        <v>1331</v>
      </c>
      <c r="C23" s="161" t="s">
        <v>143</v>
      </c>
      <c r="D23" s="161" t="s">
        <v>144</v>
      </c>
      <c r="E23" s="161" t="s">
        <v>163</v>
      </c>
      <c r="F23" s="241">
        <v>13000</v>
      </c>
      <c r="G23" s="161">
        <v>0</v>
      </c>
      <c r="H23" s="161">
        <v>2187889</v>
      </c>
      <c r="I23" s="192" t="s">
        <v>189</v>
      </c>
      <c r="J23" s="145" t="str">
        <f t="shared" si="0"/>
        <v/>
      </c>
      <c r="K23" s="145" t="str">
        <f t="shared" si="1"/>
        <v/>
      </c>
      <c r="L23" s="171"/>
      <c r="M23" s="110"/>
      <c r="N23" s="110"/>
      <c r="O23" s="226" t="s">
        <v>1345</v>
      </c>
      <c r="P23" s="227" t="s">
        <v>1406</v>
      </c>
      <c r="Q23" s="227" t="s">
        <v>166</v>
      </c>
      <c r="R23" s="227" t="s">
        <v>158</v>
      </c>
      <c r="S23" s="228" t="s">
        <v>240</v>
      </c>
      <c r="T23" s="275">
        <v>-467886</v>
      </c>
      <c r="U23" s="227" t="s">
        <v>156</v>
      </c>
      <c r="V23" s="227" t="s">
        <v>167</v>
      </c>
      <c r="W23" s="229" t="s">
        <v>1396</v>
      </c>
      <c r="Y23" s="209"/>
    </row>
    <row r="24" spans="1:25" s="127" customFormat="1" ht="18" hidden="1" customHeight="1" x14ac:dyDescent="0.3">
      <c r="A24" s="26"/>
      <c r="B24" s="160" t="s">
        <v>1331</v>
      </c>
      <c r="C24" s="161" t="s">
        <v>141</v>
      </c>
      <c r="D24" s="161" t="s">
        <v>142</v>
      </c>
      <c r="E24" s="161" t="s">
        <v>163</v>
      </c>
      <c r="F24" s="241">
        <v>4289108</v>
      </c>
      <c r="G24" s="161">
        <v>0</v>
      </c>
      <c r="H24" s="161">
        <v>2200889</v>
      </c>
      <c r="I24" s="192" t="s">
        <v>19</v>
      </c>
      <c r="J24" s="145" t="str">
        <f t="shared" si="0"/>
        <v/>
      </c>
      <c r="K24" s="145" t="str">
        <f t="shared" si="1"/>
        <v/>
      </c>
      <c r="L24" s="171"/>
      <c r="M24" s="110"/>
      <c r="N24" s="110"/>
      <c r="O24" s="226" t="s">
        <v>1345</v>
      </c>
      <c r="P24" s="227" t="s">
        <v>1407</v>
      </c>
      <c r="Q24" s="227" t="s">
        <v>271</v>
      </c>
      <c r="R24" s="227" t="s">
        <v>158</v>
      </c>
      <c r="S24" s="228" t="s">
        <v>272</v>
      </c>
      <c r="T24" s="275">
        <v>-532629</v>
      </c>
      <c r="U24" s="227" t="s">
        <v>156</v>
      </c>
      <c r="V24" s="227" t="s">
        <v>273</v>
      </c>
      <c r="W24" s="229" t="s">
        <v>1396</v>
      </c>
      <c r="Y24" s="209"/>
    </row>
    <row r="25" spans="1:25" s="127" customFormat="1" ht="18" hidden="1" customHeight="1" x14ac:dyDescent="0.3">
      <c r="A25" s="26"/>
      <c r="B25" s="160" t="s">
        <v>1332</v>
      </c>
      <c r="C25" s="161" t="s">
        <v>143</v>
      </c>
      <c r="D25" s="161" t="s">
        <v>164</v>
      </c>
      <c r="E25" s="161" t="s">
        <v>163</v>
      </c>
      <c r="F25" s="241">
        <v>100000</v>
      </c>
      <c r="G25" s="161">
        <v>0</v>
      </c>
      <c r="H25" s="161">
        <v>2076298</v>
      </c>
      <c r="I25" s="192" t="s">
        <v>189</v>
      </c>
      <c r="J25" s="145" t="str">
        <f t="shared" si="0"/>
        <v/>
      </c>
      <c r="K25" s="145" t="str">
        <f t="shared" si="1"/>
        <v/>
      </c>
      <c r="L25" s="171"/>
      <c r="M25" s="110"/>
      <c r="N25" s="110"/>
      <c r="O25" s="226" t="s">
        <v>1345</v>
      </c>
      <c r="P25" s="227" t="s">
        <v>1408</v>
      </c>
      <c r="Q25" s="227" t="s">
        <v>254</v>
      </c>
      <c r="R25" s="227" t="s">
        <v>158</v>
      </c>
      <c r="S25" s="228" t="s">
        <v>255</v>
      </c>
      <c r="T25" s="275">
        <v>-354664</v>
      </c>
      <c r="U25" s="227" t="s">
        <v>156</v>
      </c>
      <c r="V25" s="227" t="s">
        <v>256</v>
      </c>
      <c r="W25" s="229" t="s">
        <v>1396</v>
      </c>
      <c r="Y25" s="209"/>
    </row>
    <row r="26" spans="1:25" s="127" customFormat="1" ht="18" hidden="1" customHeight="1" x14ac:dyDescent="0.3">
      <c r="A26" s="26"/>
      <c r="B26" s="160" t="s">
        <v>1333</v>
      </c>
      <c r="C26" s="161" t="s">
        <v>135</v>
      </c>
      <c r="D26" s="161" t="s">
        <v>139</v>
      </c>
      <c r="E26" s="161" t="s">
        <v>163</v>
      </c>
      <c r="F26" s="241">
        <v>53785</v>
      </c>
      <c r="G26" s="161">
        <v>0</v>
      </c>
      <c r="H26" s="161">
        <v>2022513</v>
      </c>
      <c r="I26" s="192" t="s">
        <v>8</v>
      </c>
      <c r="J26" s="145" t="str">
        <f t="shared" si="0"/>
        <v>Documentos 3112,3111,2987,2986</v>
      </c>
      <c r="K26" s="145" t="str">
        <f t="shared" si="1"/>
        <v xml:space="preserve">Panaderia La Franchuteria                    </v>
      </c>
      <c r="L26" s="171"/>
      <c r="M26" s="110"/>
      <c r="N26" s="110"/>
      <c r="O26" s="226" t="s">
        <v>1345</v>
      </c>
      <c r="P26" s="227" t="s">
        <v>1409</v>
      </c>
      <c r="Q26" s="227" t="s">
        <v>257</v>
      </c>
      <c r="R26" s="227" t="s">
        <v>158</v>
      </c>
      <c r="S26" s="228" t="s">
        <v>258</v>
      </c>
      <c r="T26" s="275">
        <v>-613772</v>
      </c>
      <c r="U26" s="227" t="s">
        <v>156</v>
      </c>
      <c r="V26" s="227" t="s">
        <v>259</v>
      </c>
      <c r="W26" s="229" t="s">
        <v>1396</v>
      </c>
      <c r="Y26" s="209"/>
    </row>
    <row r="27" spans="1:25" s="127" customFormat="1" ht="18" hidden="1" customHeight="1" x14ac:dyDescent="0.3">
      <c r="A27" s="26"/>
      <c r="B27" s="160" t="s">
        <v>1334</v>
      </c>
      <c r="C27" s="161" t="s">
        <v>143</v>
      </c>
      <c r="D27" s="161" t="s">
        <v>144</v>
      </c>
      <c r="E27" s="161" t="s">
        <v>163</v>
      </c>
      <c r="F27" s="241">
        <v>10320</v>
      </c>
      <c r="G27" s="161">
        <v>0</v>
      </c>
      <c r="H27" s="161">
        <v>2012193</v>
      </c>
      <c r="I27" s="192" t="s">
        <v>189</v>
      </c>
      <c r="J27" s="145" t="str">
        <f t="shared" si="0"/>
        <v/>
      </c>
      <c r="K27" s="145" t="str">
        <f t="shared" si="1"/>
        <v/>
      </c>
      <c r="L27" s="171"/>
      <c r="M27" s="110"/>
      <c r="N27" s="110"/>
      <c r="O27" s="226" t="s">
        <v>1345</v>
      </c>
      <c r="P27" s="227" t="s">
        <v>1410</v>
      </c>
      <c r="Q27" s="227" t="s">
        <v>160</v>
      </c>
      <c r="R27" s="227" t="s">
        <v>158</v>
      </c>
      <c r="S27" s="228" t="s">
        <v>239</v>
      </c>
      <c r="T27" s="275">
        <v>-308051</v>
      </c>
      <c r="U27" s="227" t="s">
        <v>156</v>
      </c>
      <c r="V27" s="227" t="s">
        <v>165</v>
      </c>
      <c r="W27" s="229" t="s">
        <v>1396</v>
      </c>
      <c r="Y27" s="209"/>
    </row>
    <row r="28" spans="1:25" s="127" customFormat="1" ht="18" hidden="1" customHeight="1" x14ac:dyDescent="0.3">
      <c r="A28" s="26"/>
      <c r="B28" s="160" t="s">
        <v>1335</v>
      </c>
      <c r="C28" s="161" t="s">
        <v>135</v>
      </c>
      <c r="D28" s="161" t="s">
        <v>136</v>
      </c>
      <c r="E28" s="161" t="s">
        <v>163</v>
      </c>
      <c r="F28" s="241">
        <v>50000</v>
      </c>
      <c r="G28" s="161">
        <v>0</v>
      </c>
      <c r="H28" s="161">
        <v>1962193</v>
      </c>
      <c r="I28" s="192" t="s">
        <v>30</v>
      </c>
      <c r="J28" s="145" t="str">
        <f t="shared" si="0"/>
        <v>Sueldo mar19- pendientes</v>
      </c>
      <c r="K28" s="145" t="str">
        <f t="shared" si="1"/>
        <v xml:space="preserve">Ana Cruz Varas                               </v>
      </c>
      <c r="L28" s="171"/>
      <c r="M28" s="110"/>
      <c r="N28" s="110"/>
      <c r="O28" s="226" t="s">
        <v>1345</v>
      </c>
      <c r="P28" s="227" t="s">
        <v>1411</v>
      </c>
      <c r="Q28" s="227" t="s">
        <v>220</v>
      </c>
      <c r="R28" s="227" t="s">
        <v>158</v>
      </c>
      <c r="S28" s="228" t="s">
        <v>238</v>
      </c>
      <c r="T28" s="275">
        <v>-516978</v>
      </c>
      <c r="U28" s="227" t="s">
        <v>156</v>
      </c>
      <c r="V28" s="227" t="s">
        <v>221</v>
      </c>
      <c r="W28" s="229" t="s">
        <v>1396</v>
      </c>
      <c r="Y28" s="209"/>
    </row>
    <row r="29" spans="1:25" s="127" customFormat="1" ht="18" hidden="1" customHeight="1" x14ac:dyDescent="0.3">
      <c r="A29" s="26"/>
      <c r="B29" s="160" t="s">
        <v>1336</v>
      </c>
      <c r="C29" s="161" t="s">
        <v>135</v>
      </c>
      <c r="D29" s="161" t="s">
        <v>140</v>
      </c>
      <c r="E29" s="161" t="s">
        <v>163</v>
      </c>
      <c r="F29" s="241">
        <v>0</v>
      </c>
      <c r="G29" s="161">
        <v>161983</v>
      </c>
      <c r="H29" s="161">
        <v>2180780</v>
      </c>
      <c r="I29" s="192" t="s">
        <v>191</v>
      </c>
      <c r="J29" s="145" t="str">
        <f t="shared" si="0"/>
        <v/>
      </c>
      <c r="K29" s="145" t="str">
        <f t="shared" si="1"/>
        <v/>
      </c>
      <c r="L29" s="171"/>
      <c r="M29" s="110"/>
      <c r="N29" s="110"/>
      <c r="O29" s="226" t="s">
        <v>1345</v>
      </c>
      <c r="P29" s="227" t="s">
        <v>1412</v>
      </c>
      <c r="Q29" s="227" t="s">
        <v>810</v>
      </c>
      <c r="R29" s="227" t="s">
        <v>158</v>
      </c>
      <c r="S29" s="228" t="s">
        <v>811</v>
      </c>
      <c r="T29" s="275">
        <v>-448000</v>
      </c>
      <c r="U29" s="227" t="s">
        <v>156</v>
      </c>
      <c r="V29" s="227" t="s">
        <v>812</v>
      </c>
      <c r="W29" s="229" t="s">
        <v>1396</v>
      </c>
      <c r="Y29" s="209"/>
    </row>
    <row r="30" spans="1:25" s="127" customFormat="1" ht="18" hidden="1" customHeight="1" x14ac:dyDescent="0.3">
      <c r="A30" s="26"/>
      <c r="B30" s="160" t="s">
        <v>1336</v>
      </c>
      <c r="C30" s="161" t="s">
        <v>135</v>
      </c>
      <c r="D30" s="161" t="s">
        <v>139</v>
      </c>
      <c r="E30" s="161" t="s">
        <v>163</v>
      </c>
      <c r="F30" s="241">
        <v>817125</v>
      </c>
      <c r="G30" s="161">
        <v>0</v>
      </c>
      <c r="H30" s="161">
        <v>2018797</v>
      </c>
      <c r="I30" s="192" t="s">
        <v>190</v>
      </c>
      <c r="J30" s="145" t="str">
        <f t="shared" si="0"/>
        <v>fact 16364</v>
      </c>
      <c r="K30" s="145" t="str">
        <f t="shared" si="1"/>
        <v xml:space="preserve">Comite de Agua San Pedro de Atacama          </v>
      </c>
      <c r="L30" s="171"/>
      <c r="M30" s="110"/>
      <c r="N30" s="110"/>
      <c r="O30" s="226" t="s">
        <v>1345</v>
      </c>
      <c r="P30" s="227" t="s">
        <v>1413</v>
      </c>
      <c r="Q30" s="227" t="s">
        <v>1414</v>
      </c>
      <c r="R30" s="227" t="s">
        <v>158</v>
      </c>
      <c r="S30" s="228" t="s">
        <v>1415</v>
      </c>
      <c r="T30" s="231">
        <v>-256000</v>
      </c>
      <c r="U30" s="227" t="s">
        <v>156</v>
      </c>
      <c r="V30" s="227" t="s">
        <v>1416</v>
      </c>
      <c r="W30" s="229" t="s">
        <v>1396</v>
      </c>
      <c r="Y30" s="209"/>
    </row>
    <row r="31" spans="1:25" s="127" customFormat="1" ht="18" hidden="1" customHeight="1" x14ac:dyDescent="0.3">
      <c r="A31" s="26"/>
      <c r="B31" s="160" t="s">
        <v>1336</v>
      </c>
      <c r="C31" s="161" t="s">
        <v>135</v>
      </c>
      <c r="D31" s="161" t="s">
        <v>136</v>
      </c>
      <c r="E31" s="161" t="s">
        <v>163</v>
      </c>
      <c r="F31" s="241">
        <v>1570887</v>
      </c>
      <c r="G31" s="161">
        <v>0</v>
      </c>
      <c r="H31" s="161">
        <v>2835922</v>
      </c>
      <c r="I31" s="192" t="s">
        <v>113</v>
      </c>
      <c r="J31" s="145" t="str">
        <f t="shared" si="0"/>
        <v>Factura 1920324359</v>
      </c>
      <c r="K31" s="145" t="str">
        <f t="shared" si="1"/>
        <v xml:space="preserve">EXP Chile Limitada                           </v>
      </c>
      <c r="L31" s="171"/>
      <c r="M31" s="110"/>
      <c r="N31" s="110"/>
      <c r="O31" s="226" t="s">
        <v>1345</v>
      </c>
      <c r="P31" s="227" t="s">
        <v>1417</v>
      </c>
      <c r="Q31" s="227" t="s">
        <v>323</v>
      </c>
      <c r="R31" s="227" t="s">
        <v>158</v>
      </c>
      <c r="S31" s="228" t="s">
        <v>324</v>
      </c>
      <c r="T31" s="231">
        <v>-144000</v>
      </c>
      <c r="U31" s="227" t="s">
        <v>156</v>
      </c>
      <c r="V31" s="227" t="s">
        <v>325</v>
      </c>
      <c r="W31" s="229" t="s">
        <v>1396</v>
      </c>
      <c r="Y31" s="209"/>
    </row>
    <row r="32" spans="1:25" s="127" customFormat="1" ht="18" hidden="1" customHeight="1" x14ac:dyDescent="0.3">
      <c r="A32" s="26"/>
      <c r="B32" s="160" t="s">
        <v>1336</v>
      </c>
      <c r="C32" s="161" t="s">
        <v>135</v>
      </c>
      <c r="D32" s="161" t="s">
        <v>136</v>
      </c>
      <c r="E32" s="161" t="s">
        <v>163</v>
      </c>
      <c r="F32" s="241">
        <v>2555384</v>
      </c>
      <c r="G32" s="161">
        <v>0</v>
      </c>
      <c r="H32" s="161">
        <v>4406809</v>
      </c>
      <c r="I32" s="192" t="s">
        <v>31</v>
      </c>
      <c r="J32" s="145" t="str">
        <f t="shared" si="0"/>
        <v>Factura 1537513140</v>
      </c>
      <c r="K32" s="145" t="str">
        <f t="shared" si="1"/>
        <v xml:space="preserve">Pagos y Servicios Astropay Ltda              </v>
      </c>
      <c r="L32" s="171"/>
      <c r="M32" s="110"/>
      <c r="N32" s="110"/>
      <c r="O32" s="226" t="s">
        <v>1345</v>
      </c>
      <c r="P32" s="227" t="s">
        <v>1418</v>
      </c>
      <c r="Q32" s="227" t="s">
        <v>215</v>
      </c>
      <c r="R32" s="227" t="s">
        <v>158</v>
      </c>
      <c r="S32" s="228" t="s">
        <v>234</v>
      </c>
      <c r="T32" s="231">
        <v>-241636</v>
      </c>
      <c r="U32" s="227" t="s">
        <v>156</v>
      </c>
      <c r="V32" s="227" t="s">
        <v>253</v>
      </c>
      <c r="W32" s="229" t="s">
        <v>1396</v>
      </c>
      <c r="Y32" s="209"/>
    </row>
    <row r="33" spans="1:25" s="127" customFormat="1" ht="18" hidden="1" customHeight="1" x14ac:dyDescent="0.3">
      <c r="A33" s="26"/>
      <c r="B33" s="160" t="s">
        <v>1336</v>
      </c>
      <c r="C33" s="161" t="s">
        <v>135</v>
      </c>
      <c r="D33" s="161" t="s">
        <v>140</v>
      </c>
      <c r="E33" s="161" t="s">
        <v>163</v>
      </c>
      <c r="F33" s="241">
        <v>0</v>
      </c>
      <c r="G33" s="161">
        <v>5000000</v>
      </c>
      <c r="H33" s="161">
        <v>6962193</v>
      </c>
      <c r="I33" s="192" t="s">
        <v>147</v>
      </c>
      <c r="J33" s="145" t="str">
        <f t="shared" si="0"/>
        <v/>
      </c>
      <c r="K33" s="145" t="str">
        <f t="shared" si="1"/>
        <v/>
      </c>
      <c r="L33" s="171"/>
      <c r="M33" s="110"/>
      <c r="N33" s="110"/>
      <c r="O33" s="226" t="s">
        <v>1345</v>
      </c>
      <c r="P33" s="227" t="s">
        <v>1419</v>
      </c>
      <c r="Q33" s="227" t="s">
        <v>815</v>
      </c>
      <c r="R33" s="227" t="s">
        <v>158</v>
      </c>
      <c r="S33" s="228" t="s">
        <v>816</v>
      </c>
      <c r="T33" s="231">
        <v>-80000</v>
      </c>
      <c r="U33" s="227" t="s">
        <v>156</v>
      </c>
      <c r="V33" s="227" t="s">
        <v>817</v>
      </c>
      <c r="W33" s="229" t="s">
        <v>1396</v>
      </c>
      <c r="Y33" s="209"/>
    </row>
    <row r="34" spans="1:25" s="127" customFormat="1" ht="18" hidden="1" customHeight="1" x14ac:dyDescent="0.3">
      <c r="A34" s="26"/>
      <c r="B34" s="160" t="s">
        <v>1337</v>
      </c>
      <c r="C34" s="161" t="s">
        <v>219</v>
      </c>
      <c r="D34" s="161" t="s">
        <v>241</v>
      </c>
      <c r="E34" s="161" t="s">
        <v>163</v>
      </c>
      <c r="F34" s="241">
        <v>0</v>
      </c>
      <c r="G34" s="161">
        <v>53000</v>
      </c>
      <c r="H34" s="161">
        <v>1683845</v>
      </c>
      <c r="I34" s="192" t="s">
        <v>191</v>
      </c>
      <c r="J34" s="145" t="str">
        <f t="shared" si="0"/>
        <v/>
      </c>
      <c r="K34" s="145" t="str">
        <f t="shared" si="1"/>
        <v/>
      </c>
      <c r="L34" s="171"/>
      <c r="M34" s="110"/>
      <c r="N34" s="110"/>
      <c r="O34" s="226" t="s">
        <v>1345</v>
      </c>
      <c r="P34" s="227" t="s">
        <v>1420</v>
      </c>
      <c r="Q34" s="227" t="s">
        <v>379</v>
      </c>
      <c r="R34" s="227" t="s">
        <v>158</v>
      </c>
      <c r="S34" s="228" t="s">
        <v>380</v>
      </c>
      <c r="T34" s="231">
        <v>-48000</v>
      </c>
      <c r="U34" s="227" t="s">
        <v>156</v>
      </c>
      <c r="V34" s="227" t="s">
        <v>381</v>
      </c>
      <c r="W34" s="229" t="s">
        <v>1396</v>
      </c>
      <c r="Y34" s="209"/>
    </row>
    <row r="35" spans="1:25" s="127" customFormat="1" ht="18" hidden="1" customHeight="1" x14ac:dyDescent="0.3">
      <c r="A35" s="26"/>
      <c r="B35" s="160" t="s">
        <v>1337</v>
      </c>
      <c r="C35" s="161" t="s">
        <v>135</v>
      </c>
      <c r="D35" s="161" t="s">
        <v>799</v>
      </c>
      <c r="E35" s="161" t="s">
        <v>163</v>
      </c>
      <c r="F35" s="241">
        <v>199935</v>
      </c>
      <c r="G35" s="161">
        <v>0</v>
      </c>
      <c r="H35" s="161">
        <v>1630845</v>
      </c>
      <c r="I35" s="192"/>
      <c r="J35" s="145" t="str">
        <f t="shared" si="0"/>
        <v/>
      </c>
      <c r="K35" s="145" t="str">
        <f t="shared" si="1"/>
        <v/>
      </c>
      <c r="L35" s="171"/>
      <c r="M35" s="110"/>
      <c r="N35" s="110"/>
      <c r="O35" s="226" t="s">
        <v>1345</v>
      </c>
      <c r="P35" s="227" t="s">
        <v>1421</v>
      </c>
      <c r="Q35" s="227" t="s">
        <v>376</v>
      </c>
      <c r="R35" s="227" t="s">
        <v>158</v>
      </c>
      <c r="S35" s="228" t="s">
        <v>377</v>
      </c>
      <c r="T35" s="231">
        <v>-112000</v>
      </c>
      <c r="U35" s="227" t="s">
        <v>156</v>
      </c>
      <c r="V35" s="227" t="s">
        <v>378</v>
      </c>
      <c r="W35" s="229" t="s">
        <v>1396</v>
      </c>
      <c r="Y35" s="209"/>
    </row>
    <row r="36" spans="1:25" s="127" customFormat="1" ht="18" hidden="1" customHeight="1" x14ac:dyDescent="0.3">
      <c r="A36" s="26"/>
      <c r="B36" s="160" t="s">
        <v>1337</v>
      </c>
      <c r="C36" s="161" t="s">
        <v>135</v>
      </c>
      <c r="D36" s="161" t="s">
        <v>136</v>
      </c>
      <c r="E36" s="161" t="s">
        <v>163</v>
      </c>
      <c r="F36" s="241">
        <v>150000</v>
      </c>
      <c r="G36" s="161">
        <v>0</v>
      </c>
      <c r="H36" s="161">
        <v>1830780</v>
      </c>
      <c r="I36" s="192" t="s">
        <v>30</v>
      </c>
      <c r="J36" s="145" t="str">
        <f t="shared" si="0"/>
        <v>Sueldo Abr19</v>
      </c>
      <c r="K36" s="145" t="str">
        <f t="shared" si="1"/>
        <v xml:space="preserve">Ana Cruz Varas                               </v>
      </c>
      <c r="L36" s="171"/>
      <c r="M36" s="110"/>
      <c r="N36" s="110"/>
      <c r="O36" s="226" t="s">
        <v>1345</v>
      </c>
      <c r="P36" s="227" t="s">
        <v>1422</v>
      </c>
      <c r="Q36" s="227" t="s">
        <v>1423</v>
      </c>
      <c r="R36" s="227" t="s">
        <v>159</v>
      </c>
      <c r="S36" s="228" t="s">
        <v>1424</v>
      </c>
      <c r="T36" s="231">
        <v>-126000</v>
      </c>
      <c r="U36" s="227" t="s">
        <v>156</v>
      </c>
      <c r="V36" s="227" t="s">
        <v>1425</v>
      </c>
      <c r="W36" s="229" t="s">
        <v>1396</v>
      </c>
      <c r="Y36" s="209"/>
    </row>
    <row r="37" spans="1:25" s="127" customFormat="1" ht="18" customHeight="1" x14ac:dyDescent="0.3">
      <c r="A37" s="26"/>
      <c r="B37" s="160" t="s">
        <v>1337</v>
      </c>
      <c r="C37" s="161" t="s">
        <v>135</v>
      </c>
      <c r="D37" s="161" t="s">
        <v>136</v>
      </c>
      <c r="E37" s="161" t="s">
        <v>163</v>
      </c>
      <c r="F37" s="241">
        <v>200000</v>
      </c>
      <c r="G37" s="161">
        <v>0</v>
      </c>
      <c r="H37" s="161">
        <v>1980780</v>
      </c>
      <c r="I37" s="192" t="s">
        <v>30</v>
      </c>
      <c r="J37" s="145" t="str">
        <f t="shared" si="0"/>
        <v>Sueldo Abr19</v>
      </c>
      <c r="K37" s="145" t="str">
        <f t="shared" si="1"/>
        <v xml:space="preserve">Luis Arias                                   </v>
      </c>
      <c r="L37" s="171"/>
      <c r="M37" s="110"/>
      <c r="N37" s="110"/>
      <c r="O37" s="226"/>
      <c r="P37" s="227"/>
      <c r="Q37" s="227"/>
      <c r="R37" s="227"/>
      <c r="S37" s="228"/>
      <c r="T37" s="231"/>
      <c r="U37" s="227"/>
      <c r="V37" s="227"/>
      <c r="W37" s="229"/>
      <c r="Y37" s="209"/>
    </row>
    <row r="38" spans="1:25" s="127" customFormat="1" ht="18" customHeight="1" x14ac:dyDescent="0.3">
      <c r="A38" s="26"/>
      <c r="B38" s="290" t="s">
        <v>1338</v>
      </c>
      <c r="C38" s="291" t="s">
        <v>135</v>
      </c>
      <c r="D38" s="291" t="s">
        <v>145</v>
      </c>
      <c r="E38" s="291" t="s">
        <v>163</v>
      </c>
      <c r="F38" s="292">
        <v>332439</v>
      </c>
      <c r="G38" s="291">
        <v>0</v>
      </c>
      <c r="H38" s="291">
        <v>5765834</v>
      </c>
      <c r="I38" s="296"/>
      <c r="J38" s="301" t="str">
        <f t="shared" si="0"/>
        <v/>
      </c>
      <c r="K38" s="301" t="str">
        <f t="shared" si="1"/>
        <v/>
      </c>
      <c r="L38" s="171"/>
      <c r="M38" s="110"/>
      <c r="N38" s="110"/>
      <c r="O38" s="230"/>
      <c r="P38" s="227"/>
      <c r="Q38" s="227"/>
      <c r="R38" s="227"/>
      <c r="S38" s="228"/>
      <c r="T38" s="231"/>
      <c r="U38" s="227"/>
      <c r="V38" s="227"/>
      <c r="W38" s="229"/>
      <c r="Y38" s="209"/>
    </row>
    <row r="39" spans="1:25" s="127" customFormat="1" ht="18" customHeight="1" x14ac:dyDescent="0.3">
      <c r="A39" s="26"/>
      <c r="B39" s="160" t="s">
        <v>1338</v>
      </c>
      <c r="C39" s="161" t="s">
        <v>135</v>
      </c>
      <c r="D39" s="161" t="s">
        <v>139</v>
      </c>
      <c r="E39" s="161" t="s">
        <v>163</v>
      </c>
      <c r="F39" s="241">
        <v>585572</v>
      </c>
      <c r="G39" s="161">
        <v>0</v>
      </c>
      <c r="H39" s="161">
        <v>6098273</v>
      </c>
      <c r="I39" s="192" t="s">
        <v>190</v>
      </c>
      <c r="J39" s="145" t="str">
        <f t="shared" si="0"/>
        <v>Fact   13370</v>
      </c>
      <c r="K39" s="145" t="str">
        <f t="shared" si="1"/>
        <v xml:space="preserve">CESPA Ltda                                   </v>
      </c>
      <c r="L39" s="171"/>
      <c r="M39" s="110"/>
      <c r="N39" s="110"/>
      <c r="O39" s="230"/>
      <c r="P39" s="227"/>
      <c r="Q39" s="227"/>
      <c r="R39" s="227"/>
      <c r="S39" s="228"/>
      <c r="T39" s="231"/>
      <c r="U39" s="227"/>
      <c r="V39" s="227"/>
      <c r="W39" s="229"/>
      <c r="Y39" s="209"/>
    </row>
    <row r="40" spans="1:25" s="127" customFormat="1" ht="18" customHeight="1" x14ac:dyDescent="0.3">
      <c r="A40" s="26"/>
      <c r="B40" s="160" t="s">
        <v>1338</v>
      </c>
      <c r="C40" s="161" t="s">
        <v>135</v>
      </c>
      <c r="D40" s="161" t="s">
        <v>140</v>
      </c>
      <c r="E40" s="161" t="s">
        <v>163</v>
      </c>
      <c r="F40" s="241">
        <v>0</v>
      </c>
      <c r="G40" s="161">
        <v>5000000</v>
      </c>
      <c r="H40" s="161">
        <v>6683845</v>
      </c>
      <c r="I40" s="192" t="s">
        <v>147</v>
      </c>
      <c r="J40" s="145" t="str">
        <f t="shared" si="0"/>
        <v/>
      </c>
      <c r="K40" s="145" t="str">
        <f t="shared" si="1"/>
        <v/>
      </c>
      <c r="L40" s="171"/>
      <c r="M40" s="110"/>
      <c r="N40" s="110"/>
      <c r="O40" s="230"/>
      <c r="P40" s="227"/>
      <c r="Q40" s="227"/>
      <c r="R40" s="227"/>
      <c r="S40" s="228"/>
      <c r="T40" s="231"/>
      <c r="U40" s="227"/>
      <c r="V40" s="227"/>
      <c r="W40" s="229"/>
      <c r="Y40" s="209"/>
    </row>
    <row r="41" spans="1:25" s="127" customFormat="1" ht="18" customHeight="1" x14ac:dyDescent="0.3">
      <c r="A41" s="26"/>
      <c r="B41" s="160" t="s">
        <v>1339</v>
      </c>
      <c r="C41" s="161" t="s">
        <v>135</v>
      </c>
      <c r="D41" s="161" t="s">
        <v>140</v>
      </c>
      <c r="E41" s="161" t="s">
        <v>163</v>
      </c>
      <c r="F41" s="241">
        <v>0</v>
      </c>
      <c r="G41" s="161">
        <v>181739</v>
      </c>
      <c r="H41" s="161">
        <v>5947573</v>
      </c>
      <c r="I41" s="192" t="s">
        <v>191</v>
      </c>
      <c r="J41" s="145" t="str">
        <f t="shared" si="0"/>
        <v/>
      </c>
      <c r="K41" s="145" t="str">
        <f t="shared" si="1"/>
        <v/>
      </c>
      <c r="L41" s="171"/>
      <c r="M41" s="110"/>
      <c r="N41" s="110"/>
      <c r="O41" s="230"/>
      <c r="P41" s="227"/>
      <c r="Q41" s="227"/>
      <c r="R41" s="227"/>
      <c r="S41" s="228"/>
      <c r="T41" s="231"/>
      <c r="U41" s="227"/>
      <c r="V41" s="227"/>
      <c r="W41" s="229"/>
      <c r="Y41" s="209"/>
    </row>
    <row r="42" spans="1:25" s="127" customFormat="1" ht="18" customHeight="1" x14ac:dyDescent="0.3">
      <c r="A42" s="26"/>
      <c r="B42" s="160" t="s">
        <v>1340</v>
      </c>
      <c r="C42" s="161" t="s">
        <v>135</v>
      </c>
      <c r="D42" s="161" t="s">
        <v>140</v>
      </c>
      <c r="E42" s="161" t="s">
        <v>163</v>
      </c>
      <c r="F42" s="241">
        <v>0</v>
      </c>
      <c r="G42" s="161">
        <v>157080</v>
      </c>
      <c r="H42" s="161">
        <v>6285569</v>
      </c>
      <c r="I42" s="192" t="s">
        <v>191</v>
      </c>
      <c r="J42" s="145" t="str">
        <f t="shared" si="0"/>
        <v/>
      </c>
      <c r="K42" s="145" t="str">
        <f t="shared" si="1"/>
        <v/>
      </c>
      <c r="L42" s="171"/>
      <c r="M42" s="110"/>
      <c r="N42" s="110"/>
      <c r="O42" s="230"/>
      <c r="P42" s="227"/>
      <c r="Q42" s="227"/>
      <c r="R42" s="227"/>
      <c r="S42" s="228"/>
      <c r="T42" s="231"/>
      <c r="U42" s="227"/>
      <c r="V42" s="227"/>
      <c r="W42" s="229"/>
      <c r="Y42" s="209"/>
    </row>
    <row r="43" spans="1:25" s="127" customFormat="1" ht="18" customHeight="1" x14ac:dyDescent="0.3">
      <c r="A43" s="26"/>
      <c r="B43" s="160" t="s">
        <v>1340</v>
      </c>
      <c r="C43" s="161" t="s">
        <v>135</v>
      </c>
      <c r="D43" s="161" t="s">
        <v>140</v>
      </c>
      <c r="E43" s="161" t="s">
        <v>163</v>
      </c>
      <c r="F43" s="241">
        <v>0</v>
      </c>
      <c r="G43" s="161">
        <v>180916</v>
      </c>
      <c r="H43" s="161">
        <v>6128489</v>
      </c>
      <c r="I43" s="192" t="s">
        <v>191</v>
      </c>
      <c r="J43" s="145" t="str">
        <f t="shared" si="0"/>
        <v/>
      </c>
      <c r="K43" s="145" t="str">
        <f t="shared" si="1"/>
        <v/>
      </c>
      <c r="L43" s="171"/>
      <c r="M43" s="110"/>
      <c r="N43" s="110"/>
      <c r="O43" s="230"/>
      <c r="P43" s="227"/>
      <c r="Q43" s="227"/>
      <c r="R43" s="227"/>
      <c r="S43" s="228"/>
      <c r="T43" s="231"/>
      <c r="U43" s="227"/>
      <c r="V43" s="227"/>
      <c r="W43" s="229"/>
      <c r="Y43" s="209"/>
    </row>
    <row r="44" spans="1:25" s="127" customFormat="1" ht="18" customHeight="1" x14ac:dyDescent="0.3">
      <c r="A44" s="26"/>
      <c r="B44" s="160" t="s">
        <v>1341</v>
      </c>
      <c r="C44" s="161" t="s">
        <v>137</v>
      </c>
      <c r="D44" s="161" t="s">
        <v>1327</v>
      </c>
      <c r="E44" s="161" t="s">
        <v>1342</v>
      </c>
      <c r="F44" s="241">
        <v>194467</v>
      </c>
      <c r="G44" s="161">
        <v>0</v>
      </c>
      <c r="H44" s="161">
        <v>6075509</v>
      </c>
      <c r="I44" s="192" t="s">
        <v>190</v>
      </c>
      <c r="J44" s="145" t="str">
        <f t="shared" si="0"/>
        <v/>
      </c>
      <c r="K44" s="145" t="str">
        <f t="shared" si="1"/>
        <v/>
      </c>
      <c r="L44" s="171" t="s">
        <v>827</v>
      </c>
      <c r="M44" s="110"/>
      <c r="N44" s="110"/>
      <c r="O44" s="230"/>
      <c r="P44" s="227"/>
      <c r="Q44" s="227"/>
      <c r="R44" s="227"/>
      <c r="S44" s="228"/>
      <c r="T44" s="231"/>
      <c r="U44" s="227"/>
      <c r="V44" s="227"/>
      <c r="W44" s="229"/>
      <c r="Y44" s="209"/>
    </row>
    <row r="45" spans="1:25" s="127" customFormat="1" ht="18" customHeight="1" x14ac:dyDescent="0.3">
      <c r="A45" s="26"/>
      <c r="B45" s="160" t="s">
        <v>1341</v>
      </c>
      <c r="C45" s="161" t="s">
        <v>137</v>
      </c>
      <c r="D45" s="161" t="s">
        <v>1327</v>
      </c>
      <c r="E45" s="161" t="s">
        <v>1343</v>
      </c>
      <c r="F45" s="241">
        <v>62593</v>
      </c>
      <c r="G45" s="161">
        <v>0</v>
      </c>
      <c r="H45" s="161">
        <v>6269976</v>
      </c>
      <c r="I45" s="192" t="s">
        <v>190</v>
      </c>
      <c r="J45" s="145" t="str">
        <f t="shared" si="0"/>
        <v/>
      </c>
      <c r="K45" s="145" t="str">
        <f t="shared" si="1"/>
        <v/>
      </c>
      <c r="L45" s="171" t="s">
        <v>827</v>
      </c>
      <c r="M45" s="110"/>
      <c r="N45" s="110"/>
      <c r="O45" s="230"/>
      <c r="P45" s="227"/>
      <c r="Q45" s="227"/>
      <c r="R45" s="227"/>
      <c r="S45" s="228"/>
      <c r="T45" s="231"/>
      <c r="U45" s="227"/>
      <c r="V45" s="227"/>
      <c r="W45" s="229"/>
      <c r="Y45" s="209"/>
    </row>
    <row r="46" spans="1:25" s="127" customFormat="1" ht="18" customHeight="1" x14ac:dyDescent="0.3">
      <c r="A46" s="26"/>
      <c r="B46" s="160" t="s">
        <v>1341</v>
      </c>
      <c r="C46" s="161" t="s">
        <v>219</v>
      </c>
      <c r="D46" s="161" t="s">
        <v>241</v>
      </c>
      <c r="E46" s="161" t="s">
        <v>163</v>
      </c>
      <c r="F46" s="241">
        <v>0</v>
      </c>
      <c r="G46" s="161">
        <v>47000</v>
      </c>
      <c r="H46" s="161">
        <v>6332569</v>
      </c>
      <c r="I46" s="192" t="s">
        <v>191</v>
      </c>
      <c r="J46" s="145" t="str">
        <f t="shared" si="0"/>
        <v/>
      </c>
      <c r="K46" s="145" t="str">
        <f t="shared" si="1"/>
        <v/>
      </c>
      <c r="L46" s="171"/>
      <c r="M46" s="110"/>
      <c r="N46" s="110"/>
      <c r="O46" s="230"/>
      <c r="P46" s="227"/>
      <c r="Q46" s="227"/>
      <c r="R46" s="227"/>
      <c r="S46" s="228"/>
      <c r="T46" s="231"/>
      <c r="U46" s="227"/>
      <c r="V46" s="227"/>
      <c r="W46" s="229"/>
    </row>
    <row r="47" spans="1:25" s="127" customFormat="1" ht="18" customHeight="1" x14ac:dyDescent="0.3">
      <c r="A47" s="26"/>
      <c r="B47" s="160" t="s">
        <v>1344</v>
      </c>
      <c r="C47" s="161" t="s">
        <v>135</v>
      </c>
      <c r="D47" s="161" t="s">
        <v>139</v>
      </c>
      <c r="E47" s="161" t="s">
        <v>163</v>
      </c>
      <c r="F47" s="241">
        <v>48830</v>
      </c>
      <c r="G47" s="161">
        <v>0</v>
      </c>
      <c r="H47" s="161">
        <v>6026679</v>
      </c>
      <c r="I47" s="192" t="s">
        <v>8</v>
      </c>
      <c r="J47" s="145" t="str">
        <f t="shared" si="0"/>
        <v>Fact 3557,3549,3510,3443,3328,</v>
      </c>
      <c r="K47" s="145" t="str">
        <f t="shared" si="1"/>
        <v xml:space="preserve">Panaderia La Franchuteria                    </v>
      </c>
      <c r="L47" s="171"/>
      <c r="M47" s="171"/>
      <c r="N47" s="110"/>
      <c r="O47" s="230"/>
      <c r="P47" s="227"/>
      <c r="Q47" s="227"/>
      <c r="R47" s="227"/>
      <c r="S47" s="228"/>
      <c r="T47" s="231"/>
      <c r="U47" s="227"/>
      <c r="V47" s="227"/>
      <c r="W47" s="229"/>
    </row>
    <row r="48" spans="1:25" s="127" customFormat="1" ht="18" customHeight="1" x14ac:dyDescent="0.3">
      <c r="A48" s="26"/>
      <c r="B48" s="160" t="s">
        <v>1345</v>
      </c>
      <c r="C48" s="161" t="s">
        <v>135</v>
      </c>
      <c r="D48" s="161" t="s">
        <v>140</v>
      </c>
      <c r="E48" s="161" t="s">
        <v>163</v>
      </c>
      <c r="F48" s="241">
        <v>0</v>
      </c>
      <c r="G48" s="161">
        <v>5000000</v>
      </c>
      <c r="H48" s="161">
        <v>11026679</v>
      </c>
      <c r="I48" s="192" t="s">
        <v>147</v>
      </c>
      <c r="J48" s="145" t="str">
        <f t="shared" si="0"/>
        <v/>
      </c>
      <c r="K48" s="145" t="str">
        <f t="shared" si="1"/>
        <v/>
      </c>
      <c r="L48" s="171"/>
      <c r="M48" s="171"/>
      <c r="N48" s="110"/>
      <c r="O48" s="230"/>
      <c r="P48" s="227"/>
      <c r="Q48" s="227"/>
      <c r="R48" s="227"/>
      <c r="S48" s="228"/>
      <c r="T48" s="231"/>
      <c r="U48" s="227"/>
      <c r="V48" s="227"/>
      <c r="W48" s="229"/>
    </row>
    <row r="49" spans="1:23" s="146" customFormat="1" ht="18" customHeight="1" x14ac:dyDescent="0.3">
      <c r="A49" s="26"/>
      <c r="B49" s="160" t="s">
        <v>1346</v>
      </c>
      <c r="C49" s="161" t="s">
        <v>219</v>
      </c>
      <c r="D49" s="161" t="s">
        <v>241</v>
      </c>
      <c r="E49" s="161" t="s">
        <v>163</v>
      </c>
      <c r="F49" s="241">
        <v>0</v>
      </c>
      <c r="G49" s="161">
        <v>6000</v>
      </c>
      <c r="H49" s="161">
        <v>3700599</v>
      </c>
      <c r="I49" s="192" t="s">
        <v>191</v>
      </c>
      <c r="J49" s="145" t="str">
        <f t="shared" si="0"/>
        <v/>
      </c>
      <c r="K49" s="145" t="str">
        <f t="shared" si="1"/>
        <v/>
      </c>
      <c r="L49" s="171"/>
      <c r="M49" s="171"/>
      <c r="N49" s="110"/>
      <c r="O49" s="230"/>
      <c r="P49" s="227"/>
      <c r="Q49" s="227"/>
      <c r="R49" s="227"/>
      <c r="S49" s="228"/>
      <c r="T49" s="231"/>
      <c r="U49" s="227"/>
      <c r="V49" s="227"/>
      <c r="W49" s="229"/>
    </row>
    <row r="50" spans="1:23" s="146" customFormat="1" ht="18" customHeight="1" x14ac:dyDescent="0.3">
      <c r="A50" s="26"/>
      <c r="B50" s="160" t="s">
        <v>1346</v>
      </c>
      <c r="C50" s="161" t="s">
        <v>135</v>
      </c>
      <c r="D50" s="161" t="s">
        <v>136</v>
      </c>
      <c r="E50" s="161" t="s">
        <v>163</v>
      </c>
      <c r="F50" s="241">
        <v>1301507</v>
      </c>
      <c r="G50" s="161">
        <v>0</v>
      </c>
      <c r="H50" s="161">
        <v>3694599</v>
      </c>
      <c r="I50" s="192" t="s">
        <v>30</v>
      </c>
      <c r="J50" s="145" t="str">
        <f t="shared" si="0"/>
        <v>Sueldo Abr19</v>
      </c>
      <c r="K50" s="145" t="str">
        <f t="shared" si="1"/>
        <v xml:space="preserve">Angelica Ramirez Muñoz                       </v>
      </c>
      <c r="L50" s="171"/>
      <c r="M50" s="171"/>
      <c r="N50" s="110"/>
      <c r="O50" s="230"/>
      <c r="P50" s="227"/>
      <c r="Q50" s="227"/>
      <c r="R50" s="227"/>
      <c r="S50" s="228"/>
      <c r="T50" s="231"/>
      <c r="U50" s="227"/>
      <c r="V50" s="227"/>
      <c r="W50" s="229"/>
    </row>
    <row r="51" spans="1:23" s="146" customFormat="1" ht="18" customHeight="1" x14ac:dyDescent="0.3">
      <c r="A51" s="26"/>
      <c r="B51" s="160" t="s">
        <v>1346</v>
      </c>
      <c r="C51" s="161" t="s">
        <v>135</v>
      </c>
      <c r="D51" s="161" t="s">
        <v>136</v>
      </c>
      <c r="E51" s="161" t="s">
        <v>163</v>
      </c>
      <c r="F51" s="241">
        <v>1163517</v>
      </c>
      <c r="G51" s="161">
        <v>0</v>
      </c>
      <c r="H51" s="161">
        <v>4996106</v>
      </c>
      <c r="I51" s="192" t="s">
        <v>30</v>
      </c>
      <c r="J51" s="145" t="str">
        <f t="shared" si="0"/>
        <v>Sueldo Abr19</v>
      </c>
      <c r="K51" s="145" t="str">
        <f t="shared" si="1"/>
        <v xml:space="preserve">Mara Jose Paez Zumaran                       </v>
      </c>
      <c r="L51" s="171"/>
      <c r="M51" s="171"/>
      <c r="N51" s="110"/>
      <c r="O51" s="230"/>
      <c r="P51" s="227"/>
      <c r="Q51" s="227"/>
      <c r="R51" s="227"/>
      <c r="S51" s="228"/>
      <c r="T51" s="231"/>
      <c r="U51" s="227"/>
      <c r="V51" s="227"/>
      <c r="W51" s="229"/>
    </row>
    <row r="52" spans="1:23" s="146" customFormat="1" ht="18" customHeight="1" x14ac:dyDescent="0.3">
      <c r="A52" s="26"/>
      <c r="B52" s="160" t="s">
        <v>1346</v>
      </c>
      <c r="C52" s="161" t="s">
        <v>135</v>
      </c>
      <c r="D52" s="161" t="s">
        <v>136</v>
      </c>
      <c r="E52" s="161" t="s">
        <v>163</v>
      </c>
      <c r="F52" s="241">
        <v>617440</v>
      </c>
      <c r="G52" s="161">
        <v>0</v>
      </c>
      <c r="H52" s="161">
        <v>6159623</v>
      </c>
      <c r="I52" s="192" t="s">
        <v>30</v>
      </c>
      <c r="J52" s="145" t="str">
        <f t="shared" si="0"/>
        <v>Sueldo Abr19</v>
      </c>
      <c r="K52" s="145" t="str">
        <f t="shared" si="1"/>
        <v xml:space="preserve">Carlos Moscoso                               </v>
      </c>
      <c r="L52" s="171"/>
      <c r="M52" s="171"/>
      <c r="N52" s="110"/>
      <c r="O52" s="230"/>
      <c r="P52" s="227"/>
      <c r="Q52" s="227"/>
      <c r="R52" s="227"/>
      <c r="S52" s="228"/>
      <c r="T52" s="231"/>
      <c r="U52" s="227"/>
      <c r="V52" s="227"/>
      <c r="W52" s="229"/>
    </row>
    <row r="53" spans="1:23" s="146" customFormat="1" ht="18" customHeight="1" x14ac:dyDescent="0.3">
      <c r="A53" s="26"/>
      <c r="B53" s="160" t="s">
        <v>1346</v>
      </c>
      <c r="C53" s="161" t="s">
        <v>135</v>
      </c>
      <c r="D53" s="161" t="s">
        <v>136</v>
      </c>
      <c r="E53" s="161" t="s">
        <v>163</v>
      </c>
      <c r="F53" s="241">
        <v>532629</v>
      </c>
      <c r="G53" s="161">
        <v>0</v>
      </c>
      <c r="H53" s="161">
        <v>6777063</v>
      </c>
      <c r="I53" s="192" t="s">
        <v>30</v>
      </c>
      <c r="J53" s="145" t="str">
        <f t="shared" si="0"/>
        <v>Sueldo Abr19</v>
      </c>
      <c r="K53" s="145" t="str">
        <f t="shared" si="1"/>
        <v xml:space="preserve">Alexi Muchairo Manu                          </v>
      </c>
      <c r="L53" s="171"/>
      <c r="M53" s="171"/>
      <c r="N53" s="110"/>
      <c r="O53" s="209"/>
      <c r="P53" s="209"/>
      <c r="Q53" s="209"/>
      <c r="R53" s="209"/>
      <c r="S53" s="209"/>
      <c r="T53" s="209"/>
      <c r="U53" s="209"/>
      <c r="V53" s="209"/>
      <c r="W53" s="209"/>
    </row>
    <row r="54" spans="1:23" s="146" customFormat="1" ht="18" customHeight="1" x14ac:dyDescent="0.3">
      <c r="A54" s="26"/>
      <c r="B54" s="160" t="s">
        <v>1346</v>
      </c>
      <c r="C54" s="161" t="s">
        <v>135</v>
      </c>
      <c r="D54" s="161" t="s">
        <v>136</v>
      </c>
      <c r="E54" s="161" t="s">
        <v>163</v>
      </c>
      <c r="F54" s="241">
        <v>448000</v>
      </c>
      <c r="G54" s="161">
        <v>0</v>
      </c>
      <c r="H54" s="161">
        <v>7309692</v>
      </c>
      <c r="I54" s="192" t="s">
        <v>30</v>
      </c>
      <c r="J54" s="145" t="str">
        <f t="shared" si="0"/>
        <v>Sueldo Abr19</v>
      </c>
      <c r="K54" s="145" t="str">
        <f t="shared" si="1"/>
        <v xml:space="preserve">Norma Gavia                                  </v>
      </c>
      <c r="L54" s="171"/>
      <c r="M54" s="171"/>
      <c r="N54" s="110"/>
      <c r="O54" s="209"/>
      <c r="P54" s="209"/>
      <c r="Q54" s="209"/>
      <c r="R54" s="209"/>
      <c r="S54" s="209"/>
      <c r="T54" s="209"/>
      <c r="U54" s="209"/>
      <c r="V54" s="209"/>
      <c r="W54" s="209"/>
    </row>
    <row r="55" spans="1:23" s="146" customFormat="1" ht="18" customHeight="1" x14ac:dyDescent="0.3">
      <c r="A55" s="26"/>
      <c r="B55" s="160" t="s">
        <v>1346</v>
      </c>
      <c r="C55" s="161" t="s">
        <v>135</v>
      </c>
      <c r="D55" s="161" t="s">
        <v>136</v>
      </c>
      <c r="E55" s="161" t="s">
        <v>163</v>
      </c>
      <c r="F55" s="241">
        <v>256000</v>
      </c>
      <c r="G55" s="161">
        <v>0</v>
      </c>
      <c r="H55" s="161">
        <v>7757692</v>
      </c>
      <c r="I55" s="192" t="s">
        <v>30</v>
      </c>
      <c r="J55" s="145" t="str">
        <f t="shared" si="0"/>
        <v>Sueldo Abr19</v>
      </c>
      <c r="K55" s="145" t="str">
        <f t="shared" si="1"/>
        <v xml:space="preserve">Joel Aruquipa                                </v>
      </c>
      <c r="L55" s="171"/>
      <c r="M55" s="171"/>
      <c r="N55" s="110"/>
      <c r="O55" s="209"/>
      <c r="P55" s="209"/>
      <c r="Q55" s="209"/>
      <c r="R55" s="209"/>
      <c r="S55" s="209"/>
      <c r="T55" s="209"/>
      <c r="U55" s="209"/>
      <c r="V55" s="209"/>
      <c r="W55" s="209"/>
    </row>
    <row r="56" spans="1:23" s="146" customFormat="1" ht="18" customHeight="1" x14ac:dyDescent="0.3">
      <c r="A56" s="26"/>
      <c r="B56" s="160" t="s">
        <v>1346</v>
      </c>
      <c r="C56" s="161" t="s">
        <v>135</v>
      </c>
      <c r="D56" s="161" t="s">
        <v>136</v>
      </c>
      <c r="E56" s="161" t="s">
        <v>163</v>
      </c>
      <c r="F56" s="241">
        <v>80000</v>
      </c>
      <c r="G56" s="161">
        <v>0</v>
      </c>
      <c r="H56" s="161">
        <v>8013692</v>
      </c>
      <c r="I56" s="192" t="s">
        <v>30</v>
      </c>
      <c r="J56" s="145" t="str">
        <f t="shared" si="0"/>
        <v>Sueldo Abr19</v>
      </c>
      <c r="K56" s="145" t="str">
        <f t="shared" si="1"/>
        <v xml:space="preserve">Diego Maldonado                              </v>
      </c>
      <c r="L56" s="171"/>
      <c r="M56" s="171"/>
      <c r="N56" s="110"/>
      <c r="O56" s="209"/>
      <c r="P56" s="209"/>
      <c r="Q56" s="209"/>
      <c r="R56" s="209"/>
      <c r="S56" s="209"/>
      <c r="T56" s="209"/>
      <c r="U56" s="209"/>
      <c r="V56" s="209"/>
      <c r="W56" s="209"/>
    </row>
    <row r="57" spans="1:23" s="209" customFormat="1" ht="18" customHeight="1" x14ac:dyDescent="0.3">
      <c r="A57" s="26"/>
      <c r="B57" s="160" t="s">
        <v>1346</v>
      </c>
      <c r="C57" s="161" t="s">
        <v>135</v>
      </c>
      <c r="D57" s="161" t="s">
        <v>136</v>
      </c>
      <c r="E57" s="161" t="s">
        <v>163</v>
      </c>
      <c r="F57" s="241">
        <v>467886</v>
      </c>
      <c r="G57" s="161">
        <v>0</v>
      </c>
      <c r="H57" s="161">
        <v>8093692</v>
      </c>
      <c r="I57" s="192" t="s">
        <v>30</v>
      </c>
      <c r="J57" s="145" t="str">
        <f t="shared" si="0"/>
        <v>Sueldo Abr19</v>
      </c>
      <c r="K57" s="145" t="str">
        <f t="shared" si="1"/>
        <v xml:space="preserve">Silvia Perez Ibarra                          </v>
      </c>
      <c r="L57" s="171"/>
      <c r="M57" s="171"/>
      <c r="N57" s="110"/>
    </row>
    <row r="58" spans="1:23" s="209" customFormat="1" ht="18" customHeight="1" x14ac:dyDescent="0.3">
      <c r="A58" s="26"/>
      <c r="B58" s="160" t="s">
        <v>1346</v>
      </c>
      <c r="C58" s="161" t="s">
        <v>135</v>
      </c>
      <c r="D58" s="161" t="s">
        <v>136</v>
      </c>
      <c r="E58" s="161" t="s">
        <v>163</v>
      </c>
      <c r="F58" s="241">
        <v>308051</v>
      </c>
      <c r="G58" s="161">
        <v>0</v>
      </c>
      <c r="H58" s="161">
        <v>8561578</v>
      </c>
      <c r="I58" s="192" t="s">
        <v>30</v>
      </c>
      <c r="J58" s="145" t="str">
        <f t="shared" si="0"/>
        <v>Sueldo Abr19</v>
      </c>
      <c r="K58" s="145" t="str">
        <f t="shared" si="1"/>
        <v xml:space="preserve">Cristina Casanovas                           </v>
      </c>
      <c r="L58" s="171"/>
      <c r="M58" s="171"/>
      <c r="N58" s="110"/>
    </row>
    <row r="59" spans="1:23" s="209" customFormat="1" ht="18" customHeight="1" x14ac:dyDescent="0.3">
      <c r="A59" s="26"/>
      <c r="B59" s="160" t="s">
        <v>1346</v>
      </c>
      <c r="C59" s="161" t="s">
        <v>135</v>
      </c>
      <c r="D59" s="161" t="s">
        <v>136</v>
      </c>
      <c r="E59" s="161" t="s">
        <v>163</v>
      </c>
      <c r="F59" s="241">
        <v>112000</v>
      </c>
      <c r="G59" s="161">
        <v>0</v>
      </c>
      <c r="H59" s="161">
        <v>8869629</v>
      </c>
      <c r="I59" s="192" t="s">
        <v>30</v>
      </c>
      <c r="J59" s="145" t="str">
        <f t="shared" si="0"/>
        <v>Sueldo Abr19</v>
      </c>
      <c r="K59" s="145" t="str">
        <f t="shared" si="1"/>
        <v xml:space="preserve">Francisco Vargas                             </v>
      </c>
      <c r="L59" s="171"/>
      <c r="M59" s="171"/>
      <c r="N59" s="110"/>
    </row>
    <row r="60" spans="1:23" s="209" customFormat="1" ht="18" customHeight="1" x14ac:dyDescent="0.3">
      <c r="A60" s="26"/>
      <c r="B60" s="160" t="s">
        <v>1346</v>
      </c>
      <c r="C60" s="161" t="s">
        <v>135</v>
      </c>
      <c r="D60" s="161" t="s">
        <v>136</v>
      </c>
      <c r="E60" s="161" t="s">
        <v>163</v>
      </c>
      <c r="F60" s="241">
        <v>241636</v>
      </c>
      <c r="G60" s="161">
        <v>0</v>
      </c>
      <c r="H60" s="161">
        <v>8981629</v>
      </c>
      <c r="I60" s="192" t="s">
        <v>30</v>
      </c>
      <c r="J60" s="145" t="str">
        <f t="shared" si="0"/>
        <v>Sueldo Abr19</v>
      </c>
      <c r="K60" s="145" t="str">
        <f t="shared" si="1"/>
        <v xml:space="preserve">Luis Arias                                   </v>
      </c>
      <c r="L60" s="171"/>
      <c r="M60" s="171"/>
      <c r="N60" s="110"/>
    </row>
    <row r="61" spans="1:23" s="209" customFormat="1" ht="18" customHeight="1" x14ac:dyDescent="0.3">
      <c r="A61" s="26"/>
      <c r="B61" s="160" t="s">
        <v>1346</v>
      </c>
      <c r="C61" s="161" t="s">
        <v>135</v>
      </c>
      <c r="D61" s="161" t="s">
        <v>139</v>
      </c>
      <c r="E61" s="161" t="s">
        <v>163</v>
      </c>
      <c r="F61" s="241">
        <v>126000</v>
      </c>
      <c r="G61" s="161">
        <v>0</v>
      </c>
      <c r="H61" s="161">
        <v>9223265</v>
      </c>
      <c r="I61" s="192" t="s">
        <v>30</v>
      </c>
      <c r="J61" s="145" t="str">
        <f t="shared" si="0"/>
        <v>Sueldo Abr19</v>
      </c>
      <c r="K61" s="145" t="str">
        <f t="shared" si="1"/>
        <v xml:space="preserve">Ausberto Vilacagua Lenis                     </v>
      </c>
      <c r="L61" s="171"/>
      <c r="M61" s="171"/>
      <c r="N61" s="110"/>
    </row>
    <row r="62" spans="1:23" s="209" customFormat="1" ht="18" customHeight="1" x14ac:dyDescent="0.3">
      <c r="A62" s="26"/>
      <c r="B62" s="160" t="s">
        <v>1346</v>
      </c>
      <c r="C62" s="161" t="s">
        <v>135</v>
      </c>
      <c r="D62" s="161" t="s">
        <v>136</v>
      </c>
      <c r="E62" s="161" t="s">
        <v>163</v>
      </c>
      <c r="F62" s="241">
        <v>354664</v>
      </c>
      <c r="G62" s="161">
        <v>0</v>
      </c>
      <c r="H62" s="161">
        <v>9349265</v>
      </c>
      <c r="I62" s="192" t="s">
        <v>30</v>
      </c>
      <c r="J62" s="145" t="str">
        <f t="shared" si="0"/>
        <v>Sueldo Abr19</v>
      </c>
      <c r="K62" s="145" t="str">
        <f t="shared" si="1"/>
        <v xml:space="preserve">Ana Cruz Varas                               </v>
      </c>
      <c r="L62" s="171"/>
      <c r="M62" s="171"/>
      <c r="N62" s="110"/>
    </row>
    <row r="63" spans="1:23" s="209" customFormat="1" ht="18" customHeight="1" x14ac:dyDescent="0.3">
      <c r="A63" s="26"/>
      <c r="B63" s="160" t="s">
        <v>1346</v>
      </c>
      <c r="C63" s="161" t="s">
        <v>135</v>
      </c>
      <c r="D63" s="161" t="s">
        <v>136</v>
      </c>
      <c r="E63" s="161" t="s">
        <v>163</v>
      </c>
      <c r="F63" s="241">
        <v>516978</v>
      </c>
      <c r="G63" s="161">
        <v>0</v>
      </c>
      <c r="H63" s="161">
        <v>9703929</v>
      </c>
      <c r="I63" s="192" t="s">
        <v>30</v>
      </c>
      <c r="J63" s="145" t="str">
        <f t="shared" si="0"/>
        <v>Sueldo Abr19</v>
      </c>
      <c r="K63" s="145" t="str">
        <f t="shared" si="1"/>
        <v xml:space="preserve">Juany Estelo Cruz                            </v>
      </c>
      <c r="L63" s="171"/>
      <c r="M63" s="110"/>
      <c r="N63" s="110"/>
    </row>
    <row r="64" spans="1:23" s="209" customFormat="1" ht="18" customHeight="1" x14ac:dyDescent="0.3">
      <c r="A64" s="26"/>
      <c r="B64" s="160" t="s">
        <v>1346</v>
      </c>
      <c r="C64" s="161" t="s">
        <v>135</v>
      </c>
      <c r="D64" s="161" t="s">
        <v>136</v>
      </c>
      <c r="E64" s="161" t="s">
        <v>163</v>
      </c>
      <c r="F64" s="241">
        <v>48000</v>
      </c>
      <c r="G64" s="161">
        <v>0</v>
      </c>
      <c r="H64" s="161">
        <v>10220907</v>
      </c>
      <c r="I64" s="192" t="s">
        <v>30</v>
      </c>
      <c r="J64" s="145" t="str">
        <f t="shared" si="0"/>
        <v>Sueldo Abr19</v>
      </c>
      <c r="K64" s="145" t="str">
        <f t="shared" si="1"/>
        <v xml:space="preserve">Leslie Canaviri                              </v>
      </c>
      <c r="L64" s="171"/>
      <c r="M64" s="110"/>
      <c r="N64" s="110"/>
    </row>
    <row r="65" spans="1:23" s="209" customFormat="1" ht="18" customHeight="1" x14ac:dyDescent="0.3">
      <c r="A65" s="26"/>
      <c r="B65" s="160" t="s">
        <v>1346</v>
      </c>
      <c r="C65" s="161" t="s">
        <v>135</v>
      </c>
      <c r="D65" s="161" t="s">
        <v>136</v>
      </c>
      <c r="E65" s="161" t="s">
        <v>163</v>
      </c>
      <c r="F65" s="161">
        <v>144000</v>
      </c>
      <c r="G65" s="161">
        <v>0</v>
      </c>
      <c r="H65" s="161">
        <v>10268907</v>
      </c>
      <c r="I65" s="192" t="s">
        <v>30</v>
      </c>
      <c r="J65" s="145" t="str">
        <f t="shared" si="0"/>
        <v>Sueldo Abr19</v>
      </c>
      <c r="K65" s="145" t="str">
        <f t="shared" si="1"/>
        <v xml:space="preserve">Marcela Camata                               </v>
      </c>
      <c r="L65" s="171"/>
      <c r="M65" s="110"/>
      <c r="N65" s="110"/>
    </row>
    <row r="66" spans="1:23" s="209" customFormat="1" ht="18" customHeight="1" x14ac:dyDescent="0.3">
      <c r="A66" s="26"/>
      <c r="B66" s="160" t="s">
        <v>1346</v>
      </c>
      <c r="C66" s="161" t="s">
        <v>135</v>
      </c>
      <c r="D66" s="161" t="s">
        <v>136</v>
      </c>
      <c r="E66" s="161" t="s">
        <v>163</v>
      </c>
      <c r="F66" s="161">
        <v>613772</v>
      </c>
      <c r="G66" s="161">
        <v>0</v>
      </c>
      <c r="H66" s="161">
        <v>10412907</v>
      </c>
      <c r="I66" s="192" t="s">
        <v>30</v>
      </c>
      <c r="J66" s="145" t="str">
        <f t="shared" si="0"/>
        <v>Sueldo Abr19</v>
      </c>
      <c r="K66" s="145" t="str">
        <f t="shared" si="1"/>
        <v xml:space="preserve">Leticia Alessi                               </v>
      </c>
      <c r="L66" s="171"/>
      <c r="M66" s="110"/>
      <c r="N66" s="110"/>
    </row>
    <row r="67" spans="1:23" s="209" customFormat="1" ht="18" customHeight="1" x14ac:dyDescent="0.3">
      <c r="A67" s="26"/>
      <c r="B67" s="160"/>
      <c r="C67" s="161"/>
      <c r="D67" s="161"/>
      <c r="E67" s="161"/>
      <c r="F67" s="161"/>
      <c r="G67" s="161"/>
      <c r="H67" s="161"/>
      <c r="I67" s="192"/>
      <c r="J67" s="145" t="str">
        <f t="shared" si="0"/>
        <v/>
      </c>
      <c r="K67" s="145" t="str">
        <f t="shared" si="1"/>
        <v/>
      </c>
      <c r="L67" s="171"/>
      <c r="M67" s="110"/>
      <c r="N67" s="110"/>
    </row>
    <row r="68" spans="1:23" s="209" customFormat="1" ht="18" customHeight="1" x14ac:dyDescent="0.3">
      <c r="A68" s="26"/>
      <c r="B68" s="160"/>
      <c r="C68" s="161"/>
      <c r="D68" s="161"/>
      <c r="E68" s="161"/>
      <c r="F68" s="161"/>
      <c r="G68" s="161"/>
      <c r="H68" s="161"/>
      <c r="I68" s="192"/>
      <c r="J68" s="145" t="str">
        <f t="shared" ref="J68" si="2">IFERROR(VLOOKUP(-F68,$T$3:$W$50,4,FALSE),"")</f>
        <v/>
      </c>
      <c r="K68" s="145" t="str">
        <f t="shared" ref="K68" si="3">IFERROR(VLOOKUP(-F68,$T$3:$W$50,3,FALSE),"")</f>
        <v/>
      </c>
      <c r="L68" s="171"/>
      <c r="M68" s="110"/>
      <c r="N68" s="110"/>
    </row>
    <row r="69" spans="1:23" s="209" customFormat="1" ht="18" customHeight="1" x14ac:dyDescent="0.3">
      <c r="A69" s="26"/>
      <c r="B69" s="160"/>
      <c r="C69" s="161"/>
      <c r="D69" s="161"/>
      <c r="E69" s="161"/>
      <c r="F69" s="161"/>
      <c r="G69" s="161"/>
      <c r="H69" s="161"/>
      <c r="I69" s="192"/>
      <c r="J69" s="145" t="str">
        <f t="shared" ref="J69:J71" si="4">IFERROR(VLOOKUP(-F69,$T$3:$W$50,4,FALSE),"")</f>
        <v/>
      </c>
      <c r="K69" s="145" t="str">
        <f t="shared" ref="K69:K71" si="5">IFERROR(VLOOKUP(-F69,$T$3:$W$50,3,FALSE),"")</f>
        <v/>
      </c>
      <c r="L69" s="171"/>
      <c r="M69" s="110"/>
      <c r="N69" s="110"/>
    </row>
    <row r="70" spans="1:23" s="209" customFormat="1" ht="18" customHeight="1" x14ac:dyDescent="0.3">
      <c r="A70" s="26"/>
      <c r="B70" s="160"/>
      <c r="C70" s="161"/>
      <c r="D70" s="161"/>
      <c r="E70" s="161"/>
      <c r="F70" s="161"/>
      <c r="G70" s="161"/>
      <c r="H70" s="161"/>
      <c r="I70" s="192"/>
      <c r="J70" s="145" t="str">
        <f t="shared" si="4"/>
        <v/>
      </c>
      <c r="K70" s="145" t="str">
        <f t="shared" si="5"/>
        <v/>
      </c>
      <c r="L70" s="171"/>
      <c r="M70" s="110"/>
      <c r="N70" s="110"/>
    </row>
    <row r="71" spans="1:23" s="209" customFormat="1" ht="18" customHeight="1" x14ac:dyDescent="0.3">
      <c r="A71" s="26"/>
      <c r="B71" s="160"/>
      <c r="C71" s="161"/>
      <c r="D71" s="161"/>
      <c r="E71" s="161"/>
      <c r="F71" s="161"/>
      <c r="G71" s="161"/>
      <c r="H71" s="161"/>
      <c r="I71" s="192"/>
      <c r="J71" s="145" t="str">
        <f t="shared" si="4"/>
        <v/>
      </c>
      <c r="K71" s="145" t="str">
        <f t="shared" si="5"/>
        <v/>
      </c>
      <c r="L71" s="171"/>
      <c r="M71" s="110"/>
      <c r="N71" s="110"/>
    </row>
    <row r="72" spans="1:23" s="209" customFormat="1" ht="18" customHeight="1" x14ac:dyDescent="0.3">
      <c r="A72" s="26"/>
      <c r="B72" s="160"/>
      <c r="C72" s="161"/>
      <c r="D72" s="161"/>
      <c r="E72" s="161"/>
      <c r="F72" s="161"/>
      <c r="G72" s="161"/>
      <c r="H72" s="161"/>
      <c r="I72" s="192"/>
      <c r="J72" s="145"/>
      <c r="K72" s="145"/>
      <c r="L72" s="171"/>
      <c r="M72" s="110"/>
      <c r="N72" s="110"/>
    </row>
    <row r="73" spans="1:23" s="209" customFormat="1" ht="18" customHeight="1" x14ac:dyDescent="0.3">
      <c r="A73" s="26"/>
      <c r="B73" s="160"/>
      <c r="C73" s="161"/>
      <c r="D73" s="161"/>
      <c r="E73" s="161"/>
      <c r="F73" s="161"/>
      <c r="G73" s="161"/>
      <c r="H73" s="161"/>
      <c r="I73" s="192"/>
      <c r="J73" s="145"/>
      <c r="K73" s="145"/>
      <c r="L73" s="171"/>
      <c r="M73" s="110"/>
      <c r="N73" s="110"/>
    </row>
    <row r="74" spans="1:23" s="209" customFormat="1" ht="18" customHeight="1" x14ac:dyDescent="0.3">
      <c r="A74" s="26"/>
      <c r="B74" s="160"/>
      <c r="C74" s="161"/>
      <c r="D74" s="161"/>
      <c r="E74" s="161"/>
      <c r="F74" s="161"/>
      <c r="G74" s="161"/>
      <c r="H74" s="161"/>
      <c r="I74" s="192"/>
      <c r="J74" s="145"/>
      <c r="K74" s="145"/>
      <c r="L74" s="171"/>
      <c r="M74" s="110"/>
      <c r="N74" s="110"/>
    </row>
    <row r="75" spans="1:23" s="146" customFormat="1" ht="18" customHeight="1" x14ac:dyDescent="0.3">
      <c r="A75" s="26"/>
      <c r="B75" s="160"/>
      <c r="C75" s="161"/>
      <c r="D75" s="161"/>
      <c r="E75" s="161"/>
      <c r="F75" s="161"/>
      <c r="G75" s="161"/>
      <c r="H75" s="161"/>
      <c r="I75" s="192"/>
      <c r="J75" s="145"/>
      <c r="K75" s="145"/>
      <c r="L75" s="171"/>
      <c r="M75" s="110"/>
      <c r="N75" s="110"/>
      <c r="O75" s="209"/>
      <c r="P75" s="209"/>
      <c r="Q75" s="209"/>
      <c r="R75" s="209"/>
      <c r="S75" s="209"/>
      <c r="T75" s="209"/>
      <c r="U75" s="209"/>
      <c r="V75" s="209"/>
      <c r="W75" s="209"/>
    </row>
    <row r="76" spans="1:23" s="146" customFormat="1" ht="18" customHeight="1" x14ac:dyDescent="0.3">
      <c r="A76" s="26"/>
      <c r="B76" s="160"/>
      <c r="C76" s="161"/>
      <c r="D76" s="161"/>
      <c r="E76" s="161"/>
      <c r="F76" s="161"/>
      <c r="G76" s="161"/>
      <c r="H76" s="161"/>
      <c r="I76" s="192"/>
      <c r="J76" s="145"/>
      <c r="K76" s="145"/>
      <c r="L76" s="171"/>
      <c r="M76" s="110"/>
      <c r="N76" s="110"/>
      <c r="O76" s="209"/>
      <c r="P76" s="209"/>
      <c r="Q76" s="209"/>
      <c r="R76" s="209"/>
      <c r="S76" s="209"/>
      <c r="T76" s="209"/>
      <c r="U76" s="209"/>
      <c r="V76" s="209"/>
      <c r="W76" s="209"/>
    </row>
    <row r="77" spans="1:23" s="146" customFormat="1" ht="18" customHeight="1" x14ac:dyDescent="0.3">
      <c r="A77" s="26"/>
      <c r="B77" s="160"/>
      <c r="C77" s="161"/>
      <c r="D77" s="161"/>
      <c r="E77" s="161"/>
      <c r="F77" s="161"/>
      <c r="G77" s="161"/>
      <c r="H77" s="161"/>
      <c r="I77" s="192"/>
      <c r="J77" s="145"/>
      <c r="K77" s="145"/>
      <c r="L77" s="171"/>
      <c r="M77" s="110"/>
      <c r="N77" s="110"/>
      <c r="O77" s="209"/>
      <c r="P77" s="209"/>
      <c r="Q77" s="209"/>
      <c r="R77" s="209"/>
      <c r="S77" s="209"/>
      <c r="T77" s="209"/>
      <c r="U77" s="209"/>
      <c r="V77" s="209"/>
      <c r="W77" s="209"/>
    </row>
    <row r="78" spans="1:23" s="146" customFormat="1" ht="18" customHeight="1" x14ac:dyDescent="0.3">
      <c r="A78" s="26"/>
      <c r="B78" s="160"/>
      <c r="C78" s="161"/>
      <c r="D78" s="161"/>
      <c r="E78" s="161"/>
      <c r="F78" s="161"/>
      <c r="G78" s="161"/>
      <c r="H78" s="161"/>
      <c r="I78" s="192"/>
      <c r="J78" s="145"/>
      <c r="K78" s="145"/>
      <c r="L78" s="171"/>
      <c r="M78" s="110"/>
      <c r="N78" s="110"/>
      <c r="O78" s="209"/>
      <c r="P78" s="209"/>
      <c r="Q78" s="209"/>
      <c r="R78" s="209"/>
      <c r="S78" s="209"/>
      <c r="T78" s="209"/>
      <c r="U78" s="209"/>
      <c r="V78" s="209"/>
      <c r="W78" s="209"/>
    </row>
    <row r="79" spans="1:23" s="146" customFormat="1" ht="18" customHeight="1" x14ac:dyDescent="0.3">
      <c r="A79" s="26"/>
      <c r="B79" s="160"/>
      <c r="C79" s="161"/>
      <c r="D79" s="161"/>
      <c r="E79" s="161"/>
      <c r="F79" s="161"/>
      <c r="G79" s="161"/>
      <c r="H79" s="161"/>
      <c r="I79" s="192"/>
      <c r="J79" s="145"/>
      <c r="K79" s="145"/>
      <c r="L79" s="171"/>
      <c r="M79" s="110"/>
      <c r="N79" s="110"/>
      <c r="O79" s="209"/>
      <c r="P79" s="209"/>
      <c r="Q79" s="209"/>
      <c r="R79" s="209"/>
      <c r="S79" s="209"/>
      <c r="T79" s="209"/>
      <c r="U79" s="209"/>
      <c r="V79" s="209"/>
      <c r="W79" s="209"/>
    </row>
    <row r="80" spans="1:23" s="146" customFormat="1" ht="18" customHeight="1" x14ac:dyDescent="0.3">
      <c r="A80" s="26"/>
      <c r="B80" s="160"/>
      <c r="C80" s="161"/>
      <c r="D80" s="161"/>
      <c r="E80" s="161"/>
      <c r="F80" s="161"/>
      <c r="G80" s="161"/>
      <c r="H80" s="161"/>
      <c r="I80" s="192"/>
      <c r="J80" s="145" t="str">
        <f t="shared" ref="J80" si="6">IFERROR(VLOOKUP(-F80,$T$3:$W$50,4,FALSE),"")</f>
        <v/>
      </c>
      <c r="K80" s="145" t="str">
        <f t="shared" ref="K80" si="7">IFERROR(VLOOKUP(-F80,$T$3:$W$50,3,FALSE),"")</f>
        <v/>
      </c>
      <c r="L80" s="171"/>
      <c r="M80" s="110"/>
      <c r="N80" s="110"/>
      <c r="O80" s="209"/>
      <c r="P80" s="209"/>
      <c r="Q80" s="209"/>
      <c r="R80" s="209"/>
      <c r="S80" s="209"/>
      <c r="T80" s="209"/>
      <c r="U80" s="209"/>
      <c r="V80" s="209"/>
      <c r="W80" s="209"/>
    </row>
    <row r="81" spans="1:23" s="146" customFormat="1" ht="18" customHeight="1" x14ac:dyDescent="0.3">
      <c r="A81" s="26"/>
      <c r="B81" s="160"/>
      <c r="C81" s="161"/>
      <c r="D81" s="161"/>
      <c r="E81" s="161"/>
      <c r="F81" s="161"/>
      <c r="G81" s="161"/>
      <c r="H81" s="161"/>
      <c r="I81" s="192"/>
      <c r="J81" s="196"/>
      <c r="K81" s="145"/>
      <c r="L81" s="171"/>
      <c r="M81" s="110"/>
      <c r="N81" s="110"/>
      <c r="O81" s="209"/>
      <c r="P81" s="209"/>
      <c r="Q81" s="209"/>
      <c r="R81" s="209"/>
      <c r="S81" s="209"/>
      <c r="T81" s="209"/>
      <c r="U81" s="209"/>
      <c r="V81" s="209"/>
      <c r="W81" s="209"/>
    </row>
    <row r="82" spans="1:23" s="146" customFormat="1" ht="18" customHeight="1" x14ac:dyDescent="0.3">
      <c r="A82" s="26"/>
      <c r="B82" s="160"/>
      <c r="C82" s="161"/>
      <c r="D82" s="161"/>
      <c r="E82" s="161"/>
      <c r="F82" s="161"/>
      <c r="G82" s="161"/>
      <c r="H82" s="161"/>
      <c r="I82" s="192"/>
      <c r="J82" s="196"/>
      <c r="K82" s="145"/>
      <c r="L82" s="171"/>
      <c r="N82" s="110"/>
      <c r="O82" s="209"/>
      <c r="P82" s="209"/>
      <c r="Q82" s="209"/>
      <c r="R82" s="209"/>
      <c r="S82" s="209"/>
      <c r="T82" s="209"/>
      <c r="U82" s="209"/>
      <c r="V82" s="209"/>
      <c r="W82" s="209"/>
    </row>
    <row r="83" spans="1:23" s="146" customFormat="1" ht="18" customHeight="1" x14ac:dyDescent="0.3">
      <c r="A83" s="26"/>
      <c r="B83" s="160"/>
      <c r="C83" s="161"/>
      <c r="D83" s="161"/>
      <c r="E83" s="161"/>
      <c r="F83" s="161"/>
      <c r="G83" s="161"/>
      <c r="H83" s="161"/>
      <c r="I83" s="192"/>
      <c r="J83" s="196"/>
      <c r="K83" s="145"/>
      <c r="L83" s="171"/>
      <c r="N83" s="110"/>
      <c r="O83" s="209"/>
      <c r="P83" s="209"/>
      <c r="Q83" s="209"/>
      <c r="R83" s="209"/>
      <c r="S83" s="209"/>
      <c r="T83" s="209"/>
      <c r="U83" s="209"/>
      <c r="V83" s="209"/>
      <c r="W83" s="209"/>
    </row>
    <row r="84" spans="1:23" s="146" customFormat="1" ht="18" customHeight="1" x14ac:dyDescent="0.3">
      <c r="A84" s="26"/>
      <c r="B84" s="160"/>
      <c r="C84" s="161"/>
      <c r="D84" s="161"/>
      <c r="E84" s="161"/>
      <c r="F84" s="161"/>
      <c r="G84" s="161"/>
      <c r="H84" s="161"/>
      <c r="I84" s="192"/>
      <c r="J84" s="196"/>
      <c r="K84" s="145"/>
      <c r="L84" s="171"/>
      <c r="N84" s="110"/>
      <c r="O84" s="209"/>
      <c r="P84" s="209"/>
      <c r="Q84" s="209"/>
      <c r="R84" s="209"/>
      <c r="S84" s="209"/>
      <c r="T84" s="209"/>
      <c r="U84" s="209"/>
      <c r="V84" s="209"/>
      <c r="W84" s="209"/>
    </row>
    <row r="85" spans="1:23" s="146" customFormat="1" ht="18" customHeight="1" x14ac:dyDescent="0.3">
      <c r="A85" s="26"/>
      <c r="B85" s="160"/>
      <c r="C85" s="161"/>
      <c r="D85" s="161"/>
      <c r="E85" s="161"/>
      <c r="F85" s="161"/>
      <c r="G85" s="161"/>
      <c r="H85" s="161"/>
      <c r="I85" s="192"/>
      <c r="J85" s="196"/>
      <c r="K85" s="145"/>
      <c r="L85" s="171"/>
      <c r="N85" s="110"/>
      <c r="O85" s="209"/>
      <c r="P85" s="209"/>
      <c r="Q85" s="209"/>
      <c r="R85" s="209"/>
      <c r="S85" s="209"/>
      <c r="T85" s="209"/>
      <c r="U85" s="209"/>
      <c r="V85" s="209"/>
      <c r="W85" s="209"/>
    </row>
    <row r="86" spans="1:23" s="146" customFormat="1" ht="18" customHeight="1" x14ac:dyDescent="0.3">
      <c r="A86" s="26"/>
      <c r="B86" s="160"/>
      <c r="C86" s="161"/>
      <c r="D86" s="161"/>
      <c r="E86" s="161"/>
      <c r="F86" s="161"/>
      <c r="G86" s="161"/>
      <c r="H86" s="161"/>
      <c r="I86" s="192"/>
      <c r="J86" s="196"/>
      <c r="K86" s="145"/>
      <c r="L86" s="171"/>
      <c r="N86" s="110"/>
      <c r="O86" s="209"/>
      <c r="P86" s="209"/>
      <c r="Q86" s="209"/>
      <c r="R86" s="209"/>
      <c r="S86" s="209"/>
      <c r="T86" s="209"/>
      <c r="U86" s="209"/>
      <c r="V86" s="209"/>
      <c r="W86" s="209"/>
    </row>
    <row r="87" spans="1:23" s="146" customFormat="1" ht="18" customHeight="1" x14ac:dyDescent="0.3">
      <c r="A87" s="26"/>
      <c r="B87" s="160"/>
      <c r="C87" s="161"/>
      <c r="D87" s="161"/>
      <c r="E87" s="161"/>
      <c r="F87" s="161"/>
      <c r="G87" s="161"/>
      <c r="H87" s="161"/>
      <c r="I87" s="192"/>
      <c r="J87" s="196"/>
      <c r="K87" s="145"/>
      <c r="L87" s="171"/>
      <c r="N87" s="110"/>
      <c r="O87" s="209"/>
      <c r="P87" s="209"/>
      <c r="Q87" s="209"/>
      <c r="R87" s="209"/>
      <c r="S87" s="209"/>
      <c r="T87" s="209"/>
      <c r="U87" s="209"/>
      <c r="V87" s="209"/>
      <c r="W87" s="209"/>
    </row>
    <row r="88" spans="1:23" s="146" customFormat="1" ht="18" customHeight="1" x14ac:dyDescent="0.3">
      <c r="A88" s="26"/>
      <c r="B88" s="160"/>
      <c r="C88" s="161"/>
      <c r="D88" s="161"/>
      <c r="E88" s="161"/>
      <c r="F88" s="161"/>
      <c r="G88" s="161"/>
      <c r="H88" s="161"/>
      <c r="I88" s="192"/>
      <c r="J88" s="196"/>
      <c r="K88" s="145"/>
      <c r="L88" s="171"/>
      <c r="N88" s="110"/>
      <c r="O88" s="209"/>
      <c r="P88" s="209"/>
      <c r="Q88" s="209"/>
      <c r="R88" s="209"/>
      <c r="S88" s="209"/>
      <c r="T88" s="209"/>
      <c r="U88" s="209"/>
      <c r="V88" s="209"/>
      <c r="W88" s="209"/>
    </row>
    <row r="89" spans="1:23" s="146" customFormat="1" ht="18" customHeight="1" x14ac:dyDescent="0.3">
      <c r="B89" s="160"/>
      <c r="C89" s="161"/>
      <c r="D89" s="161"/>
      <c r="E89" s="161"/>
      <c r="F89" s="161"/>
      <c r="G89" s="161"/>
      <c r="H89" s="161"/>
      <c r="I89" s="192"/>
      <c r="J89" s="196"/>
      <c r="K89" s="145"/>
      <c r="L89" s="171"/>
      <c r="N89" s="110"/>
      <c r="O89" s="209"/>
      <c r="P89" s="209"/>
      <c r="Q89" s="209"/>
      <c r="R89" s="209"/>
      <c r="S89" s="209"/>
      <c r="T89" s="209"/>
      <c r="U89" s="209"/>
      <c r="V89" s="209"/>
      <c r="W89" s="209"/>
    </row>
    <row r="90" spans="1:23" s="146" customFormat="1" ht="18" customHeight="1" x14ac:dyDescent="0.3">
      <c r="B90" s="160"/>
      <c r="C90" s="161"/>
      <c r="D90" s="161"/>
      <c r="E90" s="161"/>
      <c r="F90" s="161"/>
      <c r="G90" s="161"/>
      <c r="H90" s="161"/>
      <c r="I90" s="192"/>
      <c r="J90" s="196"/>
      <c r="K90" s="145"/>
      <c r="L90" s="171"/>
      <c r="N90" s="110"/>
      <c r="O90" s="209"/>
      <c r="P90" s="209"/>
      <c r="Q90" s="209"/>
      <c r="R90" s="209"/>
      <c r="S90" s="209"/>
      <c r="T90" s="209"/>
      <c r="U90" s="209"/>
      <c r="V90" s="209"/>
      <c r="W90" s="209"/>
    </row>
    <row r="91" spans="1:23" s="146" customFormat="1" ht="18" customHeight="1" x14ac:dyDescent="0.3">
      <c r="B91" s="160"/>
      <c r="C91" s="161"/>
      <c r="D91" s="161"/>
      <c r="E91" s="161"/>
      <c r="F91" s="161"/>
      <c r="G91" s="161"/>
      <c r="H91" s="161"/>
      <c r="I91" s="192"/>
      <c r="J91" s="195"/>
      <c r="K91" s="145"/>
      <c r="L91" s="171"/>
      <c r="N91" s="110"/>
      <c r="O91" s="209"/>
      <c r="P91" s="209"/>
      <c r="Q91" s="209"/>
      <c r="R91" s="209"/>
      <c r="S91" s="209"/>
      <c r="T91" s="209"/>
      <c r="U91" s="209"/>
      <c r="V91" s="209"/>
      <c r="W91" s="209"/>
    </row>
    <row r="92" spans="1:23" s="146" customFormat="1" ht="18" customHeight="1" x14ac:dyDescent="0.3">
      <c r="B92" s="160"/>
      <c r="C92" s="161"/>
      <c r="D92" s="161"/>
      <c r="E92" s="161"/>
      <c r="F92" s="161"/>
      <c r="G92" s="161"/>
      <c r="H92" s="161"/>
      <c r="I92" s="192"/>
      <c r="J92" s="195"/>
      <c r="K92" s="145"/>
      <c r="L92" s="171"/>
      <c r="N92" s="110"/>
      <c r="O92" s="209"/>
      <c r="P92" s="209"/>
      <c r="Q92" s="209"/>
      <c r="R92" s="209"/>
      <c r="S92" s="209"/>
      <c r="T92" s="209"/>
      <c r="U92" s="209"/>
      <c r="V92" s="209"/>
      <c r="W92" s="209"/>
    </row>
    <row r="93" spans="1:23" s="146" customFormat="1" ht="18" customHeight="1" x14ac:dyDescent="0.3">
      <c r="B93" s="160"/>
      <c r="C93" s="161"/>
      <c r="D93" s="161"/>
      <c r="E93" s="161"/>
      <c r="F93" s="161"/>
      <c r="G93" s="161"/>
      <c r="H93" s="161"/>
      <c r="I93" s="192"/>
      <c r="J93" s="195"/>
      <c r="K93" s="145"/>
      <c r="L93" s="171"/>
      <c r="N93" s="110"/>
      <c r="O93" s="209"/>
      <c r="P93" s="209"/>
      <c r="Q93" s="209"/>
      <c r="R93" s="209"/>
      <c r="S93" s="209"/>
      <c r="T93" s="209"/>
      <c r="U93" s="209"/>
      <c r="V93" s="209"/>
      <c r="W93" s="209"/>
    </row>
    <row r="94" spans="1:23" s="146" customFormat="1" ht="18" customHeight="1" x14ac:dyDescent="0.3">
      <c r="B94" s="160"/>
      <c r="C94" s="161"/>
      <c r="D94" s="161"/>
      <c r="E94" s="161"/>
      <c r="F94" s="161"/>
      <c r="G94" s="161"/>
      <c r="H94" s="161"/>
      <c r="I94" s="192"/>
      <c r="J94" s="195"/>
      <c r="K94" s="145"/>
      <c r="L94" s="171"/>
      <c r="N94" s="110"/>
      <c r="O94" s="209"/>
      <c r="P94" s="209"/>
      <c r="Q94" s="209"/>
      <c r="R94" s="209"/>
      <c r="S94" s="209"/>
      <c r="T94" s="209"/>
      <c r="U94" s="209"/>
      <c r="V94" s="209"/>
      <c r="W94" s="209"/>
    </row>
    <row r="95" spans="1:23" s="146" customFormat="1" ht="18" customHeight="1" x14ac:dyDescent="0.3">
      <c r="B95" s="160"/>
      <c r="C95" s="161"/>
      <c r="D95" s="161"/>
      <c r="E95" s="161"/>
      <c r="F95" s="161"/>
      <c r="G95" s="161"/>
      <c r="H95" s="161"/>
      <c r="I95" s="192"/>
      <c r="J95" s="195"/>
      <c r="K95" s="145"/>
      <c r="L95" s="171"/>
      <c r="N95" s="110"/>
      <c r="O95" s="209"/>
      <c r="P95" s="209"/>
      <c r="Q95" s="209"/>
      <c r="R95" s="209"/>
      <c r="S95" s="209"/>
      <c r="T95" s="209"/>
      <c r="U95" s="209"/>
      <c r="V95" s="209"/>
      <c r="W95" s="209"/>
    </row>
    <row r="96" spans="1:23" s="146" customFormat="1" ht="18" customHeight="1" x14ac:dyDescent="0.3">
      <c r="B96" s="160"/>
      <c r="C96" s="161"/>
      <c r="D96" s="161"/>
      <c r="E96" s="161"/>
      <c r="F96" s="161"/>
      <c r="G96" s="161"/>
      <c r="H96" s="161"/>
      <c r="I96" s="192"/>
      <c r="J96" s="195"/>
      <c r="K96" s="145"/>
      <c r="L96" s="171"/>
      <c r="N96" s="110"/>
      <c r="O96" s="209"/>
      <c r="P96" s="209"/>
      <c r="Q96" s="209"/>
      <c r="R96" s="209"/>
      <c r="S96" s="209"/>
      <c r="T96" s="209"/>
      <c r="U96" s="209"/>
      <c r="V96" s="209"/>
      <c r="W96" s="209"/>
    </row>
    <row r="97" spans="1:23" s="146" customFormat="1" ht="18" customHeight="1" x14ac:dyDescent="0.3">
      <c r="B97" s="160"/>
      <c r="C97" s="161"/>
      <c r="D97" s="161"/>
      <c r="E97" s="161"/>
      <c r="F97" s="161"/>
      <c r="G97" s="161"/>
      <c r="H97" s="161"/>
      <c r="I97" s="192"/>
      <c r="J97" s="195"/>
      <c r="K97" s="145"/>
      <c r="L97" s="171"/>
      <c r="N97" s="110"/>
      <c r="O97" s="209"/>
      <c r="P97" s="209"/>
      <c r="Q97" s="209"/>
      <c r="R97" s="209"/>
      <c r="S97" s="209"/>
      <c r="T97" s="209"/>
      <c r="U97" s="209"/>
      <c r="V97" s="209"/>
      <c r="W97" s="209"/>
    </row>
    <row r="98" spans="1:23" s="146" customFormat="1" ht="18" customHeight="1" x14ac:dyDescent="0.3">
      <c r="B98" s="160"/>
      <c r="C98" s="161"/>
      <c r="D98" s="161"/>
      <c r="E98" s="161"/>
      <c r="F98" s="161"/>
      <c r="G98" s="161"/>
      <c r="H98" s="161"/>
      <c r="I98" s="192"/>
      <c r="J98" s="195"/>
      <c r="K98" s="145"/>
      <c r="L98" s="116"/>
      <c r="N98" s="110"/>
      <c r="O98" s="209"/>
      <c r="P98" s="209"/>
      <c r="Q98" s="209"/>
      <c r="R98" s="209"/>
      <c r="S98" s="209"/>
      <c r="T98" s="209"/>
      <c r="U98" s="209"/>
      <c r="V98" s="209"/>
      <c r="W98" s="209"/>
    </row>
    <row r="99" spans="1:23" s="146" customFormat="1" ht="18" customHeight="1" x14ac:dyDescent="0.3">
      <c r="B99" s="160"/>
      <c r="C99" s="161"/>
      <c r="D99" s="161"/>
      <c r="E99" s="161"/>
      <c r="F99" s="161"/>
      <c r="G99" s="161"/>
      <c r="H99" s="161"/>
      <c r="I99" s="192"/>
      <c r="J99" s="195"/>
      <c r="K99" s="145"/>
      <c r="L99" s="116"/>
      <c r="N99" s="110"/>
      <c r="O99" s="209"/>
      <c r="P99" s="209"/>
      <c r="Q99" s="209"/>
      <c r="R99" s="209"/>
      <c r="S99" s="209"/>
      <c r="T99" s="209"/>
      <c r="U99" s="209"/>
      <c r="V99" s="209"/>
      <c r="W99" s="209"/>
    </row>
    <row r="100" spans="1:23" s="146" customFormat="1" ht="18" customHeight="1" x14ac:dyDescent="0.3">
      <c r="B100" s="160"/>
      <c r="C100" s="161"/>
      <c r="D100" s="161"/>
      <c r="E100" s="161"/>
      <c r="F100" s="161"/>
      <c r="G100" s="161"/>
      <c r="H100" s="161"/>
      <c r="I100" s="192"/>
      <c r="J100" s="195"/>
      <c r="K100" s="145"/>
      <c r="L100" s="116"/>
      <c r="N100" s="110"/>
      <c r="O100" s="209"/>
      <c r="P100" s="209"/>
      <c r="Q100" s="209"/>
      <c r="R100" s="209"/>
      <c r="S100" s="209"/>
      <c r="T100" s="209"/>
      <c r="U100" s="209"/>
      <c r="V100" s="209"/>
      <c r="W100" s="209"/>
    </row>
    <row r="101" spans="1:23" s="146" customFormat="1" ht="18" customHeight="1" x14ac:dyDescent="0.3">
      <c r="B101" s="160"/>
      <c r="C101" s="161"/>
      <c r="D101" s="161"/>
      <c r="E101" s="161"/>
      <c r="F101" s="161"/>
      <c r="G101" s="161"/>
      <c r="H101" s="161"/>
      <c r="I101" s="192"/>
      <c r="J101" s="195"/>
      <c r="K101" s="145"/>
      <c r="L101" s="116"/>
      <c r="N101" s="110"/>
      <c r="O101" s="209"/>
      <c r="P101" s="209"/>
      <c r="Q101" s="209"/>
      <c r="R101" s="209"/>
      <c r="S101" s="209"/>
      <c r="T101" s="209"/>
      <c r="U101" s="209"/>
      <c r="V101" s="209"/>
      <c r="W101" s="209"/>
    </row>
    <row r="102" spans="1:23" s="146" customFormat="1" ht="18" customHeight="1" x14ac:dyDescent="0.3">
      <c r="B102" s="160"/>
      <c r="C102" s="161"/>
      <c r="D102" s="161"/>
      <c r="E102" s="161"/>
      <c r="F102" s="161"/>
      <c r="G102" s="161"/>
      <c r="H102" s="161"/>
      <c r="I102" s="192"/>
      <c r="J102" s="195"/>
      <c r="K102" s="145"/>
      <c r="L102" s="116"/>
      <c r="N102" s="110"/>
      <c r="O102" s="209"/>
      <c r="P102" s="209"/>
      <c r="Q102" s="209"/>
      <c r="R102" s="209"/>
      <c r="S102" s="209"/>
      <c r="T102" s="209"/>
      <c r="U102" s="209"/>
      <c r="V102" s="209"/>
      <c r="W102" s="209"/>
    </row>
    <row r="103" spans="1:23" s="146" customFormat="1" ht="18" customHeight="1" x14ac:dyDescent="0.3">
      <c r="B103" s="160"/>
      <c r="C103" s="161"/>
      <c r="D103" s="161"/>
      <c r="E103" s="161"/>
      <c r="F103" s="161"/>
      <c r="G103" s="161"/>
      <c r="H103" s="161"/>
      <c r="I103" s="192"/>
      <c r="J103" s="195"/>
      <c r="K103" s="145"/>
      <c r="L103" s="116"/>
      <c r="N103" s="110"/>
      <c r="O103" s="209"/>
      <c r="P103" s="209"/>
      <c r="Q103" s="209"/>
      <c r="R103" s="209"/>
      <c r="S103" s="209"/>
      <c r="T103" s="209"/>
      <c r="U103" s="209"/>
      <c r="V103" s="209"/>
      <c r="W103" s="209"/>
    </row>
    <row r="104" spans="1:23" s="146" customFormat="1" ht="18" customHeight="1" x14ac:dyDescent="0.3">
      <c r="B104" s="160"/>
      <c r="C104" s="161"/>
      <c r="D104" s="161"/>
      <c r="E104" s="161"/>
      <c r="F104" s="161"/>
      <c r="G104" s="161"/>
      <c r="H104" s="161"/>
      <c r="I104" s="192"/>
      <c r="J104" s="195"/>
      <c r="K104" s="145"/>
      <c r="L104" s="116"/>
      <c r="N104" s="110"/>
      <c r="O104" s="209"/>
      <c r="P104" s="209"/>
      <c r="Q104" s="209"/>
      <c r="R104" s="209"/>
      <c r="S104" s="209"/>
      <c r="T104" s="209"/>
      <c r="U104" s="209"/>
      <c r="V104" s="209"/>
      <c r="W104" s="209"/>
    </row>
    <row r="105" spans="1:23" s="127" customFormat="1" ht="18" customHeight="1" x14ac:dyDescent="0.3">
      <c r="A105" s="146"/>
      <c r="B105" s="160"/>
      <c r="C105" s="161"/>
      <c r="D105" s="161"/>
      <c r="E105" s="161"/>
      <c r="F105" s="161"/>
      <c r="G105" s="161"/>
      <c r="H105" s="161"/>
      <c r="I105" s="192"/>
      <c r="J105" s="195"/>
      <c r="K105" s="145"/>
      <c r="L105" s="116"/>
      <c r="N105" s="110"/>
      <c r="O105" s="209"/>
      <c r="P105" s="209"/>
      <c r="Q105" s="209"/>
      <c r="R105" s="209"/>
      <c r="S105" s="209"/>
      <c r="T105" s="209"/>
      <c r="U105" s="209"/>
      <c r="V105" s="209"/>
      <c r="W105" s="209"/>
    </row>
    <row r="106" spans="1:23" s="57" customFormat="1" ht="18" customHeight="1" x14ac:dyDescent="0.25">
      <c r="B106" s="59" t="s">
        <v>5</v>
      </c>
      <c r="C106" s="59" t="s">
        <v>25</v>
      </c>
      <c r="D106" s="155" t="s">
        <v>149</v>
      </c>
      <c r="E106" s="59" t="s">
        <v>27</v>
      </c>
      <c r="F106" s="59" t="s">
        <v>28</v>
      </c>
      <c r="G106" s="59" t="s">
        <v>29</v>
      </c>
      <c r="H106" s="59" t="s">
        <v>51</v>
      </c>
      <c r="I106" s="60"/>
      <c r="J106" s="197"/>
      <c r="K106" s="60"/>
      <c r="L106" s="117"/>
      <c r="M106" s="44"/>
      <c r="N106" s="44"/>
      <c r="O106" s="209"/>
      <c r="P106" s="209"/>
      <c r="Q106" s="209"/>
      <c r="R106" s="209"/>
      <c r="S106" s="209"/>
      <c r="T106" s="209"/>
      <c r="U106" s="209"/>
      <c r="V106" s="209"/>
      <c r="W106" s="209"/>
    </row>
    <row r="107" spans="1:23" s="57" customFormat="1" ht="18" customHeight="1" x14ac:dyDescent="0.3">
      <c r="B107" s="113" t="s">
        <v>1347</v>
      </c>
      <c r="C107" s="114" t="s">
        <v>90</v>
      </c>
      <c r="D107" s="114" t="s">
        <v>232</v>
      </c>
      <c r="E107" s="114" t="s">
        <v>1348</v>
      </c>
      <c r="F107" s="241">
        <v>600</v>
      </c>
      <c r="G107" s="241"/>
      <c r="H107" s="241"/>
      <c r="I107" s="192" t="s">
        <v>192</v>
      </c>
      <c r="J107" s="198"/>
      <c r="K107" s="50"/>
      <c r="L107" s="304"/>
      <c r="M107" s="44"/>
      <c r="N107" s="127"/>
      <c r="O107" s="209"/>
      <c r="P107" s="209"/>
      <c r="Q107" s="209"/>
      <c r="R107" s="209"/>
      <c r="S107" s="209"/>
      <c r="T107" s="209"/>
      <c r="U107" s="209"/>
      <c r="V107" s="209"/>
      <c r="W107" s="209"/>
    </row>
    <row r="108" spans="1:23" s="146" customFormat="1" ht="18" customHeight="1" x14ac:dyDescent="0.3">
      <c r="B108" s="160" t="s">
        <v>1349</v>
      </c>
      <c r="C108" s="161" t="s">
        <v>90</v>
      </c>
      <c r="D108" s="161" t="s">
        <v>232</v>
      </c>
      <c r="E108" s="161" t="s">
        <v>1350</v>
      </c>
      <c r="F108" s="241">
        <v>615</v>
      </c>
      <c r="G108" s="241"/>
      <c r="H108" s="241"/>
      <c r="I108" s="192" t="s">
        <v>192</v>
      </c>
      <c r="J108" s="198"/>
      <c r="K108" s="145"/>
      <c r="L108" s="304"/>
      <c r="M108" s="44"/>
      <c r="O108" s="209"/>
      <c r="P108" s="209"/>
      <c r="Q108" s="209"/>
      <c r="R108" s="209"/>
      <c r="S108" s="209"/>
      <c r="T108" s="209"/>
      <c r="U108" s="209"/>
      <c r="V108" s="209"/>
      <c r="W108" s="209"/>
    </row>
    <row r="109" spans="1:23" s="146" customFormat="1" ht="18" customHeight="1" x14ac:dyDescent="0.3">
      <c r="B109" s="160" t="s">
        <v>1351</v>
      </c>
      <c r="C109" s="161" t="s">
        <v>90</v>
      </c>
      <c r="D109" s="161" t="s">
        <v>232</v>
      </c>
      <c r="E109" s="161" t="s">
        <v>1352</v>
      </c>
      <c r="F109" s="241">
        <v>1000</v>
      </c>
      <c r="G109" s="241"/>
      <c r="H109" s="241"/>
      <c r="I109" s="192" t="s">
        <v>192</v>
      </c>
      <c r="J109" s="198"/>
      <c r="K109" s="145"/>
      <c r="L109" s="117"/>
      <c r="M109" s="44"/>
      <c r="O109" s="209"/>
      <c r="P109" s="209"/>
      <c r="Q109" s="209"/>
      <c r="R109" s="209"/>
      <c r="S109" s="209"/>
      <c r="T109" s="209"/>
      <c r="U109" s="209"/>
      <c r="V109" s="209"/>
      <c r="W109" s="209"/>
    </row>
    <row r="110" spans="1:23" s="209" customFormat="1" ht="18" customHeight="1" x14ac:dyDescent="0.3">
      <c r="B110" s="160" t="s">
        <v>1353</v>
      </c>
      <c r="C110" s="161" t="s">
        <v>90</v>
      </c>
      <c r="D110" s="161" t="s">
        <v>232</v>
      </c>
      <c r="E110" s="161" t="s">
        <v>1354</v>
      </c>
      <c r="F110" s="241">
        <v>1025</v>
      </c>
      <c r="G110" s="241"/>
      <c r="H110" s="241"/>
      <c r="I110" s="192" t="s">
        <v>192</v>
      </c>
      <c r="J110" s="198"/>
      <c r="K110" s="145"/>
      <c r="L110" s="117"/>
      <c r="M110" s="44"/>
    </row>
    <row r="111" spans="1:23" s="209" customFormat="1" ht="18" customHeight="1" x14ac:dyDescent="0.3">
      <c r="B111" s="160" t="s">
        <v>1355</v>
      </c>
      <c r="C111" s="161" t="s">
        <v>90</v>
      </c>
      <c r="D111" s="161" t="s">
        <v>232</v>
      </c>
      <c r="E111" s="161" t="s">
        <v>1356</v>
      </c>
      <c r="F111" s="241">
        <v>70</v>
      </c>
      <c r="G111" s="241"/>
      <c r="H111" s="241"/>
      <c r="I111" s="192" t="s">
        <v>192</v>
      </c>
      <c r="J111" s="198"/>
      <c r="K111" s="145"/>
      <c r="L111" s="117"/>
      <c r="M111" s="44"/>
    </row>
    <row r="112" spans="1:23" s="209" customFormat="1" ht="18" customHeight="1" x14ac:dyDescent="0.3">
      <c r="B112" s="160" t="s">
        <v>1357</v>
      </c>
      <c r="C112" s="161" t="s">
        <v>90</v>
      </c>
      <c r="D112" s="161" t="s">
        <v>232</v>
      </c>
      <c r="E112" s="161" t="s">
        <v>1358</v>
      </c>
      <c r="F112" s="241">
        <v>1610</v>
      </c>
      <c r="G112" s="241"/>
      <c r="H112" s="241"/>
      <c r="I112" s="192" t="s">
        <v>192</v>
      </c>
      <c r="J112" s="198"/>
      <c r="K112" s="145"/>
      <c r="L112" s="117"/>
      <c r="M112" s="44"/>
    </row>
    <row r="113" spans="1:35" s="146" customFormat="1" ht="18" customHeight="1" x14ac:dyDescent="0.3">
      <c r="B113" s="160" t="s">
        <v>1359</v>
      </c>
      <c r="C113" s="161" t="s">
        <v>90</v>
      </c>
      <c r="D113" s="161" t="s">
        <v>232</v>
      </c>
      <c r="E113" s="161" t="s">
        <v>1360</v>
      </c>
      <c r="F113" s="241">
        <v>1230</v>
      </c>
      <c r="G113" s="241"/>
      <c r="H113" s="241"/>
      <c r="I113" s="192" t="s">
        <v>192</v>
      </c>
      <c r="J113" s="198"/>
      <c r="K113" s="145"/>
      <c r="L113" s="117"/>
      <c r="M113" s="44"/>
      <c r="O113" s="209"/>
      <c r="P113" s="209"/>
      <c r="Q113" s="209"/>
      <c r="R113" s="209"/>
      <c r="S113" s="209"/>
      <c r="T113" s="209"/>
      <c r="U113" s="209"/>
      <c r="V113" s="209"/>
      <c r="W113" s="209"/>
    </row>
    <row r="114" spans="1:35" s="127" customFormat="1" ht="18" customHeight="1" x14ac:dyDescent="0.3">
      <c r="A114" s="146"/>
      <c r="B114" s="160"/>
      <c r="C114" s="161"/>
      <c r="D114" s="161"/>
      <c r="E114" s="161"/>
      <c r="F114" s="241"/>
      <c r="G114" s="241"/>
      <c r="H114" s="241"/>
      <c r="I114" s="192"/>
      <c r="J114" s="198"/>
      <c r="K114" s="145"/>
      <c r="L114" s="117"/>
      <c r="M114" s="44"/>
      <c r="N114" s="159"/>
      <c r="O114" s="209"/>
      <c r="P114" s="209"/>
      <c r="Q114" s="209"/>
      <c r="R114" s="209"/>
      <c r="S114" s="209"/>
      <c r="T114" s="209"/>
      <c r="U114" s="209"/>
      <c r="V114" s="209"/>
      <c r="W114" s="209"/>
    </row>
    <row r="115" spans="1:35" s="209" customFormat="1" ht="18" customHeight="1" x14ac:dyDescent="0.3">
      <c r="B115" s="160"/>
      <c r="C115" s="161"/>
      <c r="D115" s="161"/>
      <c r="E115" s="161"/>
      <c r="F115" s="161"/>
      <c r="G115" s="161"/>
      <c r="H115" s="161"/>
      <c r="I115" s="192"/>
      <c r="J115" s="198"/>
      <c r="K115" s="145"/>
      <c r="L115" s="117"/>
      <c r="M115" s="44"/>
      <c r="N115" s="159"/>
    </row>
    <row r="116" spans="1:35" s="127" customFormat="1" ht="18" customHeight="1" x14ac:dyDescent="0.3">
      <c r="A116" s="146"/>
      <c r="B116" s="160"/>
      <c r="C116" s="161"/>
      <c r="D116" s="161"/>
      <c r="E116" s="161"/>
      <c r="F116" s="161"/>
      <c r="G116" s="161"/>
      <c r="H116" s="161"/>
      <c r="I116" s="192"/>
      <c r="J116" s="198"/>
      <c r="K116" s="145"/>
      <c r="L116" s="117"/>
      <c r="M116" s="44"/>
      <c r="N116" s="159"/>
      <c r="O116" s="209"/>
      <c r="P116" s="209"/>
      <c r="Q116" s="209"/>
      <c r="R116" s="209"/>
      <c r="S116" s="209"/>
      <c r="T116" s="209"/>
      <c r="U116" s="209"/>
      <c r="V116" s="209"/>
      <c r="W116" s="209"/>
    </row>
    <row r="117" spans="1:35" s="127" customFormat="1" ht="18" customHeight="1" x14ac:dyDescent="0.3">
      <c r="A117" s="146"/>
      <c r="B117" s="160"/>
      <c r="C117" s="161"/>
      <c r="D117" s="161"/>
      <c r="E117" s="161"/>
      <c r="F117" s="161"/>
      <c r="G117" s="161"/>
      <c r="H117" s="161"/>
      <c r="I117" s="192"/>
      <c r="J117" s="198"/>
      <c r="K117" s="145"/>
      <c r="L117" s="117"/>
      <c r="M117" s="44"/>
      <c r="N117" s="159"/>
      <c r="O117" s="209"/>
      <c r="P117" s="209"/>
      <c r="Q117" s="209"/>
      <c r="R117" s="209"/>
      <c r="S117" s="209"/>
      <c r="T117" s="209"/>
      <c r="U117" s="209"/>
      <c r="V117" s="209"/>
      <c r="W117" s="209"/>
    </row>
    <row r="118" spans="1:35" s="127" customFormat="1" ht="18" customHeight="1" x14ac:dyDescent="0.25">
      <c r="B118" s="155" t="s">
        <v>130</v>
      </c>
      <c r="C118" s="155" t="s">
        <v>5</v>
      </c>
      <c r="D118" s="155" t="s">
        <v>148</v>
      </c>
      <c r="E118" s="155"/>
      <c r="F118" s="155"/>
      <c r="G118" s="155"/>
      <c r="H118" s="155"/>
      <c r="I118" s="60"/>
      <c r="J118" s="197"/>
      <c r="K118" s="60"/>
      <c r="L118" s="14"/>
      <c r="M118" s="146"/>
      <c r="N118" s="111"/>
      <c r="O118" s="209"/>
      <c r="P118" s="209"/>
      <c r="Q118" s="209"/>
      <c r="R118" s="209"/>
      <c r="S118" s="209"/>
      <c r="T118" s="209"/>
      <c r="U118" s="209"/>
      <c r="V118" s="209"/>
      <c r="W118" s="209"/>
      <c r="X118" s="111"/>
      <c r="Y118" s="111"/>
      <c r="Z118" s="111"/>
      <c r="AA118" s="111"/>
      <c r="AB118" s="111"/>
      <c r="AC118" s="111"/>
      <c r="AD118" s="111"/>
      <c r="AE118" s="111"/>
      <c r="AF118" s="111"/>
      <c r="AG118" s="111"/>
      <c r="AH118" s="111"/>
      <c r="AI118" s="111"/>
    </row>
    <row r="119" spans="1:35" s="127" customFormat="1" ht="18" customHeight="1" x14ac:dyDescent="0.3">
      <c r="B119" s="160" t="s">
        <v>1426</v>
      </c>
      <c r="C119" s="208" t="s">
        <v>802</v>
      </c>
      <c r="D119" s="161" t="s">
        <v>822</v>
      </c>
      <c r="E119" s="161" t="s">
        <v>823</v>
      </c>
      <c r="F119" s="161">
        <v>149970</v>
      </c>
      <c r="G119" s="161"/>
      <c r="H119" s="161"/>
      <c r="I119" s="192" t="s">
        <v>188</v>
      </c>
      <c r="J119" s="196"/>
      <c r="K119" s="145"/>
      <c r="L119" s="14"/>
      <c r="M119" s="146"/>
      <c r="N119" s="111"/>
      <c r="O119" s="209"/>
      <c r="P119" s="209"/>
      <c r="Q119" s="209"/>
      <c r="R119" s="209"/>
      <c r="S119" s="209"/>
      <c r="T119" s="209"/>
      <c r="U119" s="209"/>
      <c r="V119" s="209"/>
      <c r="W119" s="209"/>
      <c r="X119" s="111"/>
      <c r="Y119" s="111"/>
      <c r="Z119" s="111"/>
      <c r="AA119" s="111"/>
      <c r="AB119" s="111"/>
      <c r="AC119" s="111"/>
      <c r="AD119" s="111"/>
      <c r="AE119" s="111"/>
      <c r="AF119" s="111"/>
      <c r="AG119" s="111"/>
      <c r="AH119" s="111"/>
      <c r="AI119" s="111"/>
    </row>
    <row r="120" spans="1:35" s="146" customFormat="1" ht="18" customHeight="1" x14ac:dyDescent="0.3">
      <c r="B120" s="160" t="s">
        <v>1427</v>
      </c>
      <c r="C120" s="208" t="s">
        <v>806</v>
      </c>
      <c r="D120" s="161" t="s">
        <v>824</v>
      </c>
      <c r="E120" s="161" t="s">
        <v>823</v>
      </c>
      <c r="F120" s="161">
        <v>12000</v>
      </c>
      <c r="G120" s="161"/>
      <c r="H120" s="161"/>
      <c r="I120" s="192" t="s">
        <v>189</v>
      </c>
      <c r="J120" s="196"/>
      <c r="K120" s="145"/>
      <c r="L120" s="14"/>
      <c r="N120" s="111"/>
      <c r="O120" s="111"/>
      <c r="P120" s="111"/>
      <c r="Q120" s="111"/>
      <c r="R120" s="111"/>
      <c r="S120" s="111"/>
      <c r="T120" s="170"/>
      <c r="U120" s="111"/>
      <c r="V120" s="111"/>
      <c r="W120" s="111"/>
      <c r="X120" s="111"/>
      <c r="Y120" s="111"/>
      <c r="Z120" s="111"/>
      <c r="AA120" s="111"/>
      <c r="AB120" s="111"/>
      <c r="AC120" s="111"/>
      <c r="AD120" s="111"/>
      <c r="AE120" s="111"/>
      <c r="AF120" s="111"/>
      <c r="AG120" s="111"/>
      <c r="AH120" s="111"/>
      <c r="AI120" s="111"/>
    </row>
    <row r="121" spans="1:35" s="146" customFormat="1" ht="18" customHeight="1" x14ac:dyDescent="0.3">
      <c r="B121" s="160" t="s">
        <v>1428</v>
      </c>
      <c r="C121" s="208" t="s">
        <v>806</v>
      </c>
      <c r="D121" s="161" t="s">
        <v>1429</v>
      </c>
      <c r="E121" s="161" t="s">
        <v>823</v>
      </c>
      <c r="F121" s="161">
        <v>15600</v>
      </c>
      <c r="G121" s="161"/>
      <c r="H121" s="161"/>
      <c r="I121" s="192" t="s">
        <v>189</v>
      </c>
      <c r="J121" s="196"/>
      <c r="K121" s="145"/>
      <c r="L121" s="14"/>
      <c r="N121" s="111"/>
      <c r="O121" s="111"/>
      <c r="P121" s="111"/>
      <c r="Q121" s="111"/>
      <c r="R121" s="111"/>
      <c r="S121" s="111"/>
      <c r="T121" s="170"/>
      <c r="U121" s="111"/>
      <c r="V121" s="111"/>
      <c r="W121" s="111"/>
      <c r="X121" s="111"/>
      <c r="Y121" s="111"/>
      <c r="Z121" s="111"/>
      <c r="AA121" s="111"/>
      <c r="AB121" s="111"/>
      <c r="AC121" s="111"/>
      <c r="AD121" s="111"/>
      <c r="AE121" s="111"/>
      <c r="AF121" s="111"/>
      <c r="AG121" s="111"/>
      <c r="AH121" s="111"/>
      <c r="AI121" s="111"/>
    </row>
    <row r="122" spans="1:35" s="146" customFormat="1" ht="18" customHeight="1" x14ac:dyDescent="0.3">
      <c r="B122" s="160" t="s">
        <v>1430</v>
      </c>
      <c r="C122" s="208" t="s">
        <v>1431</v>
      </c>
      <c r="D122" s="161" t="s">
        <v>1432</v>
      </c>
      <c r="E122" s="161" t="s">
        <v>825</v>
      </c>
      <c r="F122" s="161">
        <v>8970</v>
      </c>
      <c r="G122" s="161"/>
      <c r="H122" s="161"/>
      <c r="I122" s="192" t="s">
        <v>189</v>
      </c>
      <c r="J122" s="196"/>
      <c r="K122" s="145"/>
      <c r="L122" s="14"/>
      <c r="N122" s="111"/>
      <c r="O122" s="111"/>
      <c r="P122" s="111"/>
      <c r="Q122" s="111"/>
      <c r="R122" s="111"/>
      <c r="S122" s="111"/>
      <c r="T122" s="170"/>
      <c r="U122" s="111"/>
      <c r="V122" s="111"/>
      <c r="W122" s="111"/>
      <c r="X122" s="111"/>
      <c r="Y122" s="111"/>
      <c r="Z122" s="111"/>
      <c r="AA122" s="111"/>
      <c r="AB122" s="111"/>
      <c r="AC122" s="111"/>
      <c r="AD122" s="111"/>
      <c r="AE122" s="111"/>
      <c r="AF122" s="111"/>
      <c r="AG122" s="111"/>
      <c r="AH122" s="111"/>
      <c r="AI122" s="111"/>
    </row>
    <row r="123" spans="1:35" s="146" customFormat="1" ht="18" customHeight="1" x14ac:dyDescent="0.3">
      <c r="B123" s="160" t="s">
        <v>1433</v>
      </c>
      <c r="C123" s="208" t="s">
        <v>1434</v>
      </c>
      <c r="D123" s="161" t="s">
        <v>1435</v>
      </c>
      <c r="E123" s="161" t="s">
        <v>823</v>
      </c>
      <c r="F123" s="161">
        <v>20000</v>
      </c>
      <c r="G123" s="161"/>
      <c r="H123" s="161"/>
      <c r="I123" s="192" t="s">
        <v>189</v>
      </c>
      <c r="J123" s="196"/>
      <c r="K123" s="145"/>
      <c r="L123" s="14"/>
      <c r="N123" s="111"/>
      <c r="O123" s="111"/>
      <c r="P123" s="111"/>
      <c r="Q123" s="111"/>
      <c r="R123" s="111"/>
      <c r="S123" s="111"/>
      <c r="T123" s="170"/>
      <c r="U123" s="111"/>
      <c r="V123" s="111"/>
      <c r="W123" s="111"/>
      <c r="X123" s="111"/>
      <c r="Y123" s="111"/>
      <c r="Z123" s="111"/>
      <c r="AA123" s="111"/>
      <c r="AB123" s="111"/>
      <c r="AC123" s="111"/>
      <c r="AD123" s="111"/>
      <c r="AE123" s="111"/>
      <c r="AF123" s="111"/>
      <c r="AG123" s="111"/>
      <c r="AH123" s="111"/>
      <c r="AI123" s="111"/>
    </row>
    <row r="124" spans="1:35" s="146" customFormat="1" ht="18" customHeight="1" x14ac:dyDescent="0.3">
      <c r="B124" s="160" t="s">
        <v>1436</v>
      </c>
      <c r="C124" s="208" t="s">
        <v>1325</v>
      </c>
      <c r="D124" s="161" t="s">
        <v>1437</v>
      </c>
      <c r="E124" s="161" t="s">
        <v>823</v>
      </c>
      <c r="F124" s="161">
        <v>119164</v>
      </c>
      <c r="G124" s="161"/>
      <c r="H124" s="161"/>
      <c r="I124" s="192" t="s">
        <v>189</v>
      </c>
      <c r="J124" s="196"/>
      <c r="K124" s="145"/>
      <c r="L124" s="14"/>
      <c r="N124" s="111"/>
      <c r="O124" s="111"/>
      <c r="P124" s="111"/>
      <c r="Q124" s="111"/>
      <c r="R124" s="111"/>
      <c r="S124" s="111"/>
      <c r="T124" s="170"/>
      <c r="U124" s="111"/>
      <c r="V124" s="111"/>
      <c r="W124" s="111"/>
      <c r="X124" s="111"/>
      <c r="Y124" s="111"/>
      <c r="Z124" s="111"/>
      <c r="AA124" s="111"/>
      <c r="AB124" s="111"/>
      <c r="AC124" s="111"/>
      <c r="AD124" s="111"/>
      <c r="AE124" s="111"/>
      <c r="AF124" s="111"/>
      <c r="AG124" s="111"/>
      <c r="AH124" s="111"/>
      <c r="AI124" s="111"/>
    </row>
    <row r="125" spans="1:35" s="146" customFormat="1" ht="18" customHeight="1" x14ac:dyDescent="0.3">
      <c r="B125" s="160" t="s">
        <v>1438</v>
      </c>
      <c r="C125" s="208" t="s">
        <v>800</v>
      </c>
      <c r="D125" s="161" t="s">
        <v>176</v>
      </c>
      <c r="E125" s="161"/>
      <c r="F125" s="161">
        <v>3524</v>
      </c>
      <c r="G125" s="161"/>
      <c r="H125" s="161"/>
      <c r="I125" s="192" t="s">
        <v>186</v>
      </c>
      <c r="J125" s="196"/>
      <c r="K125" s="145"/>
      <c r="L125" s="58"/>
      <c r="N125" s="111"/>
      <c r="O125" s="111"/>
      <c r="P125" s="111"/>
      <c r="Q125" s="111"/>
      <c r="R125" s="111"/>
      <c r="S125" s="111"/>
      <c r="T125" s="170"/>
      <c r="U125" s="111"/>
      <c r="V125" s="111"/>
      <c r="W125" s="111"/>
      <c r="X125" s="111"/>
      <c r="Y125" s="111"/>
      <c r="Z125" s="111"/>
      <c r="AA125" s="111"/>
      <c r="AB125" s="111"/>
      <c r="AC125" s="111"/>
      <c r="AD125" s="111"/>
      <c r="AE125" s="111"/>
      <c r="AF125" s="111"/>
      <c r="AG125" s="111"/>
      <c r="AH125" s="111"/>
      <c r="AI125" s="111"/>
    </row>
    <row r="126" spans="1:35" s="146" customFormat="1" ht="18" customHeight="1" x14ac:dyDescent="0.3">
      <c r="B126" s="160" t="s">
        <v>1439</v>
      </c>
      <c r="C126" s="208" t="s">
        <v>808</v>
      </c>
      <c r="D126" s="161" t="s">
        <v>176</v>
      </c>
      <c r="E126" s="161"/>
      <c r="F126" s="161">
        <v>1557</v>
      </c>
      <c r="G126" s="161"/>
      <c r="H126" s="161"/>
      <c r="I126" s="192" t="s">
        <v>186</v>
      </c>
      <c r="J126" s="196"/>
      <c r="K126" s="145"/>
      <c r="L126" s="58"/>
      <c r="M126" s="110"/>
      <c r="N126" s="111"/>
      <c r="O126" s="111"/>
      <c r="P126" s="111"/>
      <c r="Q126" s="111"/>
      <c r="R126" s="111"/>
      <c r="S126" s="111"/>
      <c r="T126" s="170"/>
      <c r="U126" s="111"/>
      <c r="V126" s="111"/>
      <c r="W126" s="111"/>
      <c r="X126" s="111"/>
      <c r="Y126" s="111"/>
      <c r="Z126" s="111"/>
      <c r="AA126" s="111"/>
      <c r="AB126" s="111"/>
      <c r="AC126" s="111"/>
      <c r="AD126" s="111"/>
      <c r="AE126" s="111"/>
      <c r="AF126" s="111"/>
      <c r="AG126" s="111"/>
      <c r="AH126" s="111"/>
      <c r="AI126" s="111"/>
    </row>
    <row r="127" spans="1:35" s="146" customFormat="1" ht="18" customHeight="1" x14ac:dyDescent="0.3">
      <c r="B127" s="160" t="s">
        <v>1440</v>
      </c>
      <c r="C127" s="208" t="s">
        <v>1326</v>
      </c>
      <c r="D127" s="161" t="s">
        <v>177</v>
      </c>
      <c r="E127" s="161"/>
      <c r="F127" s="161">
        <v>1654</v>
      </c>
      <c r="G127" s="161"/>
      <c r="H127" s="161"/>
      <c r="I127" s="192" t="s">
        <v>186</v>
      </c>
      <c r="J127" s="196"/>
      <c r="K127" s="145"/>
      <c r="L127" s="14"/>
      <c r="N127" s="111"/>
      <c r="O127" s="111"/>
      <c r="P127" s="111"/>
      <c r="Q127" s="111"/>
      <c r="R127" s="111"/>
      <c r="S127" s="111"/>
      <c r="T127" s="170"/>
      <c r="U127" s="111"/>
      <c r="V127" s="111"/>
      <c r="W127" s="111"/>
      <c r="X127" s="111"/>
      <c r="Y127" s="111"/>
      <c r="Z127" s="111"/>
      <c r="AA127" s="111"/>
      <c r="AB127" s="111"/>
      <c r="AC127" s="111"/>
      <c r="AD127" s="111"/>
      <c r="AE127" s="111"/>
      <c r="AF127" s="111"/>
      <c r="AG127" s="111"/>
      <c r="AH127" s="111"/>
      <c r="AI127" s="111"/>
    </row>
    <row r="128" spans="1:35" s="146" customFormat="1" ht="18" customHeight="1" x14ac:dyDescent="0.3">
      <c r="B128" s="160"/>
      <c r="C128" s="208"/>
      <c r="D128" s="161"/>
      <c r="E128" s="161"/>
      <c r="F128" s="161"/>
      <c r="G128" s="161"/>
      <c r="H128" s="161"/>
      <c r="I128" s="192"/>
      <c r="J128" s="196"/>
      <c r="K128" s="145"/>
      <c r="L128" s="14"/>
      <c r="N128" s="111"/>
      <c r="O128" s="111"/>
      <c r="P128" s="111"/>
      <c r="Q128" s="111"/>
      <c r="R128" s="111"/>
      <c r="S128" s="111"/>
      <c r="T128" s="170"/>
      <c r="U128" s="111"/>
      <c r="V128" s="111"/>
      <c r="W128" s="111"/>
      <c r="X128" s="111"/>
      <c r="Y128" s="111"/>
      <c r="Z128" s="111"/>
      <c r="AA128" s="111"/>
      <c r="AB128" s="111"/>
      <c r="AC128" s="111"/>
      <c r="AD128" s="111"/>
      <c r="AE128" s="111"/>
      <c r="AF128" s="111"/>
      <c r="AG128" s="111"/>
      <c r="AH128" s="111"/>
      <c r="AI128" s="111"/>
    </row>
    <row r="129" spans="2:35" s="146" customFormat="1" ht="18" customHeight="1" x14ac:dyDescent="0.3">
      <c r="B129" s="160"/>
      <c r="C129" s="208"/>
      <c r="D129" s="161"/>
      <c r="E129" s="161"/>
      <c r="F129" s="161"/>
      <c r="G129" s="161"/>
      <c r="H129" s="161"/>
      <c r="I129" s="192"/>
      <c r="J129" s="196"/>
      <c r="K129" s="145"/>
      <c r="L129" s="14"/>
      <c r="N129" s="111"/>
      <c r="O129" s="111"/>
      <c r="P129" s="111"/>
      <c r="Q129" s="111"/>
      <c r="R129" s="111"/>
      <c r="S129" s="111"/>
      <c r="T129" s="170"/>
      <c r="U129" s="111"/>
      <c r="V129" s="111"/>
      <c r="W129" s="111"/>
      <c r="X129" s="111"/>
      <c r="Y129" s="111"/>
      <c r="Z129" s="111"/>
      <c r="AA129" s="111"/>
      <c r="AB129" s="111"/>
      <c r="AC129" s="111"/>
      <c r="AD129" s="111"/>
      <c r="AE129" s="111"/>
      <c r="AF129" s="111"/>
      <c r="AG129" s="111"/>
      <c r="AH129" s="111"/>
      <c r="AI129" s="111"/>
    </row>
    <row r="130" spans="2:35" s="146" customFormat="1" ht="18" customHeight="1" x14ac:dyDescent="0.3">
      <c r="B130" s="160"/>
      <c r="C130" s="208"/>
      <c r="D130" s="161"/>
      <c r="E130" s="161"/>
      <c r="F130" s="161"/>
      <c r="G130" s="161"/>
      <c r="H130" s="161"/>
      <c r="I130" s="192"/>
      <c r="J130" s="196"/>
      <c r="K130" s="145"/>
      <c r="L130" s="14"/>
      <c r="N130" s="111"/>
      <c r="O130" s="111"/>
      <c r="P130" s="111"/>
      <c r="Q130" s="111"/>
      <c r="R130" s="111"/>
      <c r="S130" s="111"/>
      <c r="T130" s="170"/>
      <c r="U130" s="111"/>
      <c r="V130" s="111"/>
      <c r="W130" s="111"/>
      <c r="X130" s="111"/>
      <c r="Y130" s="111"/>
      <c r="Z130" s="111"/>
      <c r="AA130" s="111"/>
      <c r="AB130" s="111"/>
      <c r="AC130" s="111"/>
      <c r="AD130" s="111"/>
      <c r="AE130" s="111"/>
      <c r="AF130" s="111"/>
      <c r="AG130" s="111"/>
      <c r="AH130" s="111"/>
      <c r="AI130" s="111"/>
    </row>
    <row r="131" spans="2:35" s="146" customFormat="1" ht="18" customHeight="1" x14ac:dyDescent="0.3">
      <c r="B131" s="160"/>
      <c r="C131" s="208"/>
      <c r="D131" s="161"/>
      <c r="E131" s="161"/>
      <c r="F131" s="161"/>
      <c r="G131" s="161"/>
      <c r="H131" s="161"/>
      <c r="I131" s="192"/>
      <c r="J131" s="196"/>
      <c r="K131" s="145"/>
      <c r="L131" s="14"/>
      <c r="N131" s="111"/>
      <c r="O131" s="111"/>
      <c r="P131" s="111"/>
      <c r="Q131" s="111"/>
      <c r="R131" s="111"/>
      <c r="S131" s="111"/>
      <c r="T131" s="170"/>
      <c r="U131" s="111"/>
      <c r="V131" s="111"/>
      <c r="W131" s="111"/>
      <c r="X131" s="111"/>
      <c r="Y131" s="111"/>
      <c r="Z131" s="111"/>
      <c r="AA131" s="111"/>
      <c r="AB131" s="111"/>
      <c r="AC131" s="111"/>
      <c r="AD131" s="111"/>
      <c r="AE131" s="111"/>
      <c r="AF131" s="111"/>
      <c r="AG131" s="111"/>
      <c r="AH131" s="111"/>
      <c r="AI131" s="111"/>
    </row>
    <row r="132" spans="2:35" s="146" customFormat="1" ht="18" customHeight="1" x14ac:dyDescent="0.3">
      <c r="B132" s="160"/>
      <c r="C132" s="208"/>
      <c r="D132" s="161"/>
      <c r="E132" s="161"/>
      <c r="F132" s="161"/>
      <c r="G132" s="161"/>
      <c r="H132" s="161"/>
      <c r="I132" s="192"/>
      <c r="J132" s="196"/>
      <c r="K132" s="145"/>
      <c r="L132" s="14"/>
      <c r="N132" s="111"/>
      <c r="O132" s="111"/>
      <c r="P132" s="111"/>
      <c r="Q132" s="111"/>
      <c r="R132" s="111"/>
      <c r="S132" s="111"/>
      <c r="T132" s="170"/>
      <c r="U132" s="111"/>
      <c r="V132" s="111"/>
      <c r="W132" s="111"/>
      <c r="X132" s="111"/>
      <c r="Y132" s="111"/>
      <c r="Z132" s="111"/>
      <c r="AA132" s="111"/>
      <c r="AB132" s="111"/>
      <c r="AC132" s="111"/>
      <c r="AD132" s="111"/>
      <c r="AE132" s="111"/>
      <c r="AF132" s="111"/>
      <c r="AG132" s="111"/>
      <c r="AH132" s="111"/>
      <c r="AI132" s="111"/>
    </row>
    <row r="133" spans="2:35" s="146" customFormat="1" ht="18" customHeight="1" x14ac:dyDescent="0.3">
      <c r="B133" s="160"/>
      <c r="C133" s="208"/>
      <c r="D133" s="161"/>
      <c r="E133" s="161"/>
      <c r="F133" s="161"/>
      <c r="G133" s="161"/>
      <c r="H133" s="161"/>
      <c r="I133" s="192"/>
      <c r="J133" s="196"/>
      <c r="K133" s="145"/>
      <c r="L133" s="14"/>
      <c r="N133" s="111"/>
      <c r="O133" s="111"/>
      <c r="P133" s="111"/>
      <c r="Q133" s="111"/>
      <c r="R133" s="111"/>
      <c r="S133" s="111"/>
      <c r="T133" s="170"/>
      <c r="U133" s="111"/>
      <c r="V133" s="111"/>
      <c r="W133" s="111"/>
      <c r="X133" s="111"/>
      <c r="Y133" s="111"/>
      <c r="Z133" s="111"/>
      <c r="AA133" s="111"/>
      <c r="AB133" s="111"/>
      <c r="AC133" s="111"/>
      <c r="AD133" s="111"/>
      <c r="AE133" s="111"/>
      <c r="AF133" s="111"/>
      <c r="AG133" s="111"/>
      <c r="AH133" s="111"/>
      <c r="AI133" s="111"/>
    </row>
    <row r="134" spans="2:35" s="146" customFormat="1" ht="18" customHeight="1" x14ac:dyDescent="0.3">
      <c r="B134" s="160"/>
      <c r="C134" s="208"/>
      <c r="D134" s="161"/>
      <c r="E134" s="161"/>
      <c r="F134" s="161"/>
      <c r="G134" s="161"/>
      <c r="H134" s="161"/>
      <c r="I134" s="192"/>
      <c r="J134" s="196"/>
      <c r="K134" s="145"/>
      <c r="L134" s="14"/>
      <c r="N134" s="111"/>
      <c r="O134" s="111"/>
      <c r="P134" s="111"/>
      <c r="Q134" s="111"/>
      <c r="R134" s="111"/>
      <c r="S134" s="111"/>
      <c r="T134" s="170"/>
      <c r="U134" s="111"/>
      <c r="V134" s="111"/>
      <c r="W134" s="111"/>
      <c r="X134" s="111"/>
      <c r="Y134" s="111"/>
      <c r="Z134" s="111"/>
      <c r="AA134" s="111"/>
      <c r="AB134" s="111"/>
      <c r="AC134" s="111"/>
      <c r="AD134" s="111"/>
      <c r="AE134" s="111"/>
      <c r="AF134" s="111"/>
      <c r="AG134" s="111"/>
      <c r="AH134" s="111"/>
      <c r="AI134" s="111"/>
    </row>
    <row r="135" spans="2:35" s="146" customFormat="1" ht="18" customHeight="1" x14ac:dyDescent="0.3">
      <c r="B135" s="160"/>
      <c r="C135" s="208"/>
      <c r="D135" s="161"/>
      <c r="E135" s="161"/>
      <c r="F135" s="161"/>
      <c r="G135" s="161"/>
      <c r="H135" s="161"/>
      <c r="I135" s="192"/>
      <c r="J135" s="196"/>
      <c r="K135" s="145"/>
      <c r="L135" s="14"/>
      <c r="N135" s="111"/>
      <c r="O135" s="111"/>
      <c r="P135" s="111"/>
      <c r="Q135" s="111"/>
      <c r="R135" s="111"/>
      <c r="S135" s="111"/>
      <c r="T135" s="170"/>
      <c r="U135" s="111"/>
      <c r="V135" s="111"/>
      <c r="W135" s="111"/>
      <c r="X135" s="111"/>
      <c r="Y135" s="111"/>
      <c r="Z135" s="111"/>
      <c r="AA135" s="111"/>
      <c r="AB135" s="111"/>
      <c r="AC135" s="111"/>
      <c r="AD135" s="111"/>
      <c r="AE135" s="111"/>
      <c r="AF135" s="111"/>
      <c r="AG135" s="111"/>
      <c r="AH135" s="111"/>
      <c r="AI135" s="111"/>
    </row>
    <row r="136" spans="2:35" s="146" customFormat="1" ht="18" customHeight="1" x14ac:dyDescent="0.3">
      <c r="B136" s="160"/>
      <c r="C136" s="208"/>
      <c r="D136" s="161"/>
      <c r="E136" s="161"/>
      <c r="F136" s="161"/>
      <c r="G136" s="161"/>
      <c r="H136" s="161"/>
      <c r="I136" s="192"/>
      <c r="J136" s="196"/>
      <c r="K136" s="145"/>
      <c r="L136" s="14"/>
      <c r="N136" s="111"/>
      <c r="O136" s="111"/>
      <c r="P136" s="111"/>
      <c r="Q136" s="111"/>
      <c r="R136" s="111"/>
      <c r="S136" s="111"/>
      <c r="T136" s="170"/>
      <c r="U136" s="111"/>
      <c r="V136" s="111"/>
      <c r="W136" s="111"/>
      <c r="X136" s="111"/>
      <c r="Y136" s="111"/>
      <c r="Z136" s="111"/>
      <c r="AA136" s="111"/>
      <c r="AB136" s="111"/>
      <c r="AC136" s="111"/>
      <c r="AD136" s="111"/>
      <c r="AE136" s="111"/>
      <c r="AF136" s="111"/>
      <c r="AG136" s="111"/>
      <c r="AH136" s="111"/>
      <c r="AI136" s="111"/>
    </row>
    <row r="137" spans="2:35" s="146" customFormat="1" ht="18" customHeight="1" x14ac:dyDescent="0.3">
      <c r="B137" s="160"/>
      <c r="C137" s="208"/>
      <c r="D137" s="161"/>
      <c r="E137" s="161"/>
      <c r="F137" s="161"/>
      <c r="G137" s="161"/>
      <c r="H137" s="161"/>
      <c r="I137" s="192"/>
      <c r="J137" s="196"/>
      <c r="K137" s="145"/>
      <c r="L137" s="14"/>
      <c r="N137" s="111"/>
      <c r="O137" s="111"/>
      <c r="P137" s="111"/>
      <c r="Q137" s="111"/>
      <c r="R137" s="111"/>
      <c r="S137" s="111"/>
      <c r="T137" s="170"/>
      <c r="U137" s="111"/>
      <c r="V137" s="111"/>
      <c r="W137" s="111"/>
      <c r="X137" s="111"/>
      <c r="Y137" s="111"/>
      <c r="Z137" s="111"/>
      <c r="AA137" s="111"/>
      <c r="AB137" s="111"/>
      <c r="AC137" s="111"/>
      <c r="AD137" s="111"/>
      <c r="AE137" s="111"/>
      <c r="AF137" s="111"/>
      <c r="AG137" s="111"/>
      <c r="AH137" s="111"/>
      <c r="AI137" s="111"/>
    </row>
    <row r="138" spans="2:35" s="146" customFormat="1" ht="18" customHeight="1" x14ac:dyDescent="0.3">
      <c r="B138" s="172"/>
      <c r="C138" s="208"/>
      <c r="D138" s="173"/>
      <c r="E138" s="173"/>
      <c r="F138" s="174"/>
      <c r="G138" s="174"/>
      <c r="H138" s="173"/>
      <c r="I138" s="192"/>
      <c r="J138" s="196"/>
      <c r="K138" s="145"/>
      <c r="L138" s="14"/>
      <c r="N138" s="111"/>
      <c r="O138" s="111"/>
      <c r="P138" s="111"/>
      <c r="Q138" s="111"/>
      <c r="R138" s="111"/>
      <c r="S138" s="111"/>
      <c r="T138" s="170"/>
      <c r="U138" s="111"/>
      <c r="V138" s="111"/>
      <c r="W138" s="111"/>
      <c r="X138" s="111"/>
      <c r="Y138" s="111"/>
      <c r="Z138" s="111"/>
      <c r="AA138" s="111"/>
      <c r="AB138" s="111"/>
      <c r="AC138" s="111"/>
      <c r="AD138" s="111"/>
      <c r="AE138" s="111"/>
      <c r="AF138" s="111"/>
      <c r="AG138" s="111"/>
      <c r="AH138" s="111"/>
      <c r="AI138" s="111"/>
    </row>
    <row r="139" spans="2:35" s="146" customFormat="1" ht="18" customHeight="1" x14ac:dyDescent="0.3">
      <c r="B139" s="172"/>
      <c r="C139" s="208"/>
      <c r="D139" s="173"/>
      <c r="E139" s="173"/>
      <c r="F139" s="174"/>
      <c r="G139" s="174"/>
      <c r="H139" s="173"/>
      <c r="I139" s="192"/>
      <c r="J139" s="196"/>
      <c r="K139" s="145"/>
      <c r="L139" s="14"/>
      <c r="N139" s="111"/>
      <c r="O139" s="111"/>
      <c r="P139" s="111"/>
      <c r="Q139" s="111"/>
      <c r="R139" s="111"/>
      <c r="S139" s="111"/>
      <c r="T139" s="170"/>
      <c r="U139" s="111"/>
      <c r="V139" s="111"/>
      <c r="W139" s="111"/>
      <c r="X139" s="111"/>
      <c r="Y139" s="111"/>
      <c r="Z139" s="111"/>
      <c r="AA139" s="111"/>
      <c r="AB139" s="111"/>
      <c r="AC139" s="111"/>
      <c r="AD139" s="111"/>
      <c r="AE139" s="111"/>
      <c r="AF139" s="111"/>
      <c r="AG139" s="111"/>
      <c r="AH139" s="111"/>
      <c r="AI139" s="111"/>
    </row>
    <row r="140" spans="2:35" s="146" customFormat="1" ht="18" customHeight="1" x14ac:dyDescent="0.3">
      <c r="B140" s="202"/>
      <c r="C140" s="207"/>
      <c r="D140" s="203"/>
      <c r="E140" s="203"/>
      <c r="F140" s="204"/>
      <c r="G140" s="204"/>
      <c r="H140" s="173"/>
      <c r="I140" s="192"/>
      <c r="J140" s="196"/>
      <c r="K140" s="145"/>
      <c r="L140" s="14"/>
      <c r="N140" s="111"/>
      <c r="O140" s="111"/>
      <c r="P140" s="111"/>
      <c r="Q140" s="111"/>
      <c r="R140" s="111"/>
      <c r="S140" s="111"/>
      <c r="T140" s="170"/>
      <c r="U140" s="111"/>
      <c r="V140" s="111"/>
      <c r="W140" s="111"/>
      <c r="X140" s="111"/>
      <c r="Y140" s="111"/>
      <c r="Z140" s="111"/>
      <c r="AA140" s="111"/>
      <c r="AB140" s="111"/>
      <c r="AC140" s="111"/>
      <c r="AD140" s="111"/>
      <c r="AE140" s="111"/>
      <c r="AF140" s="111"/>
      <c r="AG140" s="111"/>
      <c r="AH140" s="111"/>
      <c r="AI140" s="111"/>
    </row>
    <row r="141" spans="2:35" s="146" customFormat="1" ht="18" customHeight="1" x14ac:dyDescent="0.3">
      <c r="B141" s="172"/>
      <c r="C141" s="208"/>
      <c r="D141" s="173"/>
      <c r="E141" s="173"/>
      <c r="F141" s="174"/>
      <c r="G141" s="174"/>
      <c r="H141" s="173"/>
      <c r="I141" s="192"/>
      <c r="J141" s="196"/>
      <c r="K141" s="145"/>
      <c r="L141" s="14"/>
      <c r="N141" s="111"/>
      <c r="O141" s="111"/>
      <c r="P141" s="111"/>
      <c r="Q141" s="111"/>
      <c r="R141" s="111"/>
      <c r="S141" s="111"/>
      <c r="T141" s="170"/>
      <c r="U141" s="111"/>
      <c r="V141" s="111"/>
      <c r="W141" s="111"/>
      <c r="X141" s="111"/>
      <c r="Y141" s="111"/>
      <c r="Z141" s="111"/>
      <c r="AA141" s="111"/>
      <c r="AB141" s="111"/>
      <c r="AC141" s="111"/>
      <c r="AD141" s="111"/>
      <c r="AE141" s="111"/>
      <c r="AF141" s="111"/>
      <c r="AG141" s="111"/>
      <c r="AH141" s="111"/>
      <c r="AI141" s="111"/>
    </row>
    <row r="142" spans="2:35" s="146" customFormat="1" ht="18" customHeight="1" x14ac:dyDescent="0.3">
      <c r="B142" s="172"/>
      <c r="C142" s="172"/>
      <c r="D142" s="173"/>
      <c r="E142" s="173"/>
      <c r="F142" s="174"/>
      <c r="G142" s="174"/>
      <c r="H142" s="173"/>
      <c r="I142" s="192"/>
      <c r="J142" s="196"/>
      <c r="K142" s="145"/>
      <c r="L142" s="14"/>
      <c r="N142" s="111"/>
      <c r="O142" s="111"/>
      <c r="P142" s="111"/>
      <c r="Q142" s="111"/>
      <c r="R142" s="111"/>
      <c r="S142" s="111"/>
      <c r="T142" s="170"/>
      <c r="U142" s="111"/>
      <c r="V142" s="111"/>
      <c r="W142" s="111"/>
      <c r="X142" s="111"/>
      <c r="Y142" s="111"/>
      <c r="Z142" s="111"/>
      <c r="AA142" s="111"/>
      <c r="AB142" s="111"/>
      <c r="AC142" s="111"/>
      <c r="AD142" s="111"/>
      <c r="AE142" s="111"/>
      <c r="AF142" s="111"/>
      <c r="AG142" s="111"/>
      <c r="AH142" s="111"/>
      <c r="AI142" s="111"/>
    </row>
    <row r="143" spans="2:35" s="146" customFormat="1" ht="18" customHeight="1" x14ac:dyDescent="0.3">
      <c r="B143" s="172"/>
      <c r="C143" s="172"/>
      <c r="D143" s="173"/>
      <c r="E143" s="173"/>
      <c r="F143" s="173"/>
      <c r="G143" s="173"/>
      <c r="H143" s="173"/>
      <c r="I143" s="192"/>
      <c r="J143" s="196"/>
      <c r="K143" s="145"/>
      <c r="L143" s="14"/>
      <c r="M143" s="111"/>
      <c r="N143" s="111"/>
      <c r="O143" s="111"/>
      <c r="P143" s="111"/>
      <c r="Q143" s="111"/>
      <c r="R143" s="111"/>
      <c r="S143" s="111"/>
      <c r="T143" s="170"/>
      <c r="U143" s="111"/>
      <c r="V143" s="111"/>
      <c r="W143" s="111"/>
      <c r="X143" s="111"/>
      <c r="Y143" s="111"/>
      <c r="Z143" s="111"/>
      <c r="AA143" s="111"/>
      <c r="AB143" s="111"/>
      <c r="AC143" s="111"/>
      <c r="AD143" s="111"/>
      <c r="AE143" s="111"/>
      <c r="AF143" s="111"/>
      <c r="AG143" s="111"/>
      <c r="AH143" s="111"/>
      <c r="AI143" s="111"/>
    </row>
    <row r="144" spans="2:35" ht="18.75" x14ac:dyDescent="0.3">
      <c r="B144" s="160"/>
      <c r="C144" s="161"/>
      <c r="D144" s="161"/>
      <c r="E144" s="161"/>
      <c r="F144" s="161"/>
      <c r="G144" s="161"/>
      <c r="H144" s="161"/>
      <c r="I144" s="192"/>
      <c r="J144" s="198"/>
      <c r="K144" s="145"/>
      <c r="L144" s="43"/>
      <c r="M144" s="111"/>
      <c r="N144" s="111"/>
      <c r="O144" s="111"/>
      <c r="P144" s="111"/>
      <c r="Q144" s="111"/>
      <c r="R144" s="111"/>
      <c r="S144" s="18"/>
      <c r="T144" s="170"/>
      <c r="U144" s="18"/>
    </row>
    <row r="145" spans="2:24" s="127" customFormat="1" ht="15.75" thickBot="1" x14ac:dyDescent="0.3">
      <c r="B145" s="143" t="s">
        <v>130</v>
      </c>
      <c r="C145" s="143" t="s">
        <v>5</v>
      </c>
      <c r="D145" s="143" t="s">
        <v>151</v>
      </c>
      <c r="E145" s="143" t="s">
        <v>150</v>
      </c>
      <c r="F145" s="143" t="s">
        <v>112</v>
      </c>
      <c r="G145" s="143" t="s">
        <v>152</v>
      </c>
      <c r="H145" s="143"/>
      <c r="I145" s="142"/>
      <c r="J145" s="199"/>
      <c r="K145" s="142"/>
      <c r="L145" s="119"/>
      <c r="M145" s="111"/>
      <c r="N145" s="111"/>
      <c r="O145" s="111"/>
      <c r="P145" s="111"/>
      <c r="Q145" s="111"/>
      <c r="R145" s="111"/>
      <c r="T145" s="170"/>
      <c r="V145" s="44"/>
      <c r="W145" s="44"/>
    </row>
    <row r="146" spans="2:24" s="146" customFormat="1" ht="18.75" x14ac:dyDescent="0.3">
      <c r="B146" s="161" t="s">
        <v>1441</v>
      </c>
      <c r="C146" s="208">
        <v>43532</v>
      </c>
      <c r="D146" s="161" t="s">
        <v>299</v>
      </c>
      <c r="E146" s="161">
        <v>206.2</v>
      </c>
      <c r="F146" s="165">
        <f>+E146*EERR!$D$2</f>
        <v>137617.87999999998</v>
      </c>
      <c r="G146" s="165"/>
      <c r="H146" s="165"/>
      <c r="I146" s="192" t="s">
        <v>185</v>
      </c>
      <c r="J146" s="195"/>
      <c r="K146" s="145"/>
      <c r="L146" s="319"/>
      <c r="M146" s="338"/>
      <c r="N146" s="339"/>
      <c r="O146" s="340"/>
      <c r="P146" s="340"/>
      <c r="Q146" s="340"/>
      <c r="R146" s="341"/>
      <c r="S146" s="342"/>
      <c r="T146" s="170"/>
      <c r="U146" s="44"/>
      <c r="V146" s="44"/>
      <c r="W146" s="44"/>
      <c r="X146" s="146">
        <v>9.1999999999999993</v>
      </c>
    </row>
    <row r="147" spans="2:24" s="146" customFormat="1" ht="19.5" thickBot="1" x14ac:dyDescent="0.35">
      <c r="B147" s="161" t="s">
        <v>1442</v>
      </c>
      <c r="C147" s="208">
        <v>43549</v>
      </c>
      <c r="D147" s="161" t="s">
        <v>300</v>
      </c>
      <c r="E147" s="161">
        <v>90</v>
      </c>
      <c r="F147" s="165">
        <f>+E147*EERR!$D$2</f>
        <v>60066</v>
      </c>
      <c r="G147" s="165"/>
      <c r="H147" s="165"/>
      <c r="I147" s="192" t="s">
        <v>185</v>
      </c>
      <c r="J147" s="200"/>
      <c r="K147" s="145"/>
      <c r="L147" s="320"/>
      <c r="M147" s="343"/>
      <c r="N147" s="344"/>
      <c r="O147" s="345"/>
      <c r="P147" s="345"/>
      <c r="Q147" s="345"/>
      <c r="R147" s="346"/>
      <c r="S147" s="347"/>
      <c r="T147" s="170"/>
      <c r="U147" s="44"/>
      <c r="V147" s="44"/>
      <c r="W147" s="44"/>
      <c r="X147" s="146">
        <v>90</v>
      </c>
    </row>
    <row r="148" spans="2:24" s="209" customFormat="1" ht="19.5" thickBot="1" x14ac:dyDescent="0.35">
      <c r="B148" s="161"/>
      <c r="C148" s="208"/>
      <c r="D148" s="161"/>
      <c r="E148" s="161"/>
      <c r="F148" s="165"/>
      <c r="G148" s="165"/>
      <c r="H148" s="165"/>
      <c r="I148" s="192"/>
      <c r="J148" s="200"/>
      <c r="K148" s="145"/>
      <c r="L148" s="321"/>
      <c r="M148" s="322"/>
      <c r="N148" s="323"/>
      <c r="O148" s="323"/>
      <c r="P148" s="323"/>
      <c r="Q148" s="324"/>
      <c r="R148" s="303"/>
      <c r="S148" s="302"/>
      <c r="T148" s="170"/>
      <c r="U148" s="44"/>
      <c r="V148" s="44"/>
      <c r="W148" s="44"/>
    </row>
    <row r="149" spans="2:24" s="209" customFormat="1" ht="19.5" thickBot="1" x14ac:dyDescent="0.35">
      <c r="B149" s="161"/>
      <c r="C149" s="208"/>
      <c r="D149" s="161"/>
      <c r="E149" s="161"/>
      <c r="F149" s="165"/>
      <c r="G149" s="165"/>
      <c r="H149" s="165"/>
      <c r="I149" s="192"/>
      <c r="J149" s="200"/>
      <c r="K149" s="145"/>
      <c r="L149" s="119"/>
      <c r="M149" s="111"/>
      <c r="N149" s="111"/>
      <c r="O149" s="111"/>
      <c r="P149" s="111"/>
      <c r="Q149" s="111"/>
      <c r="R149" s="111"/>
      <c r="S149" s="303"/>
      <c r="T149" s="170"/>
      <c r="U149" s="44"/>
      <c r="V149" s="44"/>
      <c r="W149" s="44"/>
    </row>
    <row r="150" spans="2:24" s="127" customFormat="1" ht="18.75" x14ac:dyDescent="0.3">
      <c r="B150" s="161"/>
      <c r="C150" s="208"/>
      <c r="D150" s="161"/>
      <c r="E150" s="161"/>
      <c r="F150" s="165"/>
      <c r="G150" s="165"/>
      <c r="H150" s="165"/>
      <c r="I150" s="192"/>
      <c r="J150" s="200"/>
      <c r="K150" s="115"/>
      <c r="L150" s="119"/>
      <c r="M150" s="119"/>
      <c r="N150" s="111"/>
      <c r="O150" s="119"/>
      <c r="P150" s="111"/>
      <c r="Q150" s="111"/>
      <c r="R150" s="112"/>
      <c r="S150" s="112"/>
      <c r="T150" s="170"/>
      <c r="U150" s="44"/>
      <c r="V150" s="44"/>
      <c r="W150" s="44"/>
      <c r="X150" s="127">
        <v>50</v>
      </c>
    </row>
    <row r="151" spans="2:24" s="127" customFormat="1" ht="18.75" x14ac:dyDescent="0.3">
      <c r="B151" s="161"/>
      <c r="C151" s="208"/>
      <c r="D151" s="161"/>
      <c r="E151" s="161"/>
      <c r="F151" s="165"/>
      <c r="G151" s="165"/>
      <c r="H151" s="164"/>
      <c r="I151" s="192"/>
      <c r="J151" s="201"/>
      <c r="K151" s="115"/>
      <c r="L151" s="119"/>
      <c r="M151" s="119"/>
      <c r="N151" s="111"/>
      <c r="O151" s="119"/>
      <c r="P151" s="111"/>
      <c r="Q151" s="111"/>
      <c r="R151" s="112"/>
      <c r="S151" s="112"/>
      <c r="T151" s="170"/>
      <c r="U151" s="44"/>
      <c r="V151" s="44"/>
      <c r="W151" s="44"/>
      <c r="X151" s="127">
        <v>397.7</v>
      </c>
    </row>
    <row r="152" spans="2:24" s="127" customFormat="1" ht="18.75" x14ac:dyDescent="0.3">
      <c r="B152" s="113"/>
      <c r="C152" s="160"/>
      <c r="D152" s="114"/>
      <c r="E152" s="147"/>
      <c r="F152" s="165"/>
      <c r="G152" s="165"/>
      <c r="H152" s="164"/>
      <c r="I152" s="192"/>
      <c r="J152" s="201"/>
      <c r="K152" s="115"/>
      <c r="L152" s="119"/>
      <c r="M152" s="119"/>
      <c r="N152" s="111"/>
      <c r="O152" s="119"/>
      <c r="P152" s="111"/>
      <c r="Q152" s="111"/>
      <c r="R152" s="112"/>
      <c r="S152" s="112"/>
      <c r="T152" s="170"/>
      <c r="U152" s="44"/>
      <c r="V152" s="44"/>
      <c r="W152" s="44"/>
    </row>
    <row r="153" spans="2:24" s="127" customFormat="1" ht="18.75" x14ac:dyDescent="0.3">
      <c r="B153" s="160"/>
      <c r="C153" s="160"/>
      <c r="D153" s="161"/>
      <c r="E153" s="147"/>
      <c r="F153" s="165"/>
      <c r="G153" s="161"/>
      <c r="H153" s="164"/>
      <c r="I153" s="192"/>
      <c r="J153" s="196"/>
      <c r="K153" s="115"/>
      <c r="N153" s="111"/>
      <c r="O153" s="119"/>
      <c r="P153" s="111"/>
      <c r="Q153" s="111"/>
      <c r="R153" s="112"/>
      <c r="S153" s="112"/>
      <c r="T153" s="170"/>
      <c r="U153" s="44"/>
      <c r="V153" s="44"/>
      <c r="W153" s="44"/>
    </row>
    <row r="154" spans="2:24" s="127" customFormat="1" x14ac:dyDescent="0.2">
      <c r="B154" s="128"/>
      <c r="C154" s="129"/>
      <c r="D154" s="129"/>
      <c r="E154" s="129"/>
      <c r="F154" s="26"/>
      <c r="G154" s="119"/>
      <c r="H154" s="119"/>
      <c r="I154" s="119"/>
      <c r="J154" s="119"/>
      <c r="K154" s="119"/>
      <c r="N154" s="111"/>
      <c r="O154" s="119"/>
      <c r="P154" s="111"/>
      <c r="Q154" s="111"/>
      <c r="R154" s="112"/>
      <c r="S154" s="112"/>
      <c r="T154" s="170"/>
      <c r="U154" s="44"/>
      <c r="V154" s="44"/>
      <c r="W154" s="44"/>
    </row>
    <row r="155" spans="2:24" s="127" customFormat="1" x14ac:dyDescent="0.2">
      <c r="B155" s="128"/>
      <c r="C155" s="129"/>
      <c r="D155" s="129"/>
      <c r="E155" s="129"/>
      <c r="F155" s="26"/>
      <c r="G155" s="119"/>
      <c r="H155" s="119"/>
      <c r="I155" s="119"/>
      <c r="J155" s="119"/>
      <c r="K155" s="119"/>
      <c r="N155" s="111"/>
      <c r="O155" s="119"/>
      <c r="P155" s="111"/>
      <c r="Q155" s="111"/>
      <c r="R155" s="112"/>
      <c r="S155" s="112"/>
      <c r="T155" s="170"/>
      <c r="U155" s="44"/>
      <c r="V155" s="44"/>
      <c r="W155" s="44"/>
    </row>
    <row r="156" spans="2:24" s="127" customFormat="1" x14ac:dyDescent="0.2">
      <c r="B156" s="128"/>
      <c r="C156" s="129"/>
      <c r="D156" s="129"/>
      <c r="E156" s="129"/>
      <c r="F156" s="170">
        <f>SUBTOTAL(9,F3:F153)</f>
        <v>9742253.8900000006</v>
      </c>
      <c r="G156" s="170">
        <f>SUBTOTAL(9,G3:G153)</f>
        <v>10572735</v>
      </c>
      <c r="H156" s="170"/>
      <c r="I156" s="119"/>
      <c r="J156" s="146"/>
      <c r="K156" s="119"/>
      <c r="L156" s="44"/>
      <c r="M156" s="44"/>
      <c r="N156" s="44"/>
      <c r="O156" s="44"/>
      <c r="P156" s="111"/>
      <c r="Q156" s="111"/>
      <c r="R156" s="112"/>
      <c r="S156" s="112"/>
      <c r="T156" s="170"/>
      <c r="U156" s="44"/>
      <c r="V156" s="44"/>
      <c r="W156" s="44"/>
    </row>
    <row r="157" spans="2:24" x14ac:dyDescent="0.2">
      <c r="B157" s="28"/>
      <c r="E157" s="27"/>
      <c r="F157" s="28"/>
      <c r="G157" s="45"/>
      <c r="H157" s="61"/>
      <c r="I157" s="61" t="s">
        <v>4</v>
      </c>
      <c r="J157" s="146"/>
      <c r="L157" s="44"/>
      <c r="M157" s="44"/>
      <c r="N157" s="44"/>
      <c r="O157" s="44"/>
      <c r="P157" s="111"/>
      <c r="Q157" s="111"/>
      <c r="R157" s="112"/>
      <c r="S157" s="112"/>
      <c r="T157" s="170"/>
    </row>
    <row r="158" spans="2:24" ht="18.75" x14ac:dyDescent="0.3">
      <c r="B158" s="28"/>
      <c r="E158" s="27"/>
      <c r="F158" s="28"/>
      <c r="G158" s="45"/>
      <c r="H158" s="62">
        <f t="shared" ref="H158:H174" si="8">SUMIF($I$3:$I$153,I158,$F$3:$F$153)-SUMIF($I$3:$I$153,I158,$G$3:$G$153)</f>
        <v>18326</v>
      </c>
      <c r="I158" s="192" t="s">
        <v>186</v>
      </c>
      <c r="J158" s="146"/>
      <c r="L158" s="44"/>
      <c r="M158" s="44"/>
      <c r="N158" s="44"/>
      <c r="O158" s="44"/>
      <c r="P158" s="105"/>
      <c r="T158" s="170"/>
    </row>
    <row r="159" spans="2:24" ht="18.75" x14ac:dyDescent="0.3">
      <c r="B159" s="28"/>
      <c r="E159" s="27"/>
      <c r="F159" s="28"/>
      <c r="G159" s="45"/>
      <c r="H159" s="62">
        <f t="shared" si="8"/>
        <v>2555384</v>
      </c>
      <c r="I159" s="192" t="s">
        <v>31</v>
      </c>
      <c r="J159" s="146"/>
      <c r="L159" s="44"/>
      <c r="M159" s="44"/>
      <c r="N159" s="44"/>
      <c r="O159" s="44"/>
      <c r="P159" s="159"/>
      <c r="Q159" s="111"/>
      <c r="R159" s="112"/>
      <c r="S159" s="112"/>
      <c r="T159" s="170"/>
    </row>
    <row r="160" spans="2:24" ht="18.75" x14ac:dyDescent="0.3">
      <c r="B160" s="28"/>
      <c r="E160" s="27"/>
      <c r="F160" s="28"/>
      <c r="G160" s="45"/>
      <c r="H160" s="62">
        <f t="shared" si="8"/>
        <v>1570887</v>
      </c>
      <c r="I160" s="192" t="s">
        <v>113</v>
      </c>
      <c r="J160" s="146"/>
      <c r="L160" s="44"/>
      <c r="M160" s="44"/>
      <c r="N160" s="44"/>
      <c r="O160" s="44"/>
      <c r="P160" s="159"/>
      <c r="Q160" s="111"/>
      <c r="R160" s="112"/>
      <c r="S160" s="112"/>
      <c r="T160" s="170"/>
    </row>
    <row r="161" spans="2:23" ht="18.75" x14ac:dyDescent="0.3">
      <c r="B161" s="28"/>
      <c r="E161" s="27"/>
      <c r="F161" s="28"/>
      <c r="G161" s="45"/>
      <c r="H161" s="62">
        <f t="shared" si="8"/>
        <v>197683.87999999998</v>
      </c>
      <c r="I161" s="193" t="s">
        <v>185</v>
      </c>
      <c r="J161" s="146"/>
      <c r="L161" s="44"/>
      <c r="M161" s="44"/>
      <c r="N161" s="44"/>
      <c r="O161" s="44"/>
      <c r="P161" s="159"/>
      <c r="Q161" s="111"/>
      <c r="R161" s="112"/>
      <c r="S161" s="112"/>
      <c r="T161" s="170"/>
    </row>
    <row r="162" spans="2:23" ht="18.75" x14ac:dyDescent="0.3">
      <c r="F162" s="28"/>
      <c r="G162" s="45"/>
      <c r="H162" s="62">
        <f t="shared" si="8"/>
        <v>493743</v>
      </c>
      <c r="I162" s="193" t="s">
        <v>8</v>
      </c>
      <c r="J162" s="146"/>
      <c r="L162" s="44"/>
      <c r="M162" s="44"/>
      <c r="N162" s="44"/>
      <c r="O162" s="44"/>
      <c r="P162" s="159"/>
      <c r="Q162" s="111"/>
      <c r="R162" s="112"/>
      <c r="S162" s="112"/>
      <c r="T162" s="170"/>
    </row>
    <row r="163" spans="2:23" ht="18.75" x14ac:dyDescent="0.3">
      <c r="F163" s="28"/>
      <c r="G163" s="45"/>
      <c r="H163" s="62">
        <f t="shared" si="8"/>
        <v>2500000</v>
      </c>
      <c r="I163" s="194" t="s">
        <v>187</v>
      </c>
      <c r="J163" s="146"/>
      <c r="L163" s="44"/>
      <c r="M163" s="44"/>
      <c r="N163" s="44"/>
      <c r="O163" s="44"/>
      <c r="P163" s="159"/>
      <c r="Q163" s="111"/>
      <c r="R163" s="112"/>
      <c r="S163" s="112"/>
      <c r="T163" s="170"/>
    </row>
    <row r="164" spans="2:23" ht="18.75" x14ac:dyDescent="0.3">
      <c r="F164" s="28"/>
      <c r="G164" s="45"/>
      <c r="H164" s="62">
        <f t="shared" si="8"/>
        <v>761741</v>
      </c>
      <c r="I164" s="192" t="s">
        <v>189</v>
      </c>
      <c r="J164" s="146"/>
      <c r="L164" s="44"/>
      <c r="M164" s="44"/>
      <c r="N164" s="44"/>
      <c r="O164" s="44"/>
      <c r="P164" s="18"/>
      <c r="Q164" s="18"/>
      <c r="R164" s="18"/>
      <c r="S164" s="18"/>
      <c r="T164" s="170"/>
    </row>
    <row r="165" spans="2:23" ht="18.75" x14ac:dyDescent="0.3">
      <c r="F165" s="28"/>
      <c r="G165" s="45"/>
      <c r="H165" s="62">
        <f t="shared" si="8"/>
        <v>747584.01</v>
      </c>
      <c r="I165" s="192" t="s">
        <v>188</v>
      </c>
      <c r="J165" s="146"/>
      <c r="L165" s="44"/>
      <c r="M165" s="44"/>
      <c r="N165" s="44"/>
      <c r="O165" s="44"/>
      <c r="P165" s="18"/>
      <c r="Q165" s="18"/>
      <c r="R165" s="18"/>
      <c r="S165" s="18"/>
      <c r="T165" s="170"/>
    </row>
    <row r="166" spans="2:23" ht="18.75" x14ac:dyDescent="0.3">
      <c r="F166" s="28"/>
      <c r="G166" s="45"/>
      <c r="H166" s="62">
        <f t="shared" si="8"/>
        <v>0</v>
      </c>
      <c r="I166" s="194" t="s">
        <v>24</v>
      </c>
      <c r="J166" s="146"/>
      <c r="L166" s="44"/>
      <c r="M166" s="44"/>
      <c r="N166" s="44"/>
      <c r="O166" s="44"/>
      <c r="P166" s="18"/>
      <c r="Q166" s="18"/>
      <c r="R166" s="18"/>
      <c r="S166" s="18"/>
      <c r="T166" s="170"/>
    </row>
    <row r="167" spans="2:23" ht="18.75" x14ac:dyDescent="0.3">
      <c r="F167" s="28"/>
      <c r="G167" s="45"/>
      <c r="H167" s="62">
        <f t="shared" si="8"/>
        <v>0</v>
      </c>
      <c r="I167" s="192" t="s">
        <v>11</v>
      </c>
      <c r="J167" s="146"/>
      <c r="L167" s="44"/>
      <c r="M167" s="44"/>
      <c r="N167" s="44"/>
      <c r="O167" s="44"/>
      <c r="P167" s="52"/>
      <c r="Q167" s="18"/>
      <c r="R167" s="18"/>
      <c r="S167" s="18"/>
      <c r="T167" s="170"/>
    </row>
    <row r="168" spans="2:23" ht="18.75" x14ac:dyDescent="0.3">
      <c r="F168" s="28"/>
      <c r="G168" s="45"/>
      <c r="H168" s="62">
        <f t="shared" si="8"/>
        <v>4289108</v>
      </c>
      <c r="I168" s="192" t="s">
        <v>19</v>
      </c>
      <c r="J168" s="146"/>
      <c r="L168" s="44"/>
      <c r="M168" s="44"/>
      <c r="N168" s="44"/>
      <c r="O168" s="44"/>
      <c r="P168" s="18"/>
      <c r="Q168" s="18"/>
      <c r="R168" s="18"/>
      <c r="S168" s="18"/>
      <c r="T168" s="170"/>
    </row>
    <row r="169" spans="2:23" ht="18.75" x14ac:dyDescent="0.3">
      <c r="F169" s="28"/>
      <c r="G169" s="45"/>
      <c r="H169" s="62">
        <f t="shared" si="8"/>
        <v>1853545</v>
      </c>
      <c r="I169" s="193" t="s">
        <v>190</v>
      </c>
      <c r="J169" s="146"/>
      <c r="L169" s="44"/>
      <c r="M169" s="44"/>
      <c r="N169" s="44"/>
      <c r="O169" s="44"/>
      <c r="P169" s="18"/>
      <c r="Q169" s="18"/>
      <c r="R169" s="18"/>
      <c r="S169" s="18"/>
      <c r="T169" s="170"/>
    </row>
    <row r="170" spans="2:23" ht="18.75" x14ac:dyDescent="0.3">
      <c r="F170" s="28"/>
      <c r="G170" s="45"/>
      <c r="H170" s="62">
        <f t="shared" si="8"/>
        <v>7920080</v>
      </c>
      <c r="I170" s="192" t="s">
        <v>30</v>
      </c>
      <c r="J170" s="146"/>
      <c r="L170" s="44"/>
      <c r="M170" s="44"/>
      <c r="N170" s="44"/>
      <c r="O170" s="44"/>
      <c r="P170" s="18"/>
      <c r="Q170" s="18"/>
      <c r="R170" s="18"/>
      <c r="S170" s="18"/>
      <c r="T170" s="170"/>
    </row>
    <row r="171" spans="2:23" ht="18.75" x14ac:dyDescent="0.3">
      <c r="F171" s="28"/>
      <c r="G171" s="45"/>
      <c r="H171" s="62">
        <f t="shared" si="8"/>
        <v>0</v>
      </c>
      <c r="I171" s="193" t="s">
        <v>146</v>
      </c>
      <c r="J171" s="146"/>
      <c r="L171" s="44"/>
      <c r="M171" s="44"/>
      <c r="N171" s="44"/>
      <c r="O171" s="44"/>
      <c r="P171" s="52"/>
      <c r="Q171" s="18"/>
      <c r="R171" s="18"/>
      <c r="S171" s="18"/>
      <c r="T171" s="170"/>
    </row>
    <row r="172" spans="2:23" ht="18.75" x14ac:dyDescent="0.3">
      <c r="F172" s="28"/>
      <c r="G172" s="45"/>
      <c r="H172" s="62">
        <f t="shared" si="8"/>
        <v>-25000000</v>
      </c>
      <c r="I172" s="192" t="s">
        <v>147</v>
      </c>
      <c r="J172" s="209"/>
      <c r="L172" s="44"/>
      <c r="M172" s="44"/>
      <c r="N172" s="44"/>
      <c r="O172" s="44"/>
    </row>
    <row r="173" spans="2:23" ht="18.75" x14ac:dyDescent="0.3">
      <c r="F173" s="28"/>
      <c r="G173" s="45"/>
      <c r="H173" s="62">
        <f t="shared" si="8"/>
        <v>-1142263</v>
      </c>
      <c r="I173" s="192" t="s">
        <v>191</v>
      </c>
      <c r="J173" s="146"/>
      <c r="L173" s="44"/>
      <c r="M173" s="44"/>
      <c r="N173" s="44"/>
      <c r="O173" s="44"/>
    </row>
    <row r="174" spans="2:23" ht="18.75" x14ac:dyDescent="0.3">
      <c r="F174" s="28"/>
      <c r="G174" s="45"/>
      <c r="H174" s="62">
        <f t="shared" si="8"/>
        <v>6150</v>
      </c>
      <c r="I174" s="192" t="s">
        <v>192</v>
      </c>
      <c r="J174" s="146"/>
      <c r="L174" s="44"/>
      <c r="M174" s="44"/>
      <c r="N174" s="44"/>
      <c r="O174" s="44"/>
      <c r="P174" s="104"/>
    </row>
    <row r="175" spans="2:23" s="57" customFormat="1" x14ac:dyDescent="0.2">
      <c r="G175" s="46"/>
      <c r="H175" s="63">
        <f>SUM(H158:H173)</f>
        <v>-3234181.1099999994</v>
      </c>
      <c r="I175" s="61" t="s">
        <v>22</v>
      </c>
      <c r="J175" s="146"/>
      <c r="L175" s="44"/>
      <c r="M175" s="44"/>
      <c r="N175" s="44"/>
      <c r="O175" s="44"/>
      <c r="P175" s="44"/>
      <c r="Q175" s="44"/>
      <c r="R175" s="44"/>
      <c r="S175" s="105"/>
      <c r="T175" s="105"/>
      <c r="U175" s="44"/>
      <c r="V175" s="44"/>
      <c r="W175" s="44"/>
    </row>
    <row r="176" spans="2:23" x14ac:dyDescent="0.2">
      <c r="B176" s="52"/>
      <c r="F176" s="82"/>
      <c r="G176" s="82"/>
      <c r="H176" s="82"/>
      <c r="J176" s="146"/>
      <c r="L176" s="44"/>
      <c r="M176" s="44"/>
      <c r="N176" s="44"/>
      <c r="O176" s="44"/>
    </row>
    <row r="177" spans="1:16" x14ac:dyDescent="0.2">
      <c r="B177" s="52"/>
      <c r="F177" s="82"/>
      <c r="G177" s="82"/>
      <c r="H177" s="82"/>
    </row>
    <row r="178" spans="1:16" x14ac:dyDescent="0.2">
      <c r="B178" s="52"/>
      <c r="F178" s="82"/>
      <c r="G178" s="82"/>
      <c r="H178" s="82"/>
      <c r="P178" s="104"/>
    </row>
    <row r="179" spans="1:16" x14ac:dyDescent="0.2">
      <c r="B179" s="52"/>
      <c r="F179" s="82"/>
      <c r="G179" s="82"/>
      <c r="H179" s="82"/>
    </row>
    <row r="180" spans="1:16" x14ac:dyDescent="0.2">
      <c r="B180" s="52"/>
      <c r="F180" s="82"/>
      <c r="G180" s="82"/>
      <c r="H180" s="82"/>
      <c r="O180" s="120"/>
    </row>
    <row r="181" spans="1:16" x14ac:dyDescent="0.2">
      <c r="B181" s="146"/>
      <c r="C181" s="146"/>
      <c r="D181" s="146"/>
      <c r="E181" s="146"/>
      <c r="F181" s="146"/>
      <c r="G181" s="146"/>
      <c r="H181" s="146"/>
    </row>
    <row r="182" spans="1:16" x14ac:dyDescent="0.2">
      <c r="B182" s="146"/>
      <c r="C182" s="146"/>
      <c r="D182" s="146"/>
      <c r="E182" s="146"/>
      <c r="F182" s="146"/>
      <c r="G182" s="146"/>
      <c r="H182" s="146"/>
      <c r="I182" s="104"/>
      <c r="J182" s="104"/>
      <c r="K182" s="104"/>
      <c r="L182" s="104"/>
      <c r="M182" s="104"/>
      <c r="P182" s="104"/>
    </row>
    <row r="183" spans="1:16" x14ac:dyDescent="0.2">
      <c r="A183" s="146"/>
      <c r="B183" s="146"/>
      <c r="C183" s="146"/>
      <c r="D183" s="146"/>
      <c r="E183" s="146"/>
      <c r="F183" s="146"/>
      <c r="G183" s="146"/>
      <c r="H183" s="146"/>
      <c r="I183" s="146"/>
      <c r="J183" s="146"/>
      <c r="K183" s="146"/>
      <c r="L183" s="146"/>
      <c r="M183" s="146"/>
    </row>
    <row r="184" spans="1:16" x14ac:dyDescent="0.2">
      <c r="A184" s="146"/>
      <c r="B184" s="146"/>
      <c r="C184" s="146"/>
      <c r="D184" s="146"/>
      <c r="E184" s="146"/>
      <c r="F184" s="146"/>
      <c r="G184" s="146"/>
      <c r="H184" s="146"/>
      <c r="I184" s="146"/>
      <c r="J184" s="146"/>
      <c r="K184" s="146"/>
      <c r="L184" s="146"/>
      <c r="M184" s="146"/>
      <c r="O184" s="120"/>
    </row>
    <row r="185" spans="1:16" x14ac:dyDescent="0.2">
      <c r="A185" s="146"/>
      <c r="B185" s="146"/>
      <c r="C185" s="146"/>
      <c r="D185" s="146"/>
      <c r="E185" s="146"/>
      <c r="F185" s="146"/>
      <c r="G185" s="146"/>
      <c r="H185" s="146"/>
      <c r="I185" s="146"/>
      <c r="J185" s="146"/>
      <c r="K185" s="146"/>
      <c r="L185" s="146"/>
      <c r="M185" s="146"/>
    </row>
    <row r="186" spans="1:16" x14ac:dyDescent="0.2">
      <c r="A186" s="146"/>
      <c r="B186" s="146"/>
      <c r="C186" s="146"/>
      <c r="D186" s="146"/>
      <c r="E186" s="146"/>
      <c r="F186" s="146"/>
      <c r="G186" s="146"/>
      <c r="H186" s="146"/>
      <c r="I186" s="146"/>
      <c r="J186" s="146"/>
      <c r="K186" s="146"/>
      <c r="L186" s="146"/>
      <c r="M186" s="146"/>
      <c r="P186" s="104"/>
    </row>
    <row r="187" spans="1:16" x14ac:dyDescent="0.2">
      <c r="A187" s="146"/>
      <c r="B187" s="146"/>
      <c r="C187" s="146"/>
      <c r="D187" s="146"/>
      <c r="E187" s="146"/>
      <c r="F187" s="146"/>
      <c r="G187" s="146"/>
      <c r="H187" s="146"/>
      <c r="I187" s="146"/>
      <c r="J187" s="146"/>
      <c r="K187" s="146"/>
      <c r="L187" s="146"/>
      <c r="M187" s="146"/>
    </row>
    <row r="188" spans="1:16" x14ac:dyDescent="0.2">
      <c r="A188" s="146"/>
      <c r="B188" s="146"/>
      <c r="C188" s="146"/>
      <c r="D188" s="146"/>
      <c r="E188" s="146"/>
      <c r="F188" s="146"/>
      <c r="G188" s="146"/>
      <c r="H188" s="146"/>
      <c r="I188" s="146"/>
      <c r="J188" s="146"/>
      <c r="K188" s="146"/>
      <c r="L188" s="146"/>
      <c r="M188" s="146"/>
      <c r="O188" s="120"/>
    </row>
    <row r="189" spans="1:16" x14ac:dyDescent="0.2">
      <c r="A189" s="146"/>
      <c r="B189" s="146"/>
      <c r="C189" s="146"/>
      <c r="D189" s="146"/>
      <c r="E189" s="146"/>
      <c r="F189" s="146"/>
      <c r="G189" s="146"/>
      <c r="H189" s="146"/>
      <c r="I189" s="146"/>
      <c r="J189" s="146"/>
      <c r="K189" s="146"/>
      <c r="L189" s="146"/>
      <c r="M189" s="146"/>
    </row>
    <row r="190" spans="1:16" x14ac:dyDescent="0.2">
      <c r="A190" s="146"/>
      <c r="B190" s="146"/>
      <c r="C190" s="146"/>
      <c r="D190" s="146"/>
      <c r="E190" s="146"/>
      <c r="F190" s="146"/>
      <c r="G190" s="146"/>
      <c r="H190" s="146"/>
      <c r="I190" s="146"/>
      <c r="J190" s="146"/>
      <c r="K190" s="146"/>
      <c r="L190" s="146"/>
      <c r="M190" s="146"/>
      <c r="P190" s="104"/>
    </row>
    <row r="191" spans="1:16" x14ac:dyDescent="0.2">
      <c r="A191" s="146"/>
      <c r="B191" s="146"/>
      <c r="C191" s="146"/>
      <c r="D191" s="146"/>
      <c r="E191" s="146"/>
      <c r="F191" s="146"/>
      <c r="G191" s="146"/>
      <c r="H191" s="146"/>
      <c r="I191" s="146"/>
      <c r="J191" s="146"/>
      <c r="K191" s="146"/>
      <c r="L191" s="146"/>
      <c r="M191" s="146"/>
    </row>
    <row r="192" spans="1:16" x14ac:dyDescent="0.2">
      <c r="A192" s="146"/>
      <c r="B192" s="146"/>
      <c r="C192" s="146"/>
      <c r="D192" s="146"/>
      <c r="E192" s="146"/>
      <c r="F192" s="146"/>
      <c r="G192" s="146"/>
      <c r="H192" s="146"/>
      <c r="I192" s="146"/>
      <c r="J192" s="146"/>
      <c r="K192" s="146"/>
      <c r="L192" s="146"/>
      <c r="M192" s="146"/>
      <c r="O192" s="120"/>
    </row>
    <row r="193" spans="1:16" x14ac:dyDescent="0.2">
      <c r="A193" s="146"/>
      <c r="B193" s="146"/>
      <c r="C193" s="146"/>
      <c r="D193" s="146"/>
      <c r="E193" s="146"/>
      <c r="F193" s="146"/>
      <c r="G193" s="146"/>
      <c r="H193" s="146"/>
      <c r="I193" s="146"/>
      <c r="J193" s="146"/>
      <c r="K193" s="146"/>
      <c r="L193" s="146"/>
      <c r="M193" s="146"/>
    </row>
    <row r="194" spans="1:16" x14ac:dyDescent="0.2">
      <c r="I194" s="104"/>
      <c r="J194" s="104"/>
      <c r="K194" s="104"/>
      <c r="L194" s="104"/>
      <c r="M194" s="104"/>
      <c r="P194" s="104"/>
    </row>
    <row r="196" spans="1:16" x14ac:dyDescent="0.2">
      <c r="O196" s="120"/>
    </row>
    <row r="198" spans="1:16" x14ac:dyDescent="0.2">
      <c r="P198" s="104"/>
    </row>
    <row r="200" spans="1:16" x14ac:dyDescent="0.2">
      <c r="O200" s="120"/>
    </row>
    <row r="202" spans="1:16" x14ac:dyDescent="0.2">
      <c r="P202" s="104"/>
    </row>
    <row r="204" spans="1:16" x14ac:dyDescent="0.2">
      <c r="O204" s="120"/>
    </row>
    <row r="207" spans="1:16" x14ac:dyDescent="0.2">
      <c r="O207" s="120"/>
    </row>
  </sheetData>
  <autoFilter ref="O2:W36">
    <filterColumn colId="7">
      <filters>
        <filter val="Panaderia La Franchuteria"/>
      </filters>
    </filterColumn>
  </autoFilter>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Clases de Costos">
          <x14:formula1>
            <xm:f>'1'!$A$2:$A$18</xm:f>
          </x14:formula1>
          <xm:sqref>I80:I105 I146:I153 I119:I144</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zoomScale="85" zoomScaleNormal="85" workbookViewId="0">
      <selection activeCell="B26" sqref="B26"/>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8" t="s">
        <v>67</v>
      </c>
      <c r="B1" s="69" t="s">
        <v>68</v>
      </c>
      <c r="C1" s="69" t="s">
        <v>69</v>
      </c>
      <c r="D1" s="70" t="s">
        <v>70</v>
      </c>
      <c r="E1" s="69" t="s">
        <v>71</v>
      </c>
      <c r="F1" s="69" t="s">
        <v>86</v>
      </c>
      <c r="G1" s="71" t="s">
        <v>37</v>
      </c>
      <c r="H1" s="72">
        <f>F2</f>
        <v>11254824</v>
      </c>
      <c r="J1" t="s">
        <v>38</v>
      </c>
    </row>
    <row r="2" spans="1:17" ht="18.75" x14ac:dyDescent="0.3">
      <c r="A2" s="65">
        <v>43556</v>
      </c>
      <c r="B2" s="66" t="s">
        <v>211</v>
      </c>
      <c r="C2" s="223">
        <v>77460280</v>
      </c>
      <c r="D2" s="67">
        <v>5000000</v>
      </c>
      <c r="E2" s="67">
        <v>0</v>
      </c>
      <c r="F2" s="224">
        <v>11254824</v>
      </c>
      <c r="G2" s="192" t="s">
        <v>146</v>
      </c>
      <c r="J2" s="2" t="s">
        <v>5</v>
      </c>
      <c r="K2" s="2" t="s">
        <v>116</v>
      </c>
      <c r="L2" s="2" t="s">
        <v>117</v>
      </c>
      <c r="M2" s="2" t="s">
        <v>118</v>
      </c>
      <c r="N2" s="2" t="s">
        <v>119</v>
      </c>
      <c r="O2" s="2" t="s">
        <v>120</v>
      </c>
      <c r="P2" s="2" t="s">
        <v>121</v>
      </c>
    </row>
    <row r="3" spans="1:17" ht="18.75" x14ac:dyDescent="0.3">
      <c r="A3" s="65">
        <v>43556</v>
      </c>
      <c r="B3" s="66" t="s">
        <v>211</v>
      </c>
      <c r="C3" s="223">
        <v>77460477</v>
      </c>
      <c r="D3" s="67">
        <v>5000000</v>
      </c>
      <c r="E3" s="67">
        <v>0</v>
      </c>
      <c r="F3" s="224">
        <v>6254824</v>
      </c>
      <c r="G3" s="192" t="s">
        <v>146</v>
      </c>
      <c r="J3" s="135"/>
      <c r="K3" s="133"/>
      <c r="L3" s="133"/>
      <c r="M3" s="133"/>
      <c r="N3" s="133"/>
      <c r="O3" s="133"/>
      <c r="P3" s="134"/>
    </row>
    <row r="4" spans="1:17" ht="18.75" x14ac:dyDescent="0.3">
      <c r="A4" s="65">
        <v>43557</v>
      </c>
      <c r="B4" s="66" t="s">
        <v>208</v>
      </c>
      <c r="C4" s="223">
        <v>0</v>
      </c>
      <c r="D4" s="67">
        <v>0</v>
      </c>
      <c r="E4" s="67">
        <v>736834</v>
      </c>
      <c r="F4" s="224">
        <v>6991658</v>
      </c>
      <c r="G4" s="192" t="s">
        <v>147</v>
      </c>
      <c r="J4" s="135"/>
      <c r="K4" s="133"/>
      <c r="L4" s="133"/>
      <c r="M4" s="133"/>
      <c r="N4" s="133"/>
      <c r="O4" s="133"/>
      <c r="P4" s="134"/>
    </row>
    <row r="5" spans="1:17" ht="18.75" x14ac:dyDescent="0.3">
      <c r="A5" s="65">
        <v>43558</v>
      </c>
      <c r="B5" s="66" t="s">
        <v>208</v>
      </c>
      <c r="C5" s="223">
        <v>0</v>
      </c>
      <c r="D5" s="67">
        <v>0</v>
      </c>
      <c r="E5" s="67">
        <v>626051</v>
      </c>
      <c r="F5" s="224">
        <v>7617709</v>
      </c>
      <c r="G5" s="192" t="s">
        <v>147</v>
      </c>
      <c r="J5" s="135"/>
      <c r="K5" s="133"/>
      <c r="L5" s="133"/>
      <c r="M5" s="133"/>
      <c r="N5" s="133"/>
      <c r="O5" s="133"/>
      <c r="P5" s="134"/>
    </row>
    <row r="6" spans="1:17" ht="18.75" x14ac:dyDescent="0.3">
      <c r="A6" s="65">
        <v>43559</v>
      </c>
      <c r="B6" s="66" t="s">
        <v>208</v>
      </c>
      <c r="C6" s="223">
        <v>0</v>
      </c>
      <c r="D6" s="67">
        <v>0</v>
      </c>
      <c r="E6" s="67">
        <v>319918</v>
      </c>
      <c r="F6" s="224">
        <v>7937627</v>
      </c>
      <c r="G6" s="192" t="s">
        <v>147</v>
      </c>
      <c r="J6" s="135"/>
      <c r="K6" s="133"/>
      <c r="L6" s="133"/>
      <c r="M6" s="133"/>
      <c r="N6" s="133"/>
      <c r="O6" s="133"/>
      <c r="P6" s="134"/>
    </row>
    <row r="7" spans="1:17" ht="18.75" x14ac:dyDescent="0.3">
      <c r="A7" s="65">
        <v>43563</v>
      </c>
      <c r="B7" s="66" t="s">
        <v>209</v>
      </c>
      <c r="C7" s="223">
        <v>0</v>
      </c>
      <c r="D7" s="67">
        <v>695</v>
      </c>
      <c r="E7" s="67">
        <v>0</v>
      </c>
      <c r="F7" s="224">
        <v>7936932</v>
      </c>
      <c r="G7" s="192" t="s">
        <v>186</v>
      </c>
      <c r="J7" s="135"/>
      <c r="K7" s="133"/>
      <c r="L7" s="133"/>
      <c r="M7" s="133"/>
      <c r="N7" s="133"/>
      <c r="O7" s="133"/>
      <c r="P7" s="134"/>
      <c r="Q7" s="138"/>
    </row>
    <row r="8" spans="1:17" ht="18.75" x14ac:dyDescent="0.3">
      <c r="A8" s="65">
        <v>43563</v>
      </c>
      <c r="B8" s="66" t="s">
        <v>210</v>
      </c>
      <c r="C8" s="223">
        <v>0</v>
      </c>
      <c r="D8" s="67">
        <v>132</v>
      </c>
      <c r="E8" s="67">
        <v>0</v>
      </c>
      <c r="F8" s="224">
        <v>7936800</v>
      </c>
      <c r="G8" s="192" t="s">
        <v>186</v>
      </c>
      <c r="J8" s="135"/>
      <c r="K8" s="133"/>
      <c r="L8" s="133"/>
      <c r="M8" s="133"/>
      <c r="N8" s="133"/>
      <c r="O8" s="133"/>
      <c r="P8" s="134"/>
    </row>
    <row r="9" spans="1:17" ht="18.75" x14ac:dyDescent="0.3">
      <c r="A9" s="65">
        <v>43564</v>
      </c>
      <c r="B9" s="66" t="s">
        <v>208</v>
      </c>
      <c r="C9" s="223">
        <v>0</v>
      </c>
      <c r="D9" s="67">
        <v>0</v>
      </c>
      <c r="E9" s="67">
        <v>13641</v>
      </c>
      <c r="F9" s="224">
        <v>7950441</v>
      </c>
      <c r="G9" s="192" t="s">
        <v>147</v>
      </c>
      <c r="J9" s="135"/>
      <c r="K9" s="133"/>
      <c r="L9" s="133"/>
      <c r="M9" s="133"/>
      <c r="N9" s="133"/>
      <c r="O9" s="133"/>
      <c r="P9" s="134"/>
      <c r="Q9" s="138"/>
    </row>
    <row r="10" spans="1:17" ht="18.75" x14ac:dyDescent="0.3">
      <c r="A10" s="65">
        <v>43565</v>
      </c>
      <c r="B10" s="66" t="s">
        <v>208</v>
      </c>
      <c r="C10" s="223">
        <v>0</v>
      </c>
      <c r="D10" s="67">
        <v>0</v>
      </c>
      <c r="E10" s="67">
        <v>307509</v>
      </c>
      <c r="F10" s="224">
        <v>8257950</v>
      </c>
      <c r="G10" s="192" t="s">
        <v>147</v>
      </c>
      <c r="J10" s="135"/>
      <c r="K10" s="133"/>
      <c r="L10" s="133"/>
      <c r="M10" s="133"/>
      <c r="N10" s="133"/>
      <c r="O10" s="133"/>
      <c r="P10" s="134"/>
    </row>
    <row r="11" spans="1:17" ht="18.75" x14ac:dyDescent="0.3">
      <c r="A11" s="65">
        <v>43565</v>
      </c>
      <c r="B11" s="66" t="s">
        <v>168</v>
      </c>
      <c r="C11" s="223">
        <v>78564195</v>
      </c>
      <c r="D11" s="67">
        <v>1688501</v>
      </c>
      <c r="E11" s="67">
        <v>0</v>
      </c>
      <c r="F11" s="224">
        <v>6569449</v>
      </c>
      <c r="G11" s="192" t="s">
        <v>30</v>
      </c>
      <c r="J11" s="135"/>
      <c r="K11" s="133"/>
      <c r="L11" s="133"/>
      <c r="M11" s="133"/>
      <c r="N11" s="133"/>
      <c r="O11" s="133"/>
      <c r="P11" s="134"/>
    </row>
    <row r="12" spans="1:17" ht="18.75" x14ac:dyDescent="0.3">
      <c r="A12" s="65">
        <v>43565</v>
      </c>
      <c r="B12" s="66" t="s">
        <v>252</v>
      </c>
      <c r="C12" s="223">
        <v>526257</v>
      </c>
      <c r="D12" s="67">
        <v>906768</v>
      </c>
      <c r="E12" s="67">
        <v>0</v>
      </c>
      <c r="F12" s="224">
        <v>5662681</v>
      </c>
      <c r="G12" s="192" t="s">
        <v>19</v>
      </c>
      <c r="H12" s="210"/>
      <c r="J12" s="135"/>
      <c r="K12" s="133"/>
      <c r="L12" s="133"/>
      <c r="M12" s="133"/>
      <c r="N12" s="133"/>
      <c r="O12" s="133"/>
      <c r="P12" s="134"/>
    </row>
    <row r="13" spans="1:17" ht="18.75" x14ac:dyDescent="0.3">
      <c r="A13" s="65">
        <v>43570</v>
      </c>
      <c r="B13" s="66" t="s">
        <v>211</v>
      </c>
      <c r="C13" s="223">
        <v>78982687</v>
      </c>
      <c r="D13" s="67">
        <v>5000000</v>
      </c>
      <c r="E13" s="67">
        <v>0</v>
      </c>
      <c r="F13" s="224">
        <v>662681</v>
      </c>
      <c r="G13" s="192" t="s">
        <v>146</v>
      </c>
      <c r="H13" s="210"/>
      <c r="J13" s="135"/>
      <c r="K13" s="133"/>
      <c r="L13" s="133"/>
      <c r="M13" s="133"/>
      <c r="N13" s="133"/>
      <c r="O13" s="133"/>
      <c r="P13" s="134"/>
    </row>
    <row r="14" spans="1:17" ht="18.75" x14ac:dyDescent="0.3">
      <c r="A14" s="65">
        <v>43571</v>
      </c>
      <c r="B14" s="66" t="s">
        <v>1445</v>
      </c>
      <c r="C14" s="223">
        <v>79180970</v>
      </c>
      <c r="D14" s="67">
        <v>0</v>
      </c>
      <c r="E14" s="67">
        <v>19866000</v>
      </c>
      <c r="F14" s="224">
        <v>20528681</v>
      </c>
      <c r="G14" s="192" t="s">
        <v>147</v>
      </c>
      <c r="H14" s="144"/>
      <c r="J14" s="135"/>
      <c r="K14" s="133"/>
      <c r="L14" s="133"/>
      <c r="M14" s="133"/>
      <c r="N14" s="133"/>
      <c r="O14" s="133"/>
      <c r="P14" s="134"/>
    </row>
    <row r="15" spans="1:17" ht="18.75" x14ac:dyDescent="0.3">
      <c r="A15" s="65">
        <v>43572</v>
      </c>
      <c r="B15" s="66" t="s">
        <v>222</v>
      </c>
      <c r="C15" s="223">
        <v>79220936</v>
      </c>
      <c r="D15" s="67">
        <v>1819288</v>
      </c>
      <c r="E15" s="67">
        <v>0</v>
      </c>
      <c r="F15" s="224">
        <v>18709393</v>
      </c>
      <c r="G15" s="192" t="s">
        <v>24</v>
      </c>
      <c r="H15" s="166"/>
      <c r="J15" s="135"/>
      <c r="K15" s="133"/>
      <c r="L15" s="133"/>
      <c r="M15" s="133"/>
      <c r="N15" s="133"/>
      <c r="O15" s="133"/>
      <c r="P15" s="134"/>
    </row>
    <row r="16" spans="1:17" ht="18.75" x14ac:dyDescent="0.3">
      <c r="A16" s="65">
        <v>43572</v>
      </c>
      <c r="B16" s="66" t="s">
        <v>211</v>
      </c>
      <c r="C16" s="223">
        <v>79221161</v>
      </c>
      <c r="D16" s="67">
        <v>5000000</v>
      </c>
      <c r="E16" s="67">
        <v>0</v>
      </c>
      <c r="F16" s="224">
        <v>13709393</v>
      </c>
      <c r="G16" s="192" t="s">
        <v>146</v>
      </c>
      <c r="I16" s="210"/>
      <c r="J16" s="135"/>
      <c r="K16" s="133"/>
      <c r="L16" s="133"/>
      <c r="M16" s="133"/>
      <c r="N16" s="133"/>
      <c r="O16" s="133"/>
      <c r="P16" s="134"/>
    </row>
    <row r="17" spans="1:16" ht="18.75" x14ac:dyDescent="0.3">
      <c r="A17" s="65">
        <v>43578</v>
      </c>
      <c r="B17" s="66" t="s">
        <v>208</v>
      </c>
      <c r="C17" s="223">
        <v>0</v>
      </c>
      <c r="D17" s="67">
        <v>0</v>
      </c>
      <c r="E17" s="67">
        <v>142399</v>
      </c>
      <c r="F17" s="224">
        <v>13851792</v>
      </c>
      <c r="G17" s="192" t="s">
        <v>147</v>
      </c>
      <c r="H17" s="210"/>
      <c r="J17" s="135"/>
      <c r="K17" s="133"/>
      <c r="L17" s="133"/>
      <c r="M17" s="133"/>
      <c r="N17" s="133"/>
      <c r="O17" s="133"/>
      <c r="P17" s="134"/>
    </row>
    <row r="18" spans="1:16" ht="18.75" x14ac:dyDescent="0.3">
      <c r="A18" s="65">
        <v>43578</v>
      </c>
      <c r="B18" s="66" t="s">
        <v>1446</v>
      </c>
      <c r="C18" s="223">
        <v>0</v>
      </c>
      <c r="D18" s="67">
        <v>0</v>
      </c>
      <c r="E18" s="67">
        <v>49</v>
      </c>
      <c r="F18" s="224">
        <v>13851841</v>
      </c>
      <c r="G18" s="192" t="s">
        <v>147</v>
      </c>
      <c r="H18" s="166"/>
      <c r="J18" s="135"/>
      <c r="K18" s="133"/>
      <c r="L18" s="133"/>
      <c r="M18" s="133"/>
      <c r="N18" s="133"/>
      <c r="O18" s="133"/>
      <c r="P18" s="134"/>
    </row>
    <row r="19" spans="1:16" ht="18.75" x14ac:dyDescent="0.3">
      <c r="A19" s="65">
        <v>43579</v>
      </c>
      <c r="B19" s="66" t="s">
        <v>208</v>
      </c>
      <c r="C19" s="223">
        <v>0</v>
      </c>
      <c r="D19" s="67">
        <v>0</v>
      </c>
      <c r="E19" s="67">
        <v>816382</v>
      </c>
      <c r="F19" s="224">
        <v>14668223</v>
      </c>
      <c r="G19" s="192" t="s">
        <v>147</v>
      </c>
      <c r="H19" s="210"/>
      <c r="J19" s="135"/>
      <c r="K19" s="133"/>
      <c r="L19" s="133"/>
      <c r="M19" s="133"/>
      <c r="N19" s="133"/>
      <c r="O19" s="133"/>
      <c r="P19" s="134"/>
    </row>
    <row r="20" spans="1:16" ht="18.75" x14ac:dyDescent="0.3">
      <c r="A20" s="65">
        <v>43580</v>
      </c>
      <c r="B20" s="66" t="s">
        <v>208</v>
      </c>
      <c r="C20" s="223">
        <v>0</v>
      </c>
      <c r="D20" s="67">
        <v>0</v>
      </c>
      <c r="E20" s="67">
        <v>153506</v>
      </c>
      <c r="F20" s="224">
        <v>14821729</v>
      </c>
      <c r="G20" s="192" t="s">
        <v>147</v>
      </c>
      <c r="H20" s="270"/>
      <c r="J20" s="135"/>
      <c r="K20" s="133"/>
      <c r="L20" s="133"/>
      <c r="M20" s="133"/>
      <c r="N20" s="133"/>
      <c r="O20" s="133"/>
      <c r="P20" s="134"/>
    </row>
    <row r="21" spans="1:16" ht="18.75" x14ac:dyDescent="0.3">
      <c r="A21" s="65">
        <v>43580</v>
      </c>
      <c r="B21" s="66" t="s">
        <v>1446</v>
      </c>
      <c r="C21" s="223">
        <v>0</v>
      </c>
      <c r="D21" s="67">
        <v>0</v>
      </c>
      <c r="E21" s="67">
        <v>5894</v>
      </c>
      <c r="F21" s="224">
        <v>14827623</v>
      </c>
      <c r="G21" s="192" t="s">
        <v>147</v>
      </c>
      <c r="H21" s="270"/>
      <c r="J21" s="135"/>
      <c r="K21" s="133"/>
      <c r="L21" s="133"/>
      <c r="M21" s="133"/>
      <c r="N21" s="133"/>
      <c r="O21" s="133"/>
      <c r="P21" s="134"/>
    </row>
    <row r="22" spans="1:16" ht="18.75" x14ac:dyDescent="0.3">
      <c r="A22" s="65">
        <v>43581</v>
      </c>
      <c r="B22" s="66" t="s">
        <v>208</v>
      </c>
      <c r="C22" s="223">
        <v>0</v>
      </c>
      <c r="D22" s="67">
        <v>0</v>
      </c>
      <c r="E22" s="67">
        <v>161619</v>
      </c>
      <c r="F22" s="224">
        <v>14989242</v>
      </c>
      <c r="G22" s="192" t="s">
        <v>147</v>
      </c>
    </row>
    <row r="23" spans="1:16" ht="18.75" x14ac:dyDescent="0.3">
      <c r="A23" s="65">
        <v>43581</v>
      </c>
      <c r="B23" s="66" t="s">
        <v>211</v>
      </c>
      <c r="C23" s="223">
        <v>80057871</v>
      </c>
      <c r="D23" s="67">
        <v>5000000</v>
      </c>
      <c r="E23" s="67">
        <v>0</v>
      </c>
      <c r="F23" s="224">
        <v>9989242</v>
      </c>
      <c r="G23" s="192" t="s">
        <v>146</v>
      </c>
      <c r="H23" s="166"/>
    </row>
    <row r="24" spans="1:16" ht="18.75" x14ac:dyDescent="0.3">
      <c r="A24" s="65">
        <v>43584</v>
      </c>
      <c r="B24" s="66" t="s">
        <v>208</v>
      </c>
      <c r="C24" s="223">
        <v>0</v>
      </c>
      <c r="D24" s="67">
        <v>0</v>
      </c>
      <c r="E24" s="67">
        <v>143473</v>
      </c>
      <c r="F24" s="224">
        <v>10132715</v>
      </c>
      <c r="G24" s="192" t="s">
        <v>147</v>
      </c>
      <c r="H24" s="210"/>
    </row>
    <row r="25" spans="1:16" ht="18.75" x14ac:dyDescent="0.3">
      <c r="A25" s="65"/>
      <c r="B25" s="66"/>
      <c r="C25" s="223"/>
      <c r="D25" s="67"/>
      <c r="E25" s="67"/>
      <c r="F25" s="224"/>
      <c r="G25" s="192"/>
      <c r="H25" s="210"/>
    </row>
    <row r="26" spans="1:16" ht="18.75" x14ac:dyDescent="0.3">
      <c r="A26" s="65"/>
      <c r="B26" s="66"/>
      <c r="C26" s="223"/>
      <c r="D26" s="67"/>
      <c r="E26" s="67"/>
      <c r="F26" s="224"/>
      <c r="G26" s="192"/>
      <c r="H26" s="210"/>
    </row>
    <row r="27" spans="1:16" ht="18.75" x14ac:dyDescent="0.3">
      <c r="A27" s="65"/>
      <c r="B27" s="66"/>
      <c r="C27" s="223"/>
      <c r="D27" s="67"/>
      <c r="E27" s="67"/>
      <c r="F27" s="224"/>
      <c r="G27" s="192"/>
      <c r="H27" s="210"/>
    </row>
    <row r="28" spans="1:16" ht="18.75" x14ac:dyDescent="0.3">
      <c r="A28" s="65"/>
      <c r="B28" s="66"/>
      <c r="C28" s="223"/>
      <c r="D28" s="67"/>
      <c r="E28" s="67"/>
      <c r="F28" s="224"/>
      <c r="G28" s="192"/>
      <c r="H28" s="210"/>
    </row>
    <row r="29" spans="1:16" s="166" customFormat="1" ht="18.75" x14ac:dyDescent="0.3">
      <c r="A29" s="65"/>
      <c r="B29" s="66"/>
      <c r="C29" s="66"/>
      <c r="D29" s="67"/>
      <c r="E29" s="67"/>
      <c r="F29" s="151"/>
      <c r="G29" s="192"/>
      <c r="H29" s="206"/>
    </row>
    <row r="30" spans="1:16" s="166" customFormat="1" ht="18.75" x14ac:dyDescent="0.3">
      <c r="A30" s="65"/>
      <c r="B30" s="66"/>
      <c r="C30" s="66"/>
      <c r="D30" s="67"/>
      <c r="E30" s="67"/>
      <c r="F30" s="151"/>
      <c r="G30" s="192"/>
    </row>
    <row r="31" spans="1:16" s="166" customFormat="1" ht="18.75" x14ac:dyDescent="0.3">
      <c r="A31" s="65"/>
      <c r="B31" s="66"/>
      <c r="C31" s="66"/>
      <c r="D31" s="67"/>
      <c r="E31" s="67"/>
      <c r="F31" s="151"/>
      <c r="G31" s="192"/>
    </row>
    <row r="32" spans="1:16" s="166" customFormat="1" ht="18.75" x14ac:dyDescent="0.3">
      <c r="A32" s="65"/>
      <c r="B32" s="66"/>
      <c r="C32" s="66"/>
      <c r="D32" s="67"/>
      <c r="E32" s="67"/>
      <c r="F32" s="151"/>
      <c r="G32" s="192"/>
    </row>
    <row r="33" spans="1:8" s="166" customFormat="1" ht="18.75" x14ac:dyDescent="0.3">
      <c r="A33" s="65"/>
      <c r="B33" s="66"/>
      <c r="C33" s="66"/>
      <c r="D33" s="67"/>
      <c r="E33" s="67"/>
      <c r="F33" s="151"/>
      <c r="G33" s="192"/>
    </row>
    <row r="34" spans="1:8" s="166" customFormat="1" ht="18.75" x14ac:dyDescent="0.3">
      <c r="A34" s="65"/>
      <c r="B34" s="66"/>
      <c r="C34" s="66"/>
      <c r="D34" s="67"/>
      <c r="E34" s="67"/>
      <c r="F34" s="151"/>
      <c r="G34" s="192"/>
    </row>
    <row r="35" spans="1:8" s="166" customFormat="1" ht="18.75" x14ac:dyDescent="0.3">
      <c r="A35" s="65"/>
      <c r="B35" s="66"/>
      <c r="C35" s="66"/>
      <c r="D35" s="67"/>
      <c r="E35" s="67"/>
      <c r="F35" s="151"/>
      <c r="G35" s="192"/>
    </row>
    <row r="36" spans="1:8" s="166" customFormat="1" ht="18.75" x14ac:dyDescent="0.3">
      <c r="A36" s="65"/>
      <c r="B36" s="66"/>
      <c r="C36" s="66"/>
      <c r="D36" s="67"/>
      <c r="E36" s="67"/>
      <c r="F36" s="151"/>
      <c r="G36" s="192"/>
    </row>
    <row r="37" spans="1:8" s="166" customFormat="1" ht="18.75" x14ac:dyDescent="0.3">
      <c r="A37" s="65"/>
      <c r="B37" s="66"/>
      <c r="C37" s="66"/>
      <c r="D37" s="67"/>
      <c r="E37" s="67"/>
      <c r="F37" s="151"/>
      <c r="G37" s="192"/>
    </row>
    <row r="38" spans="1:8" s="166" customFormat="1" x14ac:dyDescent="0.25">
      <c r="A38" s="65"/>
      <c r="B38" s="66"/>
      <c r="C38" s="66"/>
      <c r="D38" s="67"/>
      <c r="E38" s="67"/>
      <c r="F38" s="151"/>
      <c r="G38" s="156"/>
    </row>
    <row r="39" spans="1:8" s="166" customFormat="1" x14ac:dyDescent="0.25">
      <c r="A39" s="65"/>
      <c r="B39" s="66"/>
      <c r="C39" s="66"/>
      <c r="D39" s="67"/>
      <c r="E39" s="67"/>
      <c r="F39" s="151"/>
      <c r="G39" s="156"/>
    </row>
    <row r="40" spans="1:8" s="166" customFormat="1" x14ac:dyDescent="0.25">
      <c r="A40" s="65"/>
      <c r="B40" s="66"/>
      <c r="C40" s="66"/>
      <c r="D40" s="67"/>
      <c r="E40" s="67"/>
      <c r="F40" s="151"/>
      <c r="G40" s="156"/>
    </row>
    <row r="41" spans="1:8" s="166" customFormat="1" x14ac:dyDescent="0.25">
      <c r="A41" s="65"/>
      <c r="B41" s="66"/>
      <c r="C41" s="66"/>
      <c r="D41" s="67"/>
      <c r="E41" s="67"/>
      <c r="F41" s="151"/>
      <c r="G41" s="156"/>
    </row>
    <row r="42" spans="1:8" s="166" customFormat="1" x14ac:dyDescent="0.25">
      <c r="A42" s="65"/>
      <c r="B42" s="66"/>
      <c r="C42" s="66"/>
      <c r="D42" s="67"/>
      <c r="E42" s="67"/>
      <c r="F42" s="151"/>
      <c r="G42" s="156"/>
    </row>
    <row r="43" spans="1:8" x14ac:dyDescent="0.25">
      <c r="A43" s="65"/>
      <c r="B43" s="66"/>
      <c r="C43" s="66"/>
      <c r="D43" s="67"/>
      <c r="E43" s="67"/>
      <c r="F43" s="62"/>
      <c r="G43" s="154"/>
    </row>
    <row r="44" spans="1:8" x14ac:dyDescent="0.25">
      <c r="A44" s="65"/>
      <c r="B44" s="66"/>
      <c r="C44" s="66"/>
      <c r="D44" s="67"/>
      <c r="E44" s="67"/>
      <c r="F44" s="151"/>
      <c r="G44" s="156"/>
      <c r="H44" s="125"/>
    </row>
    <row r="45" spans="1:8" s="125" customFormat="1" x14ac:dyDescent="0.25">
      <c r="A45" s="65"/>
      <c r="B45" s="66"/>
      <c r="C45" s="66"/>
      <c r="D45" s="67"/>
      <c r="E45" s="67"/>
      <c r="F45" s="62"/>
      <c r="G45" s="156"/>
      <c r="H45" s="166"/>
    </row>
    <row r="46" spans="1:8" s="125" customFormat="1" x14ac:dyDescent="0.25">
      <c r="A46" s="65"/>
      <c r="B46" s="66"/>
      <c r="C46" s="66"/>
      <c r="D46" s="67"/>
      <c r="E46" s="67"/>
      <c r="F46" s="151"/>
      <c r="G46" s="156"/>
    </row>
    <row r="47" spans="1:8" s="125" customFormat="1" x14ac:dyDescent="0.25">
      <c r="A47" s="65"/>
      <c r="B47" s="66"/>
      <c r="C47" s="66"/>
      <c r="D47" s="67"/>
      <c r="E47" s="67"/>
      <c r="F47" s="62"/>
      <c r="G47" s="64"/>
    </row>
    <row r="48" spans="1:8" s="125" customFormat="1" x14ac:dyDescent="0.25">
      <c r="A48" s="65"/>
      <c r="B48" s="66"/>
      <c r="C48" s="66"/>
      <c r="D48" s="67"/>
      <c r="E48" s="67"/>
      <c r="F48" s="62"/>
      <c r="G48" s="64"/>
    </row>
    <row r="49" spans="1:7" s="125" customFormat="1" x14ac:dyDescent="0.25">
      <c r="A49" s="65"/>
      <c r="B49" s="66"/>
      <c r="C49" s="66"/>
      <c r="D49" s="67"/>
      <c r="E49" s="67"/>
      <c r="F49" s="62"/>
      <c r="G49" s="49"/>
    </row>
    <row r="50" spans="1:7" s="125" customFormat="1" x14ac:dyDescent="0.25">
      <c r="A50" s="65"/>
      <c r="B50" s="66"/>
      <c r="C50" s="66"/>
      <c r="D50" s="67"/>
      <c r="E50" s="67"/>
      <c r="F50" s="62"/>
      <c r="G50" s="49"/>
    </row>
    <row r="51" spans="1:7" x14ac:dyDescent="0.25">
      <c r="A51" s="65"/>
      <c r="B51" s="66"/>
      <c r="C51" s="66"/>
      <c r="D51" s="67"/>
      <c r="E51" s="67"/>
      <c r="F51" s="62"/>
      <c r="G51" s="64"/>
    </row>
    <row r="52" spans="1:7" ht="15" customHeight="1" x14ac:dyDescent="0.25">
      <c r="A52" s="68" t="s">
        <v>67</v>
      </c>
      <c r="B52" s="69" t="s">
        <v>68</v>
      </c>
      <c r="C52" s="69" t="s">
        <v>69</v>
      </c>
      <c r="D52" s="70" t="s">
        <v>70</v>
      </c>
      <c r="E52" s="69" t="s">
        <v>71</v>
      </c>
      <c r="F52" s="69" t="s">
        <v>86</v>
      </c>
      <c r="G52" s="71" t="s">
        <v>37</v>
      </c>
    </row>
    <row r="53" spans="1:7" ht="15" customHeight="1" x14ac:dyDescent="0.3">
      <c r="A53" s="65">
        <v>43559</v>
      </c>
      <c r="B53" s="66" t="s">
        <v>1447</v>
      </c>
      <c r="C53" s="66">
        <v>78029291</v>
      </c>
      <c r="D53" s="67">
        <v>0</v>
      </c>
      <c r="E53" s="67">
        <v>8093.36</v>
      </c>
      <c r="F53" s="151">
        <v>60915.040000000001</v>
      </c>
      <c r="G53" s="192" t="s">
        <v>147</v>
      </c>
    </row>
    <row r="54" spans="1:7" ht="15" customHeight="1" x14ac:dyDescent="0.3">
      <c r="A54" s="65">
        <v>43564</v>
      </c>
      <c r="B54" s="66" t="s">
        <v>1448</v>
      </c>
      <c r="C54" s="66">
        <v>78465010</v>
      </c>
      <c r="D54" s="67">
        <v>0</v>
      </c>
      <c r="E54" s="67">
        <v>6045.31</v>
      </c>
      <c r="F54" s="151">
        <v>66960.350000000006</v>
      </c>
      <c r="G54" s="192" t="s">
        <v>147</v>
      </c>
    </row>
    <row r="55" spans="1:7" ht="15" customHeight="1" x14ac:dyDescent="0.3">
      <c r="A55" s="65">
        <v>43570</v>
      </c>
      <c r="B55" s="66" t="s">
        <v>1449</v>
      </c>
      <c r="C55" s="66">
        <v>79065757</v>
      </c>
      <c r="D55" s="67">
        <v>0</v>
      </c>
      <c r="E55" s="67">
        <v>4408.6899999999996</v>
      </c>
      <c r="F55" s="151">
        <v>71369.039999999994</v>
      </c>
      <c r="G55" s="192" t="s">
        <v>147</v>
      </c>
    </row>
    <row r="56" spans="1:7" ht="15" customHeight="1" x14ac:dyDescent="0.3">
      <c r="A56" s="65">
        <v>43571</v>
      </c>
      <c r="B56" s="66" t="s">
        <v>1450</v>
      </c>
      <c r="C56" s="66">
        <v>79180958</v>
      </c>
      <c r="D56" s="67">
        <v>30000</v>
      </c>
      <c r="E56" s="67">
        <v>0</v>
      </c>
      <c r="F56" s="151">
        <v>41369.040000000001</v>
      </c>
      <c r="G56" s="192" t="s">
        <v>146</v>
      </c>
    </row>
    <row r="57" spans="1:7" ht="15" customHeight="1" x14ac:dyDescent="0.3">
      <c r="A57" s="65">
        <v>43577</v>
      </c>
      <c r="B57" s="66" t="s">
        <v>1451</v>
      </c>
      <c r="C57" s="66">
        <v>79623624</v>
      </c>
      <c r="D57" s="67">
        <v>0</v>
      </c>
      <c r="E57" s="67">
        <v>3170.61</v>
      </c>
      <c r="F57" s="151">
        <v>44539.65</v>
      </c>
      <c r="G57" s="192" t="s">
        <v>147</v>
      </c>
    </row>
    <row r="58" spans="1:7" ht="15" customHeight="1" x14ac:dyDescent="0.3">
      <c r="A58" s="65">
        <v>43579</v>
      </c>
      <c r="B58" s="66" t="s">
        <v>1452</v>
      </c>
      <c r="C58" s="66">
        <v>79849022</v>
      </c>
      <c r="D58" s="67">
        <v>0</v>
      </c>
      <c r="E58" s="67">
        <v>1501.4</v>
      </c>
      <c r="F58" s="151">
        <v>46041.05</v>
      </c>
      <c r="G58" s="192" t="s">
        <v>147</v>
      </c>
    </row>
    <row r="59" spans="1:7" ht="15" customHeight="1" x14ac:dyDescent="0.3">
      <c r="A59" s="65">
        <v>43584</v>
      </c>
      <c r="B59" s="66" t="s">
        <v>1453</v>
      </c>
      <c r="C59" s="66">
        <v>80345717</v>
      </c>
      <c r="D59" s="67">
        <v>0</v>
      </c>
      <c r="E59" s="67">
        <v>9791.9500000000007</v>
      </c>
      <c r="F59" s="151">
        <v>55833</v>
      </c>
      <c r="G59" s="192" t="s">
        <v>147</v>
      </c>
    </row>
    <row r="60" spans="1:7" ht="15" customHeight="1" x14ac:dyDescent="0.3">
      <c r="A60" s="65"/>
      <c r="B60" s="66"/>
      <c r="C60" s="66"/>
      <c r="D60" s="67"/>
      <c r="E60" s="67"/>
      <c r="F60" s="62"/>
      <c r="G60" s="192"/>
    </row>
    <row r="61" spans="1:7" ht="15" customHeight="1" x14ac:dyDescent="0.3">
      <c r="A61" s="90"/>
      <c r="B61" s="91"/>
      <c r="C61" s="91"/>
      <c r="D61" s="92"/>
      <c r="E61" s="92"/>
      <c r="F61" s="92"/>
      <c r="G61" s="192"/>
    </row>
    <row r="64" spans="1:7" x14ac:dyDescent="0.25">
      <c r="D64" s="1">
        <f>SUBTOTAL(9,D2:D61)</f>
        <v>29445384</v>
      </c>
      <c r="E64" s="1">
        <f>SUBTOTAL(9,E2:E61)</f>
        <v>23326286.319999997</v>
      </c>
    </row>
    <row r="66" spans="1:10" x14ac:dyDescent="0.25">
      <c r="F66" s="61"/>
      <c r="G66" s="61" t="s">
        <v>4</v>
      </c>
    </row>
    <row r="67" spans="1:10" ht="18.75" x14ac:dyDescent="0.3">
      <c r="A67" s="68" t="s">
        <v>67</v>
      </c>
      <c r="B67" s="69" t="s">
        <v>68</v>
      </c>
      <c r="C67" s="69" t="s">
        <v>69</v>
      </c>
      <c r="D67" s="70" t="s">
        <v>70</v>
      </c>
      <c r="F67" s="62">
        <f>SUMIF($G$2:$G$61,G67,$D$2:$D$61)-SUMIF($G$2:$G$61,G67,$E$2:$E$61)</f>
        <v>827</v>
      </c>
      <c r="G67" s="192" t="s">
        <v>186</v>
      </c>
    </row>
    <row r="68" spans="1:10" ht="18.75" x14ac:dyDescent="0.3">
      <c r="A68" s="65"/>
      <c r="B68" s="66"/>
      <c r="C68" s="66"/>
      <c r="D68" s="67"/>
      <c r="F68" s="62">
        <f t="shared" ref="F68:F83" si="0">SUMIF($G$2:$G$61,G68,$D$2:$D$61)-SUMIF($G$2:$G$61,G68,$E$2:$E$61)</f>
        <v>0</v>
      </c>
      <c r="G68" s="192" t="s">
        <v>31</v>
      </c>
    </row>
    <row r="69" spans="1:10" ht="18.75" x14ac:dyDescent="0.3">
      <c r="A69" s="65"/>
      <c r="B69" s="66"/>
      <c r="C69" s="66"/>
      <c r="D69" s="67"/>
      <c r="F69" s="62">
        <f t="shared" si="0"/>
        <v>0</v>
      </c>
      <c r="G69" s="192" t="s">
        <v>113</v>
      </c>
    </row>
    <row r="70" spans="1:10" ht="18.75" x14ac:dyDescent="0.3">
      <c r="A70" s="65"/>
      <c r="B70" s="66"/>
      <c r="C70" s="66"/>
      <c r="D70" s="67"/>
      <c r="F70" s="62">
        <f t="shared" si="0"/>
        <v>0</v>
      </c>
      <c r="G70" s="193" t="s">
        <v>185</v>
      </c>
    </row>
    <row r="71" spans="1:10" ht="18.75" x14ac:dyDescent="0.3">
      <c r="F71" s="62">
        <f t="shared" si="0"/>
        <v>0</v>
      </c>
      <c r="G71" s="193" t="s">
        <v>8</v>
      </c>
    </row>
    <row r="72" spans="1:10" ht="18.75" x14ac:dyDescent="0.3">
      <c r="F72" s="62">
        <f t="shared" si="0"/>
        <v>0</v>
      </c>
      <c r="G72" s="194" t="s">
        <v>187</v>
      </c>
      <c r="H72" s="96"/>
    </row>
    <row r="73" spans="1:10" ht="18.75" x14ac:dyDescent="0.3">
      <c r="F73" s="62">
        <f t="shared" si="0"/>
        <v>0</v>
      </c>
      <c r="G73" s="192" t="s">
        <v>189</v>
      </c>
    </row>
    <row r="74" spans="1:10" ht="18.75" x14ac:dyDescent="0.3">
      <c r="F74" s="62">
        <f t="shared" si="0"/>
        <v>0</v>
      </c>
      <c r="G74" s="192" t="s">
        <v>188</v>
      </c>
    </row>
    <row r="75" spans="1:10" ht="18.75" x14ac:dyDescent="0.3">
      <c r="F75" s="62">
        <f t="shared" si="0"/>
        <v>1819288</v>
      </c>
      <c r="G75" s="194" t="s">
        <v>24</v>
      </c>
    </row>
    <row r="76" spans="1:10" ht="18.75" x14ac:dyDescent="0.3">
      <c r="F76" s="62">
        <f t="shared" si="0"/>
        <v>0</v>
      </c>
      <c r="G76" s="192" t="s">
        <v>11</v>
      </c>
      <c r="H76" s="97"/>
      <c r="I76" s="125"/>
      <c r="J76" s="125"/>
    </row>
    <row r="77" spans="1:10" ht="18.75" x14ac:dyDescent="0.3">
      <c r="F77" s="62">
        <f t="shared" si="0"/>
        <v>906768</v>
      </c>
      <c r="G77" s="192" t="s">
        <v>19</v>
      </c>
      <c r="I77" s="125"/>
      <c r="J77" s="125"/>
    </row>
    <row r="78" spans="1:10" ht="18.75" x14ac:dyDescent="0.3">
      <c r="F78" s="62">
        <f t="shared" si="0"/>
        <v>0</v>
      </c>
      <c r="G78" s="193" t="s">
        <v>190</v>
      </c>
      <c r="I78" s="125"/>
    </row>
    <row r="79" spans="1:10" ht="18.75" x14ac:dyDescent="0.3">
      <c r="F79" s="62">
        <f t="shared" si="0"/>
        <v>1688501</v>
      </c>
      <c r="G79" s="192" t="s">
        <v>30</v>
      </c>
      <c r="I79" s="125"/>
      <c r="J79" s="125"/>
    </row>
    <row r="80" spans="1:10" ht="18.75" x14ac:dyDescent="0.3">
      <c r="F80" s="62">
        <f t="shared" si="0"/>
        <v>25030000</v>
      </c>
      <c r="G80" s="193" t="s">
        <v>146</v>
      </c>
      <c r="I80" s="125"/>
      <c r="J80" s="125"/>
    </row>
    <row r="81" spans="4:10" ht="18.75" x14ac:dyDescent="0.3">
      <c r="F81" s="62">
        <f t="shared" si="0"/>
        <v>-23326286.319999997</v>
      </c>
      <c r="G81" s="192" t="s">
        <v>147</v>
      </c>
      <c r="I81" s="125"/>
      <c r="J81" s="125"/>
    </row>
    <row r="82" spans="4:10" ht="18.75" x14ac:dyDescent="0.3">
      <c r="F82" s="62">
        <f t="shared" si="0"/>
        <v>0</v>
      </c>
      <c r="G82" s="192" t="s">
        <v>191</v>
      </c>
      <c r="I82" s="125"/>
      <c r="J82" s="125"/>
    </row>
    <row r="83" spans="4:10" ht="18.75" x14ac:dyDescent="0.3">
      <c r="F83" s="62">
        <f t="shared" si="0"/>
        <v>0</v>
      </c>
      <c r="G83" s="192" t="s">
        <v>192</v>
      </c>
      <c r="I83" s="125"/>
      <c r="J83" s="125"/>
    </row>
    <row r="84" spans="4:10" s="210" customFormat="1" ht="18.75" x14ac:dyDescent="0.3">
      <c r="D84" s="1"/>
      <c r="F84" s="62">
        <f>SUMIF($G$2:$G$61,G84,$D$2:$D$61)-SUMIF($G$2:$G$61,G84,$E$2:$E$61)</f>
        <v>0</v>
      </c>
      <c r="G84" s="192" t="s">
        <v>217</v>
      </c>
    </row>
    <row r="85" spans="4:10" x14ac:dyDescent="0.25">
      <c r="F85" s="63"/>
      <c r="G85" s="61" t="s">
        <v>22</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24" zoomScale="70" zoomScaleNormal="70"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7" t="s">
        <v>5</v>
      </c>
      <c r="B1" s="47" t="s">
        <v>25</v>
      </c>
      <c r="C1" s="47" t="s">
        <v>170</v>
      </c>
      <c r="D1" s="47" t="s">
        <v>171</v>
      </c>
      <c r="E1" s="47" t="s">
        <v>172</v>
      </c>
      <c r="F1" s="47" t="s">
        <v>173</v>
      </c>
      <c r="G1" s="86" t="s">
        <v>88</v>
      </c>
      <c r="H1" s="47" t="s">
        <v>174</v>
      </c>
      <c r="I1" s="47" t="s">
        <v>175</v>
      </c>
      <c r="J1" s="87"/>
      <c r="K1" s="19"/>
      <c r="L1" s="19"/>
      <c r="M1" s="19"/>
      <c r="N1" s="19"/>
      <c r="O1" s="19"/>
      <c r="P1" s="19"/>
      <c r="Q1" s="19"/>
      <c r="R1" s="19"/>
      <c r="S1" s="58"/>
      <c r="T1" s="19"/>
      <c r="U1" s="19"/>
      <c r="V1" s="19"/>
    </row>
    <row r="2" spans="1:53" x14ac:dyDescent="0.25">
      <c r="A2" s="211" t="s">
        <v>796</v>
      </c>
      <c r="B2" s="175" t="s">
        <v>143</v>
      </c>
      <c r="C2" s="175" t="s">
        <v>144</v>
      </c>
      <c r="D2" s="175" t="s">
        <v>163</v>
      </c>
      <c r="E2" s="176">
        <v>27006</v>
      </c>
      <c r="F2" s="175">
        <v>0</v>
      </c>
      <c r="G2" s="220" t="s">
        <v>153</v>
      </c>
      <c r="H2" s="220">
        <v>82252</v>
      </c>
      <c r="I2" s="220" t="s">
        <v>200</v>
      </c>
      <c r="J2" s="154"/>
      <c r="K2" s="169"/>
      <c r="L2" s="19"/>
      <c r="M2" s="19"/>
      <c r="N2" s="19"/>
      <c r="O2" s="19"/>
      <c r="P2" s="19"/>
      <c r="Q2" s="19"/>
      <c r="R2" s="19"/>
      <c r="S2" s="58"/>
      <c r="T2" s="19"/>
      <c r="U2" s="19"/>
      <c r="V2" s="19"/>
      <c r="AF2" s="126"/>
    </row>
    <row r="3" spans="1:53" x14ac:dyDescent="0.25">
      <c r="A3" s="211" t="s">
        <v>826</v>
      </c>
      <c r="B3" s="175" t="s">
        <v>143</v>
      </c>
      <c r="C3" s="175" t="s">
        <v>144</v>
      </c>
      <c r="D3" s="176" t="s">
        <v>163</v>
      </c>
      <c r="E3" s="176">
        <v>35100</v>
      </c>
      <c r="F3" s="175">
        <v>0</v>
      </c>
      <c r="G3" s="220" t="s">
        <v>296</v>
      </c>
      <c r="H3" s="220">
        <v>4528</v>
      </c>
      <c r="I3" s="220" t="s">
        <v>162</v>
      </c>
      <c r="J3" s="149"/>
      <c r="K3" s="169"/>
      <c r="L3" s="19"/>
      <c r="M3" s="88">
        <v>41791</v>
      </c>
      <c r="N3" s="88">
        <v>41821</v>
      </c>
      <c r="O3" s="88">
        <v>41852</v>
      </c>
      <c r="P3" s="88">
        <v>41883</v>
      </c>
      <c r="Q3" s="88">
        <v>41913</v>
      </c>
      <c r="R3" s="88">
        <v>41944</v>
      </c>
      <c r="S3" s="88">
        <v>41974</v>
      </c>
      <c r="T3" s="88">
        <v>42005</v>
      </c>
      <c r="U3" s="88">
        <v>42036</v>
      </c>
      <c r="V3" s="88">
        <v>42064</v>
      </c>
      <c r="W3" s="88">
        <v>42095</v>
      </c>
      <c r="X3" s="88"/>
      <c r="Y3" s="88">
        <v>42156</v>
      </c>
      <c r="Z3" s="88">
        <v>42186</v>
      </c>
      <c r="AA3" s="88">
        <v>42217</v>
      </c>
      <c r="AB3" s="88">
        <v>42248</v>
      </c>
      <c r="AC3" s="88">
        <v>42278</v>
      </c>
      <c r="AD3" s="88">
        <v>42309</v>
      </c>
      <c r="AE3" s="88">
        <v>42339</v>
      </c>
      <c r="AF3" s="88">
        <v>42370</v>
      </c>
      <c r="AG3" s="88">
        <v>42401</v>
      </c>
      <c r="AH3" s="88">
        <v>42430</v>
      </c>
      <c r="AI3" s="88">
        <v>42461</v>
      </c>
      <c r="AJ3" s="88">
        <v>42491</v>
      </c>
      <c r="AK3" s="88">
        <v>42522</v>
      </c>
      <c r="AL3" s="88">
        <v>42552</v>
      </c>
      <c r="AM3" s="88">
        <v>42583</v>
      </c>
      <c r="AN3" s="88">
        <v>42614</v>
      </c>
      <c r="AO3" s="88">
        <v>42644</v>
      </c>
      <c r="AP3" s="88">
        <v>42675</v>
      </c>
      <c r="AQ3" s="88">
        <v>42705</v>
      </c>
      <c r="AR3" s="88">
        <v>42736</v>
      </c>
      <c r="AS3" s="88">
        <v>42767</v>
      </c>
      <c r="AT3" s="88">
        <v>42795</v>
      </c>
      <c r="AU3" s="88">
        <v>42826</v>
      </c>
      <c r="AV3" s="88">
        <v>42856</v>
      </c>
      <c r="AW3" s="88">
        <v>42887</v>
      </c>
      <c r="AX3" s="88">
        <v>42917</v>
      </c>
      <c r="AY3" s="88">
        <v>42948</v>
      </c>
      <c r="AZ3" s="88">
        <v>42979</v>
      </c>
      <c r="BA3" s="88">
        <v>43009</v>
      </c>
    </row>
    <row r="4" spans="1:53" x14ac:dyDescent="0.25">
      <c r="A4" s="211" t="s">
        <v>798</v>
      </c>
      <c r="B4" s="175" t="s">
        <v>143</v>
      </c>
      <c r="C4" s="175" t="s">
        <v>144</v>
      </c>
      <c r="D4" s="176" t="s">
        <v>163</v>
      </c>
      <c r="E4" s="176">
        <v>5080</v>
      </c>
      <c r="F4" s="175">
        <v>0</v>
      </c>
      <c r="G4" s="220" t="s">
        <v>295</v>
      </c>
      <c r="H4" s="220">
        <v>96708960</v>
      </c>
      <c r="I4" s="220" t="s">
        <v>61</v>
      </c>
      <c r="J4" s="149"/>
      <c r="K4" s="169"/>
      <c r="L4" s="55" t="s">
        <v>54</v>
      </c>
      <c r="M4" s="56" t="s">
        <v>55</v>
      </c>
      <c r="N4" s="56" t="s">
        <v>55</v>
      </c>
      <c r="O4" s="56" t="s">
        <v>55</v>
      </c>
      <c r="P4" s="56" t="s">
        <v>55</v>
      </c>
      <c r="Q4" s="56" t="s">
        <v>55</v>
      </c>
      <c r="R4" s="56" t="s">
        <v>55</v>
      </c>
      <c r="S4" s="56" t="s">
        <v>55</v>
      </c>
      <c r="T4" s="56" t="s">
        <v>55</v>
      </c>
      <c r="U4" s="56" t="s">
        <v>55</v>
      </c>
      <c r="V4" s="56" t="s">
        <v>55</v>
      </c>
      <c r="W4" s="56" t="s">
        <v>55</v>
      </c>
      <c r="X4" s="56"/>
      <c r="Y4" s="56" t="s">
        <v>55</v>
      </c>
      <c r="Z4" s="56" t="s">
        <v>55</v>
      </c>
      <c r="AA4" s="56" t="s">
        <v>55</v>
      </c>
      <c r="AB4" s="56" t="s">
        <v>55</v>
      </c>
      <c r="AC4" s="56" t="s">
        <v>55</v>
      </c>
      <c r="AD4" s="56" t="s">
        <v>55</v>
      </c>
      <c r="AE4" s="56" t="s">
        <v>55</v>
      </c>
      <c r="AF4" s="56" t="s">
        <v>55</v>
      </c>
      <c r="AG4" s="56" t="s">
        <v>55</v>
      </c>
      <c r="AH4" s="56" t="s">
        <v>55</v>
      </c>
      <c r="AI4" s="56" t="s">
        <v>55</v>
      </c>
      <c r="AJ4" s="56" t="s">
        <v>55</v>
      </c>
      <c r="AK4" s="56" t="s">
        <v>55</v>
      </c>
      <c r="AL4" s="56" t="s">
        <v>55</v>
      </c>
      <c r="AM4" s="56" t="s">
        <v>55</v>
      </c>
      <c r="AN4" s="56" t="s">
        <v>55</v>
      </c>
      <c r="AO4" s="56" t="s">
        <v>55</v>
      </c>
      <c r="AP4" s="56" t="s">
        <v>223</v>
      </c>
      <c r="AQ4" s="56" t="s">
        <v>223</v>
      </c>
      <c r="AR4" s="56" t="s">
        <v>223</v>
      </c>
      <c r="AS4" s="56" t="s">
        <v>223</v>
      </c>
      <c r="AT4" s="56" t="s">
        <v>223</v>
      </c>
      <c r="AU4" s="56" t="s">
        <v>55</v>
      </c>
      <c r="AV4" s="56" t="s">
        <v>55</v>
      </c>
      <c r="AW4" s="56"/>
      <c r="AX4" s="56" t="s">
        <v>55</v>
      </c>
      <c r="AY4" s="56" t="s">
        <v>55</v>
      </c>
      <c r="AZ4" s="56" t="s">
        <v>55</v>
      </c>
      <c r="BA4" s="56" t="s">
        <v>55</v>
      </c>
    </row>
    <row r="5" spans="1:53" x14ac:dyDescent="0.25">
      <c r="A5" s="211" t="s">
        <v>798</v>
      </c>
      <c r="B5" s="175" t="s">
        <v>143</v>
      </c>
      <c r="C5" s="175" t="s">
        <v>144</v>
      </c>
      <c r="D5" s="176" t="s">
        <v>163</v>
      </c>
      <c r="E5" s="176">
        <v>92720</v>
      </c>
      <c r="F5" s="175">
        <v>0</v>
      </c>
      <c r="G5" s="220" t="s">
        <v>298</v>
      </c>
      <c r="H5" s="220">
        <v>29212</v>
      </c>
      <c r="I5" s="220" t="s">
        <v>202</v>
      </c>
      <c r="J5" s="149"/>
      <c r="K5" s="169"/>
      <c r="L5" s="54" t="s">
        <v>56</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211" t="s">
        <v>798</v>
      </c>
      <c r="B6" s="175" t="s">
        <v>143</v>
      </c>
      <c r="C6" s="175" t="s">
        <v>144</v>
      </c>
      <c r="D6" s="175" t="s">
        <v>163</v>
      </c>
      <c r="E6" s="176">
        <v>36770</v>
      </c>
      <c r="F6" s="175">
        <v>0</v>
      </c>
      <c r="G6" s="220" t="s">
        <v>298</v>
      </c>
      <c r="H6" s="220">
        <v>29211</v>
      </c>
      <c r="I6" s="220" t="s">
        <v>203</v>
      </c>
      <c r="J6" s="149"/>
      <c r="K6" s="169"/>
      <c r="L6" s="54" t="s">
        <v>57</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211" t="s">
        <v>798</v>
      </c>
      <c r="B7" s="175" t="s">
        <v>143</v>
      </c>
      <c r="C7" s="175" t="s">
        <v>144</v>
      </c>
      <c r="D7" s="175" t="s">
        <v>163</v>
      </c>
      <c r="E7" s="176">
        <v>14400</v>
      </c>
      <c r="F7" s="175">
        <v>0</v>
      </c>
      <c r="G7" s="220" t="s">
        <v>303</v>
      </c>
      <c r="H7" s="220">
        <v>19863</v>
      </c>
      <c r="I7" s="220" t="s">
        <v>202</v>
      </c>
      <c r="J7" s="149"/>
      <c r="K7" s="169"/>
      <c r="L7" s="54" t="s">
        <v>58</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224</v>
      </c>
      <c r="AQ7" s="22" t="s">
        <v>224</v>
      </c>
      <c r="AR7" s="22" t="s">
        <v>224</v>
      </c>
      <c r="AS7" s="22" t="s">
        <v>224</v>
      </c>
      <c r="AT7" s="22" t="s">
        <v>224</v>
      </c>
      <c r="AU7" s="22">
        <v>0</v>
      </c>
      <c r="AV7" s="22">
        <v>356012</v>
      </c>
      <c r="AW7" s="22"/>
      <c r="AX7" s="22">
        <v>416262</v>
      </c>
      <c r="AY7" s="22">
        <v>409806</v>
      </c>
      <c r="AZ7" s="22">
        <v>227742</v>
      </c>
      <c r="BA7" s="22">
        <v>0</v>
      </c>
    </row>
    <row r="8" spans="1:53" x14ac:dyDescent="0.25">
      <c r="A8" s="211" t="s">
        <v>800</v>
      </c>
      <c r="B8" s="175" t="s">
        <v>143</v>
      </c>
      <c r="C8" s="175" t="s">
        <v>144</v>
      </c>
      <c r="D8" s="176" t="s">
        <v>163</v>
      </c>
      <c r="E8" s="176">
        <v>295282</v>
      </c>
      <c r="F8" s="175">
        <v>0</v>
      </c>
      <c r="G8" s="220" t="s">
        <v>828</v>
      </c>
      <c r="H8" s="220">
        <v>308</v>
      </c>
      <c r="I8" s="220" t="s">
        <v>61</v>
      </c>
      <c r="J8" s="149"/>
      <c r="K8" s="169"/>
      <c r="L8" s="54" t="s">
        <v>59</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211" t="s">
        <v>800</v>
      </c>
      <c r="B9" s="175" t="s">
        <v>143</v>
      </c>
      <c r="C9" s="175" t="s">
        <v>144</v>
      </c>
      <c r="D9" s="176" t="s">
        <v>163</v>
      </c>
      <c r="E9" s="176">
        <v>37440</v>
      </c>
      <c r="F9" s="175">
        <v>0</v>
      </c>
      <c r="G9" s="220" t="s">
        <v>296</v>
      </c>
      <c r="H9" s="220">
        <v>4584</v>
      </c>
      <c r="I9" s="220" t="s">
        <v>162</v>
      </c>
      <c r="J9" s="149"/>
      <c r="K9" s="169"/>
      <c r="L9" s="54" t="s">
        <v>60</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211" t="s">
        <v>800</v>
      </c>
      <c r="B10" s="175" t="s">
        <v>143</v>
      </c>
      <c r="C10" s="175" t="s">
        <v>144</v>
      </c>
      <c r="D10" s="176" t="s">
        <v>163</v>
      </c>
      <c r="E10" s="176">
        <v>32100</v>
      </c>
      <c r="F10" s="175">
        <v>0</v>
      </c>
      <c r="G10" s="220" t="s">
        <v>269</v>
      </c>
      <c r="H10" s="220">
        <v>68712010</v>
      </c>
      <c r="I10" s="220" t="s">
        <v>201</v>
      </c>
      <c r="J10" s="149"/>
      <c r="K10" s="169"/>
      <c r="L10" s="54" t="s">
        <v>61</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211" t="s">
        <v>800</v>
      </c>
      <c r="B11" s="175" t="s">
        <v>143</v>
      </c>
      <c r="C11" s="175" t="s">
        <v>144</v>
      </c>
      <c r="D11" s="176" t="s">
        <v>163</v>
      </c>
      <c r="E11" s="176">
        <v>54805</v>
      </c>
      <c r="F11" s="175">
        <v>0</v>
      </c>
      <c r="G11" s="220" t="s">
        <v>269</v>
      </c>
      <c r="H11" s="220">
        <v>68712009</v>
      </c>
      <c r="I11" s="220" t="s">
        <v>203</v>
      </c>
      <c r="J11" s="149"/>
      <c r="K11" s="169"/>
      <c r="L11" s="54" t="s">
        <v>62</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211" t="s">
        <v>800</v>
      </c>
      <c r="B12" s="175" t="s">
        <v>143</v>
      </c>
      <c r="C12" s="175" t="s">
        <v>144</v>
      </c>
      <c r="D12" s="176" t="s">
        <v>163</v>
      </c>
      <c r="E12" s="176">
        <v>225242</v>
      </c>
      <c r="F12" s="175">
        <v>0</v>
      </c>
      <c r="G12" s="220" t="s">
        <v>269</v>
      </c>
      <c r="H12" s="220">
        <v>68712008</v>
      </c>
      <c r="I12" s="220" t="s">
        <v>202</v>
      </c>
      <c r="J12" s="149"/>
      <c r="K12" s="169"/>
      <c r="L12" s="54" t="s">
        <v>80</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224</v>
      </c>
      <c r="AQ12" s="22">
        <v>30000</v>
      </c>
      <c r="AR12" s="22">
        <v>90000</v>
      </c>
      <c r="AS12" s="22">
        <v>90000</v>
      </c>
      <c r="AT12" s="22" t="s">
        <v>224</v>
      </c>
      <c r="AU12" s="22">
        <v>0</v>
      </c>
      <c r="AV12" s="22">
        <v>0</v>
      </c>
      <c r="AW12" s="22"/>
      <c r="AX12" s="22">
        <v>45000</v>
      </c>
      <c r="AY12" s="22">
        <v>0</v>
      </c>
      <c r="AZ12" s="22">
        <v>30000</v>
      </c>
      <c r="BA12" s="22">
        <v>240000</v>
      </c>
    </row>
    <row r="13" spans="1:53" x14ac:dyDescent="0.25">
      <c r="A13" s="211" t="s">
        <v>801</v>
      </c>
      <c r="B13" s="175" t="s">
        <v>143</v>
      </c>
      <c r="C13" s="175" t="s">
        <v>144</v>
      </c>
      <c r="D13" s="176" t="s">
        <v>163</v>
      </c>
      <c r="E13" s="176">
        <v>12800</v>
      </c>
      <c r="F13" s="175">
        <v>0</v>
      </c>
      <c r="G13" s="220" t="s">
        <v>829</v>
      </c>
      <c r="H13" s="220">
        <v>75821</v>
      </c>
      <c r="I13" s="220" t="s">
        <v>61</v>
      </c>
      <c r="J13" s="149"/>
      <c r="K13" s="169"/>
      <c r="L13" s="54" t="s">
        <v>162</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211" t="s">
        <v>802</v>
      </c>
      <c r="B14" s="175" t="s">
        <v>143</v>
      </c>
      <c r="C14" s="175" t="s">
        <v>144</v>
      </c>
      <c r="D14" s="176" t="s">
        <v>163</v>
      </c>
      <c r="E14" s="176">
        <v>51480</v>
      </c>
      <c r="F14" s="175">
        <v>0</v>
      </c>
      <c r="G14" s="220" t="s">
        <v>296</v>
      </c>
      <c r="H14" s="220">
        <v>4623</v>
      </c>
      <c r="I14" s="220" t="s">
        <v>162</v>
      </c>
      <c r="J14" s="149"/>
      <c r="K14" s="169"/>
      <c r="L14" s="73" t="s">
        <v>63</v>
      </c>
      <c r="M14" s="74">
        <v>1737064</v>
      </c>
      <c r="N14" s="74">
        <v>1815495</v>
      </c>
      <c r="O14" s="74">
        <v>1815495</v>
      </c>
      <c r="P14" s="74">
        <v>1934628</v>
      </c>
      <c r="Q14" s="74">
        <v>2245050</v>
      </c>
      <c r="R14" s="74">
        <v>2078993</v>
      </c>
      <c r="S14" s="74">
        <v>2475588</v>
      </c>
      <c r="T14" s="74">
        <v>2000000</v>
      </c>
      <c r="U14" s="74">
        <v>2541076</v>
      </c>
      <c r="V14" s="74">
        <v>1980555</v>
      </c>
      <c r="W14" s="74">
        <v>2591377</v>
      </c>
      <c r="X14" s="74"/>
      <c r="Y14" s="74"/>
      <c r="Z14" s="74">
        <v>3379548</v>
      </c>
      <c r="AA14" s="74">
        <f>SUM(AA5:AA12)</f>
        <v>2586439</v>
      </c>
      <c r="AB14" s="74">
        <v>2807728</v>
      </c>
      <c r="AC14" s="74">
        <v>2012767</v>
      </c>
      <c r="AD14" s="74">
        <v>2066525</v>
      </c>
      <c r="AE14" s="74">
        <v>2559398</v>
      </c>
      <c r="AF14" s="74">
        <v>2536145</v>
      </c>
      <c r="AG14" s="74"/>
      <c r="AH14" s="74"/>
      <c r="AI14" s="74">
        <f>SUM(AI5:AI13)</f>
        <v>2760596</v>
      </c>
      <c r="AJ14" s="74">
        <f t="shared" ref="AJ14:AM14" si="0">SUM(AJ5:AJ13)</f>
        <v>1510370</v>
      </c>
      <c r="AK14" s="74">
        <f t="shared" si="0"/>
        <v>431441</v>
      </c>
      <c r="AL14" s="74">
        <f t="shared" si="0"/>
        <v>2392906</v>
      </c>
      <c r="AM14" s="74">
        <f t="shared" si="0"/>
        <v>2781371</v>
      </c>
      <c r="AN14" s="74">
        <f t="shared" ref="AN14" si="1">SUM(AN5:AN13)</f>
        <v>2607790</v>
      </c>
      <c r="AO14" s="74">
        <v>2480261</v>
      </c>
      <c r="AP14" s="74">
        <v>2564608</v>
      </c>
      <c r="AQ14" s="74">
        <v>2390184</v>
      </c>
      <c r="AR14" s="74">
        <v>2732497</v>
      </c>
      <c r="AS14" s="74">
        <v>2732497</v>
      </c>
      <c r="AT14" s="74">
        <v>2692799</v>
      </c>
      <c r="AU14" s="74">
        <v>2755072</v>
      </c>
      <c r="AV14" s="74">
        <f>SUM(AV5:AV13)</f>
        <v>2342742</v>
      </c>
      <c r="AW14" s="74"/>
      <c r="AX14" s="74">
        <v>2089468</v>
      </c>
      <c r="AY14" s="74">
        <v>2926825</v>
      </c>
      <c r="AZ14" s="74">
        <v>2371029</v>
      </c>
      <c r="BA14" s="74">
        <v>3232513</v>
      </c>
    </row>
    <row r="15" spans="1:53" x14ac:dyDescent="0.25">
      <c r="A15" s="211" t="s">
        <v>802</v>
      </c>
      <c r="B15" s="175" t="s">
        <v>143</v>
      </c>
      <c r="C15" s="175" t="s">
        <v>144</v>
      </c>
      <c r="D15" s="176" t="s">
        <v>163</v>
      </c>
      <c r="E15" s="176">
        <v>6700</v>
      </c>
      <c r="F15" s="175">
        <v>0</v>
      </c>
      <c r="G15" s="220" t="s">
        <v>296</v>
      </c>
      <c r="H15" s="220">
        <v>4622</v>
      </c>
      <c r="I15" s="220" t="s">
        <v>201</v>
      </c>
      <c r="J15" s="149"/>
      <c r="K15" s="169"/>
      <c r="L15" s="19"/>
      <c r="M15" s="19"/>
      <c r="N15" s="19"/>
      <c r="O15" s="19"/>
      <c r="P15" s="19"/>
      <c r="Q15" s="19"/>
      <c r="R15" s="19"/>
      <c r="S15" s="58"/>
      <c r="T15" s="58"/>
      <c r="U15" s="58"/>
      <c r="V15" s="58"/>
    </row>
    <row r="16" spans="1:53" x14ac:dyDescent="0.25">
      <c r="A16" s="211" t="s">
        <v>802</v>
      </c>
      <c r="B16" s="175" t="s">
        <v>143</v>
      </c>
      <c r="C16" s="175" t="s">
        <v>144</v>
      </c>
      <c r="D16" s="176" t="s">
        <v>163</v>
      </c>
      <c r="E16" s="176">
        <v>35365</v>
      </c>
      <c r="F16" s="175">
        <v>0</v>
      </c>
      <c r="G16" s="220" t="s">
        <v>153</v>
      </c>
      <c r="H16" s="220">
        <v>183864</v>
      </c>
      <c r="I16" s="220" t="s">
        <v>200</v>
      </c>
      <c r="J16" s="149"/>
      <c r="K16" s="169"/>
      <c r="L16" s="3"/>
      <c r="M16"/>
      <c r="N16"/>
      <c r="O16"/>
      <c r="P16"/>
      <c r="Q16"/>
      <c r="R16"/>
      <c r="S16" s="58"/>
      <c r="T16" s="58"/>
      <c r="U16" s="58"/>
      <c r="V16" s="58"/>
    </row>
    <row r="17" spans="1:22" x14ac:dyDescent="0.25">
      <c r="A17" s="211" t="s">
        <v>803</v>
      </c>
      <c r="B17" s="175" t="s">
        <v>143</v>
      </c>
      <c r="C17" s="175" t="s">
        <v>144</v>
      </c>
      <c r="D17" s="176" t="s">
        <v>163</v>
      </c>
      <c r="E17" s="176">
        <v>7770</v>
      </c>
      <c r="F17" s="175">
        <v>0</v>
      </c>
      <c r="G17" s="220" t="s">
        <v>269</v>
      </c>
      <c r="H17" s="220">
        <v>68752044</v>
      </c>
      <c r="I17" s="220" t="s">
        <v>205</v>
      </c>
      <c r="J17" s="149"/>
      <c r="K17" s="169"/>
      <c r="L17" s="3"/>
      <c r="M17" s="5"/>
      <c r="N17"/>
      <c r="O17"/>
      <c r="P17"/>
      <c r="Q17"/>
      <c r="R17"/>
      <c r="S17" s="58"/>
      <c r="T17" s="58"/>
      <c r="U17" s="58"/>
      <c r="V17" s="58"/>
    </row>
    <row r="18" spans="1:22" x14ac:dyDescent="0.25">
      <c r="A18" s="211" t="s">
        <v>803</v>
      </c>
      <c r="B18" s="175" t="s">
        <v>143</v>
      </c>
      <c r="C18" s="175" t="s">
        <v>144</v>
      </c>
      <c r="D18" s="175" t="s">
        <v>163</v>
      </c>
      <c r="E18" s="176">
        <v>7990</v>
      </c>
      <c r="F18" s="175">
        <v>0</v>
      </c>
      <c r="G18" s="220" t="s">
        <v>269</v>
      </c>
      <c r="H18" s="220">
        <v>68752043</v>
      </c>
      <c r="I18" s="220" t="s">
        <v>61</v>
      </c>
      <c r="J18" s="149"/>
      <c r="K18" s="169"/>
      <c r="L18" s="3"/>
      <c r="M18" s="5"/>
      <c r="N18"/>
      <c r="O18"/>
      <c r="P18"/>
      <c r="Q18"/>
      <c r="R18"/>
      <c r="S18" s="58"/>
      <c r="T18" s="58"/>
      <c r="U18" s="58"/>
      <c r="V18" s="58"/>
    </row>
    <row r="19" spans="1:22" x14ac:dyDescent="0.25">
      <c r="A19" s="211" t="s">
        <v>803</v>
      </c>
      <c r="B19" s="175" t="s">
        <v>143</v>
      </c>
      <c r="C19" s="175" t="s">
        <v>144</v>
      </c>
      <c r="D19" s="175" t="s">
        <v>163</v>
      </c>
      <c r="E19" s="176">
        <v>15790</v>
      </c>
      <c r="F19" s="175">
        <v>0</v>
      </c>
      <c r="G19" s="220" t="s">
        <v>269</v>
      </c>
      <c r="H19" s="220">
        <v>68752042</v>
      </c>
      <c r="I19" s="220" t="s">
        <v>201</v>
      </c>
      <c r="J19" s="149"/>
      <c r="K19" s="54" t="s">
        <v>203</v>
      </c>
      <c r="L19" s="3"/>
      <c r="M19" s="5"/>
      <c r="N19"/>
      <c r="O19"/>
      <c r="P19"/>
      <c r="Q19"/>
      <c r="R19"/>
      <c r="S19" s="58"/>
      <c r="T19" s="58"/>
      <c r="U19" s="58"/>
      <c r="V19" s="58"/>
    </row>
    <row r="20" spans="1:22" x14ac:dyDescent="0.25">
      <c r="A20" s="211" t="s">
        <v>803</v>
      </c>
      <c r="B20" s="175" t="s">
        <v>143</v>
      </c>
      <c r="C20" s="175" t="s">
        <v>144</v>
      </c>
      <c r="D20" s="175" t="s">
        <v>163</v>
      </c>
      <c r="E20" s="176">
        <v>25630</v>
      </c>
      <c r="F20" s="175">
        <v>0</v>
      </c>
      <c r="G20" s="220" t="s">
        <v>269</v>
      </c>
      <c r="H20" s="220">
        <v>68752041</v>
      </c>
      <c r="I20" s="220" t="s">
        <v>162</v>
      </c>
      <c r="J20" s="149"/>
      <c r="K20" s="54" t="s">
        <v>201</v>
      </c>
      <c r="L20" s="3"/>
      <c r="M20" s="5"/>
      <c r="N20"/>
      <c r="O20"/>
      <c r="P20"/>
      <c r="Q20"/>
      <c r="R20"/>
      <c r="S20" s="58"/>
      <c r="T20" s="58"/>
      <c r="U20" s="58"/>
      <c r="V20" s="58"/>
    </row>
    <row r="21" spans="1:22" x14ac:dyDescent="0.25">
      <c r="A21" s="211" t="s">
        <v>803</v>
      </c>
      <c r="B21" s="175" t="s">
        <v>143</v>
      </c>
      <c r="C21" s="175" t="s">
        <v>144</v>
      </c>
      <c r="D21" s="176" t="s">
        <v>163</v>
      </c>
      <c r="E21" s="176">
        <v>58380</v>
      </c>
      <c r="F21" s="175">
        <v>0</v>
      </c>
      <c r="G21" s="220" t="s">
        <v>269</v>
      </c>
      <c r="H21" s="220">
        <v>68752040</v>
      </c>
      <c r="I21" s="220" t="s">
        <v>203</v>
      </c>
      <c r="J21" s="149"/>
      <c r="K21" s="54" t="s">
        <v>212</v>
      </c>
      <c r="L21" s="3"/>
      <c r="M21" s="5"/>
      <c r="N21"/>
      <c r="O21"/>
      <c r="P21"/>
      <c r="Q21"/>
      <c r="R21"/>
      <c r="S21" s="58"/>
      <c r="T21" s="58"/>
      <c r="U21" s="58"/>
      <c r="V21" s="58"/>
    </row>
    <row r="22" spans="1:22" x14ac:dyDescent="0.25">
      <c r="A22" s="211" t="s">
        <v>803</v>
      </c>
      <c r="B22" s="175" t="s">
        <v>143</v>
      </c>
      <c r="C22" s="175" t="s">
        <v>144</v>
      </c>
      <c r="D22" s="176" t="s">
        <v>163</v>
      </c>
      <c r="E22" s="176">
        <v>194254</v>
      </c>
      <c r="F22" s="175">
        <v>0</v>
      </c>
      <c r="G22" s="220" t="s">
        <v>269</v>
      </c>
      <c r="H22" s="220">
        <v>68752039</v>
      </c>
      <c r="I22" s="220" t="s">
        <v>202</v>
      </c>
      <c r="J22" s="149"/>
      <c r="K22" s="54" t="s">
        <v>200</v>
      </c>
      <c r="L22" s="3"/>
      <c r="M22" s="5"/>
      <c r="N22"/>
      <c r="O22"/>
      <c r="P22"/>
      <c r="Q22"/>
      <c r="R22"/>
      <c r="S22" s="58"/>
      <c r="T22" s="58"/>
      <c r="U22" s="58"/>
      <c r="V22" s="58"/>
    </row>
    <row r="23" spans="1:22" x14ac:dyDescent="0.25">
      <c r="A23" s="211" t="s">
        <v>803</v>
      </c>
      <c r="B23" s="175" t="s">
        <v>143</v>
      </c>
      <c r="C23" s="175" t="s">
        <v>144</v>
      </c>
      <c r="D23" s="176" t="s">
        <v>163</v>
      </c>
      <c r="E23" s="176">
        <v>27311</v>
      </c>
      <c r="F23" s="175">
        <v>0</v>
      </c>
      <c r="G23" s="220" t="s">
        <v>295</v>
      </c>
      <c r="H23" s="220">
        <v>96835645</v>
      </c>
      <c r="I23" s="220" t="s">
        <v>61</v>
      </c>
      <c r="J23" s="149"/>
      <c r="K23" s="54" t="s">
        <v>202</v>
      </c>
      <c r="L23" s="3"/>
      <c r="M23" s="5"/>
      <c r="N23"/>
      <c r="O23"/>
      <c r="P23"/>
      <c r="Q23"/>
      <c r="R23"/>
      <c r="S23" s="58"/>
      <c r="T23" s="58"/>
      <c r="U23" s="58"/>
      <c r="V23" s="58"/>
    </row>
    <row r="24" spans="1:22" x14ac:dyDescent="0.25">
      <c r="A24" s="211" t="s">
        <v>803</v>
      </c>
      <c r="B24" s="175" t="s">
        <v>143</v>
      </c>
      <c r="C24" s="175" t="s">
        <v>144</v>
      </c>
      <c r="D24" s="176" t="s">
        <v>163</v>
      </c>
      <c r="E24" s="176">
        <v>95150</v>
      </c>
      <c r="F24" s="175">
        <v>0</v>
      </c>
      <c r="G24" s="220" t="s">
        <v>298</v>
      </c>
      <c r="H24" s="220">
        <v>29516</v>
      </c>
      <c r="I24" s="220" t="s">
        <v>202</v>
      </c>
      <c r="J24" s="149"/>
      <c r="K24" s="54" t="s">
        <v>61</v>
      </c>
      <c r="L24" s="19"/>
      <c r="M24" s="5"/>
      <c r="N24" s="19"/>
      <c r="O24" s="19"/>
      <c r="P24" s="19"/>
      <c r="Q24" s="19"/>
      <c r="R24" s="19"/>
      <c r="S24" s="58"/>
      <c r="T24" s="58"/>
      <c r="U24" s="58"/>
      <c r="V24" s="58"/>
    </row>
    <row r="25" spans="1:22" x14ac:dyDescent="0.25">
      <c r="A25" s="211" t="s">
        <v>803</v>
      </c>
      <c r="B25" s="175" t="s">
        <v>143</v>
      </c>
      <c r="C25" s="175" t="s">
        <v>144</v>
      </c>
      <c r="D25" s="176" t="s">
        <v>163</v>
      </c>
      <c r="E25" s="176">
        <v>35950</v>
      </c>
      <c r="F25" s="175">
        <v>0</v>
      </c>
      <c r="G25" s="220" t="s">
        <v>298</v>
      </c>
      <c r="H25" s="220">
        <v>29517</v>
      </c>
      <c r="I25" s="220" t="s">
        <v>203</v>
      </c>
      <c r="J25" s="149"/>
      <c r="K25" s="54" t="s">
        <v>205</v>
      </c>
      <c r="L25" s="19"/>
      <c r="M25" s="5"/>
      <c r="N25" s="19"/>
      <c r="O25" s="19"/>
      <c r="P25" s="19"/>
      <c r="Q25" s="19"/>
      <c r="R25" s="19"/>
      <c r="S25" s="58"/>
      <c r="T25" s="58"/>
      <c r="U25" s="58"/>
      <c r="V25" s="58"/>
    </row>
    <row r="26" spans="1:22" x14ac:dyDescent="0.25">
      <c r="A26" s="211" t="s">
        <v>805</v>
      </c>
      <c r="B26" s="175" t="s">
        <v>143</v>
      </c>
      <c r="C26" s="175" t="s">
        <v>144</v>
      </c>
      <c r="D26" s="176" t="s">
        <v>163</v>
      </c>
      <c r="E26" s="176">
        <v>23229</v>
      </c>
      <c r="F26" s="175">
        <v>0</v>
      </c>
      <c r="G26" s="220" t="s">
        <v>153</v>
      </c>
      <c r="H26" s="220">
        <v>104755</v>
      </c>
      <c r="I26" s="220" t="s">
        <v>200</v>
      </c>
      <c r="J26" s="149"/>
      <c r="K26" s="54" t="s">
        <v>80</v>
      </c>
      <c r="L26" s="19"/>
      <c r="M26" s="5"/>
      <c r="N26" s="19"/>
      <c r="O26" s="19"/>
      <c r="P26" s="19"/>
      <c r="Q26" s="19"/>
      <c r="R26" s="19"/>
      <c r="S26" s="58"/>
      <c r="T26" s="58"/>
      <c r="U26" s="58"/>
      <c r="V26" s="58"/>
    </row>
    <row r="27" spans="1:22" x14ac:dyDescent="0.25">
      <c r="A27" s="211" t="s">
        <v>805</v>
      </c>
      <c r="B27" s="175" t="s">
        <v>143</v>
      </c>
      <c r="C27" s="175" t="s">
        <v>144</v>
      </c>
      <c r="D27" s="176" t="s">
        <v>163</v>
      </c>
      <c r="E27" s="176">
        <v>41760</v>
      </c>
      <c r="F27" s="175">
        <v>0</v>
      </c>
      <c r="G27" s="220" t="s">
        <v>204</v>
      </c>
      <c r="H27" s="220">
        <v>11078538</v>
      </c>
      <c r="I27" s="220" t="s">
        <v>162</v>
      </c>
      <c r="J27" s="149"/>
      <c r="K27" s="54" t="s">
        <v>162</v>
      </c>
      <c r="L27" s="19"/>
      <c r="M27" s="5"/>
      <c r="N27" s="19"/>
      <c r="O27" s="19"/>
      <c r="P27" s="19"/>
      <c r="Q27" s="19"/>
      <c r="R27" s="19"/>
      <c r="S27" s="58"/>
      <c r="T27" s="58"/>
      <c r="U27" s="58"/>
      <c r="V27" s="58"/>
    </row>
    <row r="28" spans="1:22" x14ac:dyDescent="0.25">
      <c r="A28" s="211" t="s">
        <v>805</v>
      </c>
      <c r="B28" s="175" t="s">
        <v>143</v>
      </c>
      <c r="C28" s="175" t="s">
        <v>144</v>
      </c>
      <c r="D28" s="176" t="s">
        <v>163</v>
      </c>
      <c r="E28" s="176">
        <v>28890</v>
      </c>
      <c r="F28" s="175">
        <v>0</v>
      </c>
      <c r="G28" s="220" t="s">
        <v>269</v>
      </c>
      <c r="H28" s="220">
        <v>68752243</v>
      </c>
      <c r="I28" s="220" t="s">
        <v>201</v>
      </c>
      <c r="J28" s="149"/>
      <c r="K28" s="169"/>
      <c r="L28" s="19"/>
      <c r="M28" s="5"/>
      <c r="N28" s="19"/>
      <c r="O28" s="19"/>
      <c r="P28" s="19"/>
      <c r="Q28" s="19"/>
      <c r="R28" s="19"/>
      <c r="S28" s="58"/>
      <c r="T28" s="58"/>
      <c r="U28" s="58"/>
      <c r="V28" s="58"/>
    </row>
    <row r="29" spans="1:22" x14ac:dyDescent="0.25">
      <c r="A29" s="211" t="s">
        <v>805</v>
      </c>
      <c r="B29" s="175" t="s">
        <v>143</v>
      </c>
      <c r="C29" s="175" t="s">
        <v>144</v>
      </c>
      <c r="D29" s="176" t="s">
        <v>163</v>
      </c>
      <c r="E29" s="176">
        <v>36306</v>
      </c>
      <c r="F29" s="175">
        <v>0</v>
      </c>
      <c r="G29" s="220" t="s">
        <v>269</v>
      </c>
      <c r="H29" s="220">
        <v>68752242</v>
      </c>
      <c r="I29" s="220" t="s">
        <v>203</v>
      </c>
      <c r="J29" s="149"/>
      <c r="K29" s="169"/>
      <c r="L29" s="19"/>
      <c r="M29" s="5"/>
      <c r="N29" s="19"/>
      <c r="O29" s="19"/>
      <c r="P29" s="19"/>
      <c r="Q29" s="19"/>
      <c r="R29" s="19"/>
      <c r="S29" s="58"/>
      <c r="T29" s="58"/>
      <c r="U29" s="58"/>
      <c r="V29" s="58"/>
    </row>
    <row r="30" spans="1:22" x14ac:dyDescent="0.25">
      <c r="A30" s="211" t="s">
        <v>805</v>
      </c>
      <c r="B30" s="175" t="s">
        <v>143</v>
      </c>
      <c r="C30" s="175" t="s">
        <v>144</v>
      </c>
      <c r="D30" s="175" t="s">
        <v>163</v>
      </c>
      <c r="E30" s="176">
        <v>152519</v>
      </c>
      <c r="F30" s="175">
        <v>0</v>
      </c>
      <c r="G30" s="220" t="s">
        <v>269</v>
      </c>
      <c r="H30" s="220">
        <v>68752241</v>
      </c>
      <c r="I30" s="220" t="s">
        <v>202</v>
      </c>
      <c r="J30" s="149"/>
      <c r="K30" s="169"/>
      <c r="L30" s="19"/>
      <c r="M30" s="5"/>
      <c r="N30" s="19"/>
      <c r="O30" s="19"/>
      <c r="P30" s="19"/>
      <c r="Q30" s="19"/>
      <c r="R30" s="19"/>
      <c r="S30" s="58"/>
      <c r="T30" s="58"/>
      <c r="U30" s="58"/>
      <c r="V30" s="58"/>
    </row>
    <row r="31" spans="1:22" x14ac:dyDescent="0.25">
      <c r="A31" s="211" t="s">
        <v>807</v>
      </c>
      <c r="B31" s="175" t="s">
        <v>143</v>
      </c>
      <c r="C31" s="175" t="s">
        <v>144</v>
      </c>
      <c r="D31" s="175" t="s">
        <v>163</v>
      </c>
      <c r="E31" s="176">
        <v>12002</v>
      </c>
      <c r="F31" s="175">
        <v>0</v>
      </c>
      <c r="G31" s="220" t="s">
        <v>153</v>
      </c>
      <c r="H31" s="220">
        <v>184928</v>
      </c>
      <c r="I31" s="220" t="s">
        <v>294</v>
      </c>
      <c r="J31" s="149"/>
      <c r="K31" s="169"/>
      <c r="L31" s="19"/>
      <c r="M31" s="5"/>
      <c r="N31" s="19"/>
      <c r="O31" s="19"/>
      <c r="P31" s="19"/>
      <c r="Q31" s="19"/>
      <c r="R31" s="19"/>
      <c r="S31" s="58"/>
      <c r="T31" s="58"/>
      <c r="U31" s="58"/>
      <c r="V31" s="58"/>
    </row>
    <row r="32" spans="1:22" s="126" customFormat="1" x14ac:dyDescent="0.25">
      <c r="A32" s="211" t="s">
        <v>809</v>
      </c>
      <c r="B32" s="175" t="s">
        <v>143</v>
      </c>
      <c r="C32" s="175" t="s">
        <v>144</v>
      </c>
      <c r="D32" s="175" t="s">
        <v>163</v>
      </c>
      <c r="E32" s="176">
        <v>39300</v>
      </c>
      <c r="F32" s="175">
        <v>0</v>
      </c>
      <c r="G32" s="220" t="s">
        <v>295</v>
      </c>
      <c r="H32" s="220">
        <v>97242320</v>
      </c>
      <c r="I32" s="220" t="s">
        <v>61</v>
      </c>
      <c r="J32" s="149"/>
      <c r="K32" s="169"/>
      <c r="M32" s="5"/>
      <c r="S32" s="58"/>
      <c r="T32" s="58"/>
      <c r="U32" s="58"/>
      <c r="V32" s="58"/>
    </row>
    <row r="33" spans="1:22" s="126" customFormat="1" x14ac:dyDescent="0.25">
      <c r="A33" s="211" t="s">
        <v>809</v>
      </c>
      <c r="B33" s="152" t="s">
        <v>143</v>
      </c>
      <c r="C33" s="178" t="s">
        <v>144</v>
      </c>
      <c r="D33" s="179" t="s">
        <v>163</v>
      </c>
      <c r="E33" s="176">
        <v>42350</v>
      </c>
      <c r="F33" s="175">
        <v>0</v>
      </c>
      <c r="G33" s="220" t="s">
        <v>204</v>
      </c>
      <c r="H33" s="220">
        <v>11176732</v>
      </c>
      <c r="I33" s="220" t="s">
        <v>162</v>
      </c>
      <c r="J33" s="149"/>
      <c r="K33" s="169"/>
      <c r="M33" s="5"/>
      <c r="S33" s="58"/>
      <c r="T33" s="58"/>
      <c r="U33" s="58"/>
      <c r="V33" s="58"/>
    </row>
    <row r="34" spans="1:22" s="126" customFormat="1" x14ac:dyDescent="0.25">
      <c r="A34" s="211" t="s">
        <v>809</v>
      </c>
      <c r="B34" s="152" t="s">
        <v>143</v>
      </c>
      <c r="C34" s="178" t="s">
        <v>144</v>
      </c>
      <c r="D34" s="179" t="s">
        <v>163</v>
      </c>
      <c r="E34" s="176">
        <v>86150</v>
      </c>
      <c r="F34" s="175">
        <v>0</v>
      </c>
      <c r="G34" s="220" t="s">
        <v>298</v>
      </c>
      <c r="H34" s="220">
        <v>29991</v>
      </c>
      <c r="I34" s="220" t="s">
        <v>202</v>
      </c>
      <c r="J34" s="149"/>
      <c r="K34" s="169"/>
      <c r="M34" s="5"/>
      <c r="S34" s="58"/>
      <c r="T34" s="58"/>
      <c r="U34" s="58"/>
      <c r="V34" s="58"/>
    </row>
    <row r="35" spans="1:22" s="126" customFormat="1" x14ac:dyDescent="0.25">
      <c r="A35" s="211" t="s">
        <v>809</v>
      </c>
      <c r="B35" s="152" t="s">
        <v>143</v>
      </c>
      <c r="C35" s="178" t="s">
        <v>144</v>
      </c>
      <c r="D35" s="167" t="s">
        <v>163</v>
      </c>
      <c r="E35" s="176">
        <v>33350</v>
      </c>
      <c r="F35" s="175">
        <v>0</v>
      </c>
      <c r="G35" s="220" t="s">
        <v>298</v>
      </c>
      <c r="H35" s="220">
        <v>29988</v>
      </c>
      <c r="I35" s="220" t="s">
        <v>203</v>
      </c>
      <c r="J35" s="149"/>
      <c r="K35" s="169"/>
      <c r="M35" s="5"/>
      <c r="S35" s="58"/>
      <c r="T35" s="58"/>
      <c r="U35" s="58"/>
      <c r="V35" s="58"/>
    </row>
    <row r="36" spans="1:22" s="126" customFormat="1" x14ac:dyDescent="0.25">
      <c r="A36" s="211" t="s">
        <v>814</v>
      </c>
      <c r="B36" s="152" t="s">
        <v>143</v>
      </c>
      <c r="C36" s="178" t="s">
        <v>144</v>
      </c>
      <c r="D36" s="167" t="s">
        <v>163</v>
      </c>
      <c r="E36" s="176">
        <v>24989</v>
      </c>
      <c r="F36" s="175">
        <v>0</v>
      </c>
      <c r="G36" s="220" t="s">
        <v>269</v>
      </c>
      <c r="H36" s="220">
        <v>68798666</v>
      </c>
      <c r="I36" s="220" t="s">
        <v>61</v>
      </c>
      <c r="J36" s="149"/>
      <c r="K36" s="169"/>
      <c r="M36" s="5"/>
      <c r="S36" s="58"/>
      <c r="T36" s="58"/>
      <c r="U36" s="58"/>
      <c r="V36" s="58"/>
    </row>
    <row r="37" spans="1:22" s="126" customFormat="1" x14ac:dyDescent="0.25">
      <c r="A37" s="211" t="s">
        <v>814</v>
      </c>
      <c r="B37" s="152" t="s">
        <v>143</v>
      </c>
      <c r="C37" s="178" t="s">
        <v>144</v>
      </c>
      <c r="D37" s="167" t="s">
        <v>163</v>
      </c>
      <c r="E37" s="176">
        <v>27530</v>
      </c>
      <c r="F37" s="175">
        <v>0</v>
      </c>
      <c r="G37" s="220" t="s">
        <v>269</v>
      </c>
      <c r="H37" s="220">
        <v>68798665</v>
      </c>
      <c r="I37" s="220" t="s">
        <v>201</v>
      </c>
      <c r="J37" s="149"/>
      <c r="K37" s="169"/>
      <c r="M37" s="5"/>
      <c r="S37" s="58"/>
      <c r="T37" s="58"/>
      <c r="U37" s="58"/>
      <c r="V37" s="58"/>
    </row>
    <row r="38" spans="1:22" s="126" customFormat="1" x14ac:dyDescent="0.25">
      <c r="A38" s="211" t="s">
        <v>814</v>
      </c>
      <c r="B38" s="152" t="s">
        <v>143</v>
      </c>
      <c r="C38" s="178" t="s">
        <v>144</v>
      </c>
      <c r="D38" s="167" t="s">
        <v>163</v>
      </c>
      <c r="E38" s="176">
        <v>97354</v>
      </c>
      <c r="F38" s="175">
        <v>0</v>
      </c>
      <c r="G38" s="220" t="s">
        <v>269</v>
      </c>
      <c r="H38" s="220">
        <v>68798664</v>
      </c>
      <c r="I38" s="220" t="s">
        <v>203</v>
      </c>
      <c r="J38" s="149"/>
      <c r="K38" s="169"/>
      <c r="M38" s="5"/>
      <c r="S38" s="58"/>
      <c r="T38" s="58"/>
      <c r="U38" s="58"/>
      <c r="V38" s="58"/>
    </row>
    <row r="39" spans="1:22" s="126" customFormat="1" x14ac:dyDescent="0.25">
      <c r="A39" s="211" t="s">
        <v>814</v>
      </c>
      <c r="B39" s="152" t="s">
        <v>143</v>
      </c>
      <c r="C39" s="178" t="s">
        <v>144</v>
      </c>
      <c r="D39" s="167" t="s">
        <v>163</v>
      </c>
      <c r="E39" s="176">
        <v>165485</v>
      </c>
      <c r="F39" s="175">
        <v>0</v>
      </c>
      <c r="G39" s="220" t="s">
        <v>269</v>
      </c>
      <c r="H39" s="220">
        <v>68798663</v>
      </c>
      <c r="I39" s="220" t="s">
        <v>202</v>
      </c>
      <c r="J39" s="149"/>
      <c r="K39" s="169"/>
      <c r="M39" s="5"/>
      <c r="S39" s="58"/>
      <c r="T39" s="58"/>
      <c r="U39" s="58"/>
      <c r="V39" s="58"/>
    </row>
    <row r="40" spans="1:22" s="126" customFormat="1" x14ac:dyDescent="0.25">
      <c r="A40" s="211"/>
      <c r="B40" s="152"/>
      <c r="C40" s="178"/>
      <c r="D40" s="167"/>
      <c r="E40" s="176"/>
      <c r="F40" s="175"/>
      <c r="G40" s="220"/>
      <c r="H40" s="220"/>
      <c r="I40" s="220"/>
      <c r="J40" s="149"/>
      <c r="K40" s="169"/>
      <c r="M40" s="5"/>
      <c r="S40" s="58"/>
      <c r="T40" s="58"/>
      <c r="U40" s="58"/>
      <c r="V40" s="58"/>
    </row>
    <row r="41" spans="1:22" s="126" customFormat="1" x14ac:dyDescent="0.25">
      <c r="A41" s="211"/>
      <c r="B41" s="152"/>
      <c r="C41" s="178"/>
      <c r="D41" s="167"/>
      <c r="E41" s="176"/>
      <c r="F41" s="175"/>
      <c r="G41" s="220"/>
      <c r="H41" s="220"/>
      <c r="I41" s="220"/>
      <c r="J41" s="149"/>
      <c r="K41" s="169"/>
      <c r="M41" s="5"/>
      <c r="S41" s="58"/>
      <c r="T41" s="58"/>
      <c r="U41" s="58"/>
      <c r="V41" s="58"/>
    </row>
    <row r="42" spans="1:22" s="126" customFormat="1" x14ac:dyDescent="0.25">
      <c r="A42" s="211"/>
      <c r="B42" s="152"/>
      <c r="C42" s="178"/>
      <c r="D42" s="167"/>
      <c r="E42" s="176"/>
      <c r="F42" s="152"/>
      <c r="G42" s="220"/>
      <c r="H42" s="220"/>
      <c r="I42" s="220"/>
      <c r="J42" s="149"/>
      <c r="K42" s="169"/>
      <c r="M42" s="5"/>
      <c r="S42" s="58"/>
      <c r="T42" s="58"/>
      <c r="U42" s="58"/>
      <c r="V42" s="58"/>
    </row>
    <row r="43" spans="1:22" s="126" customFormat="1" x14ac:dyDescent="0.25">
      <c r="A43" s="211"/>
      <c r="B43" s="152"/>
      <c r="C43" s="178"/>
      <c r="D43" s="167"/>
      <c r="E43" s="176"/>
      <c r="F43" s="152"/>
      <c r="G43" s="220"/>
      <c r="H43" s="220"/>
      <c r="I43" s="220"/>
      <c r="J43" s="149"/>
      <c r="K43" s="169"/>
      <c r="M43" s="5"/>
      <c r="S43" s="58"/>
      <c r="T43" s="58"/>
      <c r="U43" s="58"/>
      <c r="V43" s="58"/>
    </row>
    <row r="44" spans="1:22" s="126" customFormat="1" x14ac:dyDescent="0.25">
      <c r="A44" s="211"/>
      <c r="B44" s="152"/>
      <c r="C44" s="178"/>
      <c r="D44" s="167"/>
      <c r="E44" s="179"/>
      <c r="F44" s="152"/>
      <c r="G44" s="220"/>
      <c r="H44" s="220"/>
      <c r="I44" s="220"/>
      <c r="J44" s="149"/>
      <c r="K44" s="169"/>
      <c r="M44" s="5"/>
      <c r="S44" s="58"/>
      <c r="T44" s="58"/>
      <c r="U44" s="58"/>
      <c r="V44" s="58"/>
    </row>
    <row r="45" spans="1:22" s="126" customFormat="1" x14ac:dyDescent="0.25">
      <c r="A45" s="211"/>
      <c r="B45" s="152"/>
      <c r="C45" s="178"/>
      <c r="D45" s="167"/>
      <c r="E45" s="179"/>
      <c r="F45" s="152"/>
      <c r="G45" s="220"/>
      <c r="H45" s="220"/>
      <c r="I45" s="220"/>
      <c r="J45" s="149"/>
      <c r="K45" s="169"/>
      <c r="M45" s="5"/>
      <c r="S45" s="58"/>
      <c r="T45" s="58"/>
      <c r="U45" s="58"/>
      <c r="V45" s="58"/>
    </row>
    <row r="46" spans="1:22" s="126" customFormat="1" x14ac:dyDescent="0.25">
      <c r="A46" s="211"/>
      <c r="B46" s="152"/>
      <c r="C46" s="178"/>
      <c r="D46" s="167"/>
      <c r="E46" s="179"/>
      <c r="F46" s="152"/>
      <c r="G46" s="220"/>
      <c r="H46" s="220"/>
      <c r="I46" s="220"/>
      <c r="J46" s="149"/>
      <c r="K46" s="169"/>
      <c r="M46" s="5"/>
      <c r="S46" s="58"/>
      <c r="T46" s="58"/>
      <c r="U46" s="58"/>
      <c r="V46" s="58"/>
    </row>
    <row r="47" spans="1:22" s="126" customFormat="1" x14ac:dyDescent="0.25">
      <c r="A47" s="211"/>
      <c r="B47" s="175"/>
      <c r="C47" s="175"/>
      <c r="D47" s="176"/>
      <c r="E47" s="176"/>
      <c r="F47" s="175"/>
      <c r="G47" s="220"/>
      <c r="H47" s="220"/>
      <c r="I47" s="220"/>
      <c r="J47" s="149"/>
      <c r="M47" s="5"/>
      <c r="S47" s="58"/>
      <c r="T47" s="58"/>
      <c r="U47" s="58"/>
      <c r="V47" s="58"/>
    </row>
    <row r="48" spans="1:22" s="126" customFormat="1" x14ac:dyDescent="0.25">
      <c r="A48" s="211"/>
      <c r="B48" s="175"/>
      <c r="C48" s="175"/>
      <c r="D48" s="176"/>
      <c r="E48" s="176"/>
      <c r="F48" s="175"/>
      <c r="G48" s="220"/>
      <c r="H48" s="220"/>
      <c r="I48" s="220"/>
      <c r="J48" s="149"/>
      <c r="M48" s="5"/>
      <c r="S48" s="58"/>
      <c r="T48" s="58"/>
      <c r="U48" s="58"/>
      <c r="V48" s="58"/>
    </row>
    <row r="49" spans="1:22" s="126" customFormat="1" x14ac:dyDescent="0.25">
      <c r="A49" s="211"/>
      <c r="B49" s="175"/>
      <c r="C49" s="175"/>
      <c r="D49" s="176"/>
      <c r="E49" s="176"/>
      <c r="F49" s="175"/>
      <c r="G49" s="220"/>
      <c r="H49" s="220"/>
      <c r="I49" s="220"/>
      <c r="J49" s="149"/>
      <c r="M49" s="5"/>
      <c r="S49" s="58"/>
      <c r="T49" s="58"/>
      <c r="U49" s="58"/>
      <c r="V49" s="58"/>
    </row>
    <row r="50" spans="1:22" s="126" customFormat="1" x14ac:dyDescent="0.25">
      <c r="A50" s="211"/>
      <c r="B50" s="175"/>
      <c r="C50" s="175"/>
      <c r="D50" s="176"/>
      <c r="E50" s="176"/>
      <c r="F50" s="175"/>
      <c r="G50" s="220"/>
      <c r="H50" s="220"/>
      <c r="I50" s="220"/>
      <c r="J50" s="149"/>
      <c r="M50" s="5"/>
      <c r="S50" s="58"/>
      <c r="T50" s="58"/>
      <c r="U50" s="58"/>
      <c r="V50" s="58"/>
    </row>
    <row r="51" spans="1:22" s="126" customFormat="1" x14ac:dyDescent="0.25">
      <c r="A51" s="211"/>
      <c r="B51" s="152"/>
      <c r="C51" s="178"/>
      <c r="D51" s="179"/>
      <c r="E51" s="179"/>
      <c r="F51" s="152"/>
      <c r="G51" s="220"/>
      <c r="H51" s="220"/>
      <c r="I51" s="220"/>
      <c r="J51" s="149"/>
      <c r="M51" s="5"/>
      <c r="S51" s="58"/>
      <c r="T51" s="58"/>
      <c r="U51" s="58"/>
      <c r="V51" s="58"/>
    </row>
    <row r="52" spans="1:22" s="126" customFormat="1" x14ac:dyDescent="0.25">
      <c r="A52" s="211"/>
      <c r="B52" s="152"/>
      <c r="C52" s="178"/>
      <c r="D52" s="179"/>
      <c r="E52" s="179"/>
      <c r="F52" s="152"/>
      <c r="G52" s="220"/>
      <c r="H52" s="220"/>
      <c r="I52" s="220"/>
      <c r="J52" s="149"/>
      <c r="M52" s="5"/>
      <c r="S52" s="58"/>
      <c r="T52" s="58"/>
      <c r="U52" s="58"/>
      <c r="V52" s="58"/>
    </row>
    <row r="53" spans="1:22" s="126" customFormat="1" x14ac:dyDescent="0.25">
      <c r="A53" s="211"/>
      <c r="B53" s="152"/>
      <c r="C53" s="178"/>
      <c r="D53" s="67"/>
      <c r="E53" s="179"/>
      <c r="F53" s="152"/>
      <c r="G53" s="220"/>
      <c r="H53" s="220"/>
      <c r="I53" s="220"/>
      <c r="J53" s="149"/>
      <c r="M53" s="5"/>
      <c r="S53" s="58"/>
      <c r="T53" s="58"/>
      <c r="U53" s="58"/>
      <c r="V53" s="58"/>
    </row>
    <row r="54" spans="1:22" s="126" customFormat="1" x14ac:dyDescent="0.25">
      <c r="A54" s="211"/>
      <c r="B54" s="152"/>
      <c r="C54" s="178"/>
      <c r="D54" s="67"/>
      <c r="E54" s="179"/>
      <c r="F54" s="152"/>
      <c r="G54" s="220"/>
      <c r="H54" s="220"/>
      <c r="I54" s="220"/>
      <c r="J54" s="149"/>
      <c r="M54" s="5"/>
      <c r="S54" s="58"/>
      <c r="T54" s="58"/>
      <c r="U54" s="58"/>
      <c r="V54" s="58"/>
    </row>
    <row r="55" spans="1:22" s="126" customFormat="1" x14ac:dyDescent="0.25">
      <c r="A55" s="211"/>
      <c r="B55" s="152"/>
      <c r="C55" s="178"/>
      <c r="D55" s="67"/>
      <c r="E55" s="179"/>
      <c r="F55" s="152"/>
      <c r="G55" s="220"/>
      <c r="H55" s="220"/>
      <c r="I55" s="220"/>
      <c r="J55" s="149"/>
      <c r="M55" s="5"/>
      <c r="S55" s="58"/>
      <c r="T55" s="58"/>
      <c r="U55" s="58"/>
      <c r="V55" s="58"/>
    </row>
    <row r="56" spans="1:22" s="126" customFormat="1" x14ac:dyDescent="0.25">
      <c r="A56" s="211"/>
      <c r="B56" s="152"/>
      <c r="C56" s="178"/>
      <c r="D56" s="67"/>
      <c r="E56" s="179"/>
      <c r="F56" s="152"/>
      <c r="G56" s="220"/>
      <c r="H56" s="220"/>
      <c r="I56" s="220"/>
      <c r="J56" s="149"/>
      <c r="M56" s="5"/>
      <c r="S56" s="58"/>
      <c r="T56" s="58"/>
      <c r="U56" s="58"/>
      <c r="V56" s="58"/>
    </row>
    <row r="57" spans="1:22" s="126" customFormat="1" x14ac:dyDescent="0.25">
      <c r="A57" s="305" t="s">
        <v>796</v>
      </c>
      <c r="B57" s="220" t="s">
        <v>135</v>
      </c>
      <c r="C57" s="220" t="s">
        <v>304</v>
      </c>
      <c r="D57" s="220" t="s">
        <v>163</v>
      </c>
      <c r="E57" s="306">
        <v>0</v>
      </c>
      <c r="F57" s="307">
        <v>2000000</v>
      </c>
      <c r="G57" s="220"/>
      <c r="H57" s="220"/>
      <c r="I57" s="220"/>
      <c r="J57" s="149"/>
      <c r="M57" s="5"/>
      <c r="S57" s="58"/>
      <c r="T57" s="58"/>
      <c r="U57" s="58"/>
      <c r="V57" s="58"/>
    </row>
    <row r="58" spans="1:22" s="126" customFormat="1" x14ac:dyDescent="0.25">
      <c r="A58" s="305"/>
      <c r="B58" s="220"/>
      <c r="C58" s="220" t="s">
        <v>830</v>
      </c>
      <c r="D58" s="220"/>
      <c r="E58" s="306"/>
      <c r="F58" s="307">
        <v>580619</v>
      </c>
      <c r="G58" s="220"/>
      <c r="H58" s="220"/>
      <c r="I58" s="220"/>
      <c r="J58" s="149"/>
      <c r="M58" s="5"/>
      <c r="S58" s="58"/>
      <c r="T58" s="58"/>
      <c r="U58" s="58"/>
      <c r="V58" s="58"/>
    </row>
    <row r="59" spans="1:22" s="126" customFormat="1" x14ac:dyDescent="0.25">
      <c r="A59" s="305"/>
      <c r="B59" s="220"/>
      <c r="C59" s="220"/>
      <c r="D59" s="220"/>
      <c r="E59" s="306"/>
      <c r="F59" s="307"/>
      <c r="G59" s="220"/>
      <c r="H59" s="220"/>
      <c r="I59" s="220"/>
      <c r="J59" s="149"/>
      <c r="M59" s="5"/>
      <c r="S59" s="58"/>
      <c r="T59" s="58"/>
      <c r="U59" s="58"/>
      <c r="V59" s="58"/>
    </row>
    <row r="60" spans="1:22" s="126" customFormat="1" x14ac:dyDescent="0.25">
      <c r="A60" s="211"/>
      <c r="B60" s="152"/>
      <c r="C60" s="178"/>
      <c r="D60" s="67"/>
      <c r="E60" s="179"/>
      <c r="F60" s="152"/>
      <c r="G60" s="220"/>
      <c r="H60" s="220"/>
      <c r="I60" s="220"/>
      <c r="J60" s="149"/>
      <c r="M60" s="5"/>
      <c r="S60" s="58"/>
      <c r="T60" s="58"/>
      <c r="U60" s="58"/>
      <c r="V60" s="58"/>
    </row>
    <row r="61" spans="1:22" s="126" customFormat="1" x14ac:dyDescent="0.25">
      <c r="A61" s="152"/>
      <c r="B61" s="152"/>
      <c r="C61" s="178"/>
      <c r="D61" s="67"/>
      <c r="E61" s="179"/>
      <c r="F61" s="152"/>
      <c r="G61" s="220"/>
      <c r="H61" s="220"/>
      <c r="I61" s="220"/>
      <c r="J61" s="149"/>
      <c r="M61" s="5"/>
      <c r="S61" s="58"/>
      <c r="T61" s="58"/>
      <c r="U61" s="58"/>
      <c r="V61" s="58"/>
    </row>
    <row r="62" spans="1:22" s="126" customFormat="1" x14ac:dyDescent="0.25">
      <c r="A62" s="178" t="s">
        <v>831</v>
      </c>
      <c r="B62" s="152" t="s">
        <v>143</v>
      </c>
      <c r="C62" s="178" t="s">
        <v>164</v>
      </c>
      <c r="D62" s="179" t="s">
        <v>163</v>
      </c>
      <c r="E62" s="179">
        <v>30000</v>
      </c>
      <c r="F62" s="152">
        <v>0</v>
      </c>
      <c r="G62" s="220"/>
      <c r="H62" s="220"/>
      <c r="I62" s="220"/>
      <c r="J62" s="149"/>
      <c r="M62" s="5"/>
      <c r="S62" s="58"/>
      <c r="T62" s="58"/>
      <c r="U62" s="58"/>
      <c r="V62" s="58"/>
    </row>
    <row r="63" spans="1:22" s="126" customFormat="1" x14ac:dyDescent="0.25">
      <c r="A63" s="178" t="s">
        <v>797</v>
      </c>
      <c r="B63" s="152" t="s">
        <v>143</v>
      </c>
      <c r="C63" s="178" t="s">
        <v>164</v>
      </c>
      <c r="D63" s="179" t="s">
        <v>163</v>
      </c>
      <c r="E63" s="179">
        <v>100000</v>
      </c>
      <c r="F63" s="152">
        <v>0</v>
      </c>
      <c r="G63" s="220"/>
      <c r="H63" s="220"/>
      <c r="I63" s="220"/>
      <c r="J63" s="149"/>
      <c r="M63" s="5"/>
      <c r="S63" s="58"/>
      <c r="T63" s="58"/>
      <c r="U63" s="58"/>
      <c r="V63" s="58"/>
    </row>
    <row r="64" spans="1:22" s="126" customFormat="1" x14ac:dyDescent="0.25">
      <c r="A64" s="178" t="s">
        <v>832</v>
      </c>
      <c r="B64" s="152" t="s">
        <v>143</v>
      </c>
      <c r="C64" s="178" t="s">
        <v>164</v>
      </c>
      <c r="D64" s="179" t="s">
        <v>163</v>
      </c>
      <c r="E64" s="179">
        <v>50000</v>
      </c>
      <c r="F64" s="152">
        <v>0</v>
      </c>
      <c r="G64" s="220"/>
      <c r="H64" s="220"/>
      <c r="I64" s="220"/>
      <c r="J64" s="149"/>
      <c r="M64" s="5"/>
      <c r="S64" s="58"/>
      <c r="T64" s="58"/>
      <c r="U64" s="58"/>
      <c r="V64" s="58"/>
    </row>
    <row r="65" spans="1:22" s="126" customFormat="1" x14ac:dyDescent="0.25">
      <c r="A65" s="178" t="s">
        <v>804</v>
      </c>
      <c r="B65" s="152" t="s">
        <v>143</v>
      </c>
      <c r="C65" s="178" t="s">
        <v>164</v>
      </c>
      <c r="D65" s="179" t="s">
        <v>163</v>
      </c>
      <c r="E65" s="179">
        <v>40000</v>
      </c>
      <c r="F65" s="152">
        <v>0</v>
      </c>
      <c r="G65" s="220"/>
      <c r="H65" s="220"/>
      <c r="I65" s="220"/>
      <c r="J65" s="149"/>
      <c r="M65" s="5"/>
      <c r="S65" s="58"/>
      <c r="T65" s="58"/>
      <c r="U65" s="58"/>
      <c r="V65" s="58"/>
    </row>
    <row r="66" spans="1:22" s="126" customFormat="1" x14ac:dyDescent="0.25">
      <c r="A66" s="178" t="s">
        <v>809</v>
      </c>
      <c r="B66" s="152" t="s">
        <v>143</v>
      </c>
      <c r="C66" s="178" t="s">
        <v>164</v>
      </c>
      <c r="D66" s="179" t="s">
        <v>163</v>
      </c>
      <c r="E66" s="179">
        <v>40000</v>
      </c>
      <c r="F66" s="152">
        <v>0</v>
      </c>
      <c r="G66" s="220"/>
      <c r="H66" s="220"/>
      <c r="I66" s="220"/>
      <c r="J66" s="149"/>
      <c r="M66" s="5"/>
      <c r="S66" s="58"/>
      <c r="T66" s="58"/>
      <c r="U66" s="58"/>
      <c r="V66" s="58"/>
    </row>
    <row r="67" spans="1:22" s="126" customFormat="1" x14ac:dyDescent="0.25">
      <c r="A67" s="178"/>
      <c r="B67" s="152"/>
      <c r="C67" s="178"/>
      <c r="D67" s="179"/>
      <c r="E67" s="179"/>
      <c r="F67" s="152"/>
      <c r="G67" s="220"/>
      <c r="H67" s="220"/>
      <c r="I67" s="220"/>
      <c r="J67" s="149"/>
      <c r="M67" s="5"/>
      <c r="S67" s="58"/>
      <c r="T67" s="58"/>
      <c r="U67" s="58"/>
      <c r="V67" s="58"/>
    </row>
    <row r="68" spans="1:22" s="126" customFormat="1" x14ac:dyDescent="0.25">
      <c r="A68" s="178"/>
      <c r="B68" s="152"/>
      <c r="C68" s="178"/>
      <c r="D68" s="179"/>
      <c r="E68" s="179"/>
      <c r="F68" s="152"/>
      <c r="G68" s="220"/>
      <c r="H68" s="220"/>
      <c r="I68" s="220"/>
      <c r="J68" s="149"/>
      <c r="M68" s="5"/>
      <c r="S68" s="58"/>
      <c r="T68" s="58"/>
      <c r="U68" s="58"/>
      <c r="V68" s="58"/>
    </row>
    <row r="69" spans="1:22" s="126" customFormat="1" x14ac:dyDescent="0.25">
      <c r="A69" s="152"/>
      <c r="B69" s="152"/>
      <c r="C69" s="178"/>
      <c r="D69" s="167"/>
      <c r="E69" s="179"/>
      <c r="F69" s="152"/>
      <c r="G69" s="220"/>
      <c r="H69" s="220"/>
      <c r="I69" s="220"/>
      <c r="J69" s="149"/>
      <c r="M69" s="5"/>
      <c r="S69" s="58"/>
      <c r="T69" s="58"/>
      <c r="U69" s="58"/>
      <c r="V69" s="58"/>
    </row>
    <row r="70" spans="1:22" s="126" customFormat="1" x14ac:dyDescent="0.25">
      <c r="A70" s="152"/>
      <c r="B70" s="152"/>
      <c r="C70" s="178"/>
      <c r="D70" s="167"/>
      <c r="E70" s="179"/>
      <c r="F70" s="152"/>
      <c r="G70" s="220"/>
      <c r="H70" s="220"/>
      <c r="I70" s="220"/>
      <c r="J70" s="149"/>
      <c r="M70" s="5"/>
      <c r="S70" s="58"/>
      <c r="T70" s="58"/>
      <c r="U70" s="58"/>
      <c r="V70" s="58"/>
    </row>
    <row r="71" spans="1:22" s="126" customFormat="1" x14ac:dyDescent="0.25">
      <c r="A71" s="152"/>
      <c r="B71" s="152"/>
      <c r="C71" s="178"/>
      <c r="D71" s="167"/>
      <c r="E71" s="179"/>
      <c r="F71" s="152"/>
      <c r="G71" s="220"/>
      <c r="H71" s="220"/>
      <c r="I71" s="220"/>
      <c r="J71" s="149"/>
      <c r="M71" s="5"/>
      <c r="S71" s="58"/>
      <c r="T71" s="58"/>
      <c r="U71" s="58"/>
      <c r="V71" s="58"/>
    </row>
    <row r="72" spans="1:22" s="126" customFormat="1" x14ac:dyDescent="0.25">
      <c r="A72" s="152"/>
      <c r="B72" s="152"/>
      <c r="C72" s="178"/>
      <c r="D72" s="167"/>
      <c r="E72" s="179"/>
      <c r="F72" s="152"/>
      <c r="G72" s="220"/>
      <c r="H72" s="220"/>
      <c r="I72" s="220"/>
      <c r="J72" s="149"/>
      <c r="M72" s="5"/>
      <c r="S72" s="58"/>
      <c r="T72" s="58"/>
      <c r="U72" s="58"/>
      <c r="V72" s="58"/>
    </row>
    <row r="73" spans="1:22" s="126" customFormat="1" x14ac:dyDescent="0.25">
      <c r="A73" s="152"/>
      <c r="B73" s="152"/>
      <c r="C73" s="178"/>
      <c r="D73" s="167"/>
      <c r="E73" s="179"/>
      <c r="F73" s="152"/>
      <c r="G73" s="220"/>
      <c r="H73" s="220"/>
      <c r="I73" s="220"/>
      <c r="J73" s="149"/>
      <c r="K73" s="5"/>
      <c r="M73" s="5"/>
      <c r="S73" s="58"/>
      <c r="T73" s="58"/>
      <c r="U73" s="58"/>
      <c r="V73" s="58"/>
    </row>
    <row r="74" spans="1:22" s="126" customFormat="1" x14ac:dyDescent="0.25">
      <c r="A74" s="152"/>
      <c r="B74" s="152"/>
      <c r="C74" s="178"/>
      <c r="D74" s="167"/>
      <c r="E74" s="179"/>
      <c r="F74" s="152"/>
      <c r="G74" s="220"/>
      <c r="H74" s="220"/>
      <c r="I74" s="220"/>
      <c r="J74" s="149"/>
      <c r="K74" s="5"/>
      <c r="M74" s="5"/>
      <c r="S74" s="58"/>
      <c r="T74" s="58"/>
      <c r="U74" s="58"/>
      <c r="V74" s="58"/>
    </row>
    <row r="75" spans="1:22" s="126" customFormat="1" x14ac:dyDescent="0.25">
      <c r="A75" s="152"/>
      <c r="B75" s="152"/>
      <c r="C75" s="178"/>
      <c r="D75" s="167"/>
      <c r="E75" s="179"/>
      <c r="F75" s="152"/>
      <c r="G75" s="220"/>
      <c r="H75" s="220"/>
      <c r="I75" s="220"/>
      <c r="J75" s="149"/>
      <c r="K75" s="5"/>
      <c r="M75" s="5"/>
      <c r="S75" s="58"/>
      <c r="T75" s="58"/>
      <c r="U75" s="58"/>
      <c r="V75" s="58"/>
    </row>
    <row r="76" spans="1:22" s="126" customFormat="1" x14ac:dyDescent="0.25">
      <c r="A76" s="280"/>
      <c r="B76" s="280"/>
      <c r="C76" s="281"/>
      <c r="D76" s="282">
        <f>SUM(D62:D75)</f>
        <v>0</v>
      </c>
      <c r="E76" s="283">
        <f>SUM(E2:E75)</f>
        <v>2501729</v>
      </c>
      <c r="F76" s="283">
        <f>SUM(F2:F75)</f>
        <v>2580619</v>
      </c>
      <c r="G76" s="284"/>
      <c r="H76" s="284"/>
      <c r="I76" s="284"/>
      <c r="J76" s="325">
        <f>+E76-F76</f>
        <v>-78890</v>
      </c>
      <c r="K76" s="5"/>
      <c r="M76" s="5"/>
      <c r="S76" s="58"/>
      <c r="T76" s="58"/>
      <c r="U76" s="58"/>
      <c r="V76" s="58"/>
    </row>
    <row r="77" spans="1:22" s="126" customFormat="1" x14ac:dyDescent="0.25">
      <c r="A77" s="152"/>
      <c r="B77" s="152"/>
      <c r="C77" s="178"/>
      <c r="D77" s="167"/>
      <c r="E77" s="179"/>
      <c r="F77" s="152"/>
      <c r="G77" s="220"/>
      <c r="H77" s="220"/>
      <c r="I77" s="220"/>
      <c r="J77" s="149"/>
      <c r="K77" s="5"/>
      <c r="M77" s="5"/>
      <c r="S77" s="58"/>
      <c r="T77" s="58"/>
      <c r="U77" s="58"/>
      <c r="V77" s="58"/>
    </row>
    <row r="78" spans="1:22" s="126" customFormat="1" x14ac:dyDescent="0.25">
      <c r="A78" s="152"/>
      <c r="B78" s="152"/>
      <c r="C78" s="178"/>
      <c r="D78" s="167"/>
      <c r="E78" s="179"/>
      <c r="F78" s="152"/>
      <c r="G78" s="220"/>
      <c r="H78" s="220"/>
      <c r="I78" s="220"/>
      <c r="J78" s="149"/>
      <c r="K78" s="5"/>
      <c r="M78" s="5"/>
      <c r="S78" s="58"/>
      <c r="T78" s="58"/>
      <c r="U78" s="58"/>
      <c r="V78" s="58"/>
    </row>
    <row r="79" spans="1:22" s="126" customFormat="1" x14ac:dyDescent="0.25">
      <c r="A79" s="152"/>
      <c r="B79" s="152"/>
      <c r="C79" s="178"/>
      <c r="D79" s="167"/>
      <c r="E79" s="179"/>
      <c r="F79" s="152"/>
      <c r="G79" s="220"/>
      <c r="H79" s="220"/>
      <c r="I79" s="220"/>
      <c r="J79" s="149"/>
      <c r="K79" s="5"/>
      <c r="M79" s="5"/>
      <c r="S79" s="58"/>
      <c r="T79" s="58"/>
      <c r="U79" s="58"/>
      <c r="V79" s="58"/>
    </row>
    <row r="80" spans="1:22" s="126" customFormat="1" x14ac:dyDescent="0.25">
      <c r="A80" s="178"/>
      <c r="B80" s="152"/>
      <c r="C80" s="178"/>
      <c r="D80" s="167"/>
      <c r="E80" s="179"/>
      <c r="F80" s="152"/>
      <c r="G80" s="220"/>
      <c r="H80" s="220"/>
      <c r="I80" s="220"/>
      <c r="J80" s="222"/>
      <c r="K80" s="5"/>
      <c r="M80" s="5"/>
      <c r="S80" s="58"/>
      <c r="T80" s="58"/>
      <c r="U80" s="58"/>
      <c r="V80" s="58"/>
    </row>
    <row r="81" spans="1:22" s="126" customFormat="1" x14ac:dyDescent="0.25">
      <c r="A81" s="178">
        <v>43555</v>
      </c>
      <c r="B81" s="152"/>
      <c r="C81" s="178" t="s">
        <v>833</v>
      </c>
      <c r="D81" s="167"/>
      <c r="E81" s="179">
        <v>1390</v>
      </c>
      <c r="F81" s="152"/>
      <c r="G81" s="220" t="s">
        <v>342</v>
      </c>
      <c r="H81" s="220">
        <v>45377</v>
      </c>
      <c r="I81" s="220" t="s">
        <v>202</v>
      </c>
      <c r="J81" s="222"/>
      <c r="K81" s="5"/>
      <c r="M81" s="5"/>
      <c r="S81" s="58"/>
      <c r="T81" s="58"/>
      <c r="U81" s="58"/>
      <c r="V81" s="58"/>
    </row>
    <row r="82" spans="1:22" s="126" customFormat="1" x14ac:dyDescent="0.25">
      <c r="A82" s="178">
        <v>43553</v>
      </c>
      <c r="B82" s="152"/>
      <c r="C82" s="178" t="s">
        <v>833</v>
      </c>
      <c r="D82" s="167"/>
      <c r="E82" s="179">
        <v>2700</v>
      </c>
      <c r="F82" s="152"/>
      <c r="G82" s="220" t="s">
        <v>342</v>
      </c>
      <c r="H82" s="220">
        <v>45299</v>
      </c>
      <c r="I82" s="220" t="s">
        <v>202</v>
      </c>
      <c r="J82" s="222"/>
      <c r="K82" s="5"/>
      <c r="M82" s="5"/>
      <c r="S82" s="58"/>
      <c r="T82" s="58"/>
      <c r="U82" s="58"/>
      <c r="V82" s="58"/>
    </row>
    <row r="83" spans="1:22" s="126" customFormat="1" x14ac:dyDescent="0.25">
      <c r="A83" s="178">
        <v>43549</v>
      </c>
      <c r="B83" s="152"/>
      <c r="C83" s="178" t="s">
        <v>834</v>
      </c>
      <c r="D83" s="167"/>
      <c r="E83" s="179">
        <v>7000</v>
      </c>
      <c r="F83" s="152"/>
      <c r="G83" s="220" t="s">
        <v>835</v>
      </c>
      <c r="H83" s="220">
        <v>50308</v>
      </c>
      <c r="I83" s="220" t="s">
        <v>202</v>
      </c>
      <c r="J83" s="222"/>
      <c r="K83" s="5"/>
      <c r="M83" s="5"/>
      <c r="S83" s="58"/>
      <c r="T83" s="58"/>
      <c r="U83" s="58"/>
      <c r="V83" s="58"/>
    </row>
    <row r="84" spans="1:22" s="126" customFormat="1" x14ac:dyDescent="0.25">
      <c r="A84" s="178">
        <v>43543</v>
      </c>
      <c r="B84" s="152"/>
      <c r="C84" s="178" t="s">
        <v>836</v>
      </c>
      <c r="D84" s="167"/>
      <c r="E84" s="179">
        <v>20000</v>
      </c>
      <c r="F84" s="152"/>
      <c r="G84" s="220" t="s">
        <v>343</v>
      </c>
      <c r="H84" s="220">
        <v>1754</v>
      </c>
      <c r="I84" s="220" t="s">
        <v>61</v>
      </c>
      <c r="J84" s="221"/>
      <c r="K84" s="5"/>
      <c r="M84" s="5"/>
      <c r="S84" s="58"/>
      <c r="T84" s="58"/>
      <c r="U84" s="58"/>
      <c r="V84" s="58"/>
    </row>
    <row r="85" spans="1:22" s="126" customFormat="1" x14ac:dyDescent="0.25">
      <c r="A85" s="178">
        <v>43551</v>
      </c>
      <c r="B85" s="152"/>
      <c r="C85" s="178" t="s">
        <v>248</v>
      </c>
      <c r="D85" s="179"/>
      <c r="E85" s="179">
        <v>2800</v>
      </c>
      <c r="F85" s="152"/>
      <c r="G85" s="220" t="s">
        <v>246</v>
      </c>
      <c r="H85" s="220">
        <v>218809</v>
      </c>
      <c r="I85" s="220" t="s">
        <v>61</v>
      </c>
      <c r="J85" s="221"/>
      <c r="K85" s="5"/>
      <c r="M85" s="5"/>
      <c r="S85" s="58"/>
      <c r="T85" s="58"/>
      <c r="U85" s="58"/>
      <c r="V85" s="58"/>
    </row>
    <row r="86" spans="1:22" s="126" customFormat="1" x14ac:dyDescent="0.25">
      <c r="A86" s="178">
        <v>43550</v>
      </c>
      <c r="B86" s="152"/>
      <c r="C86" s="178" t="s">
        <v>837</v>
      </c>
      <c r="D86" s="179"/>
      <c r="E86" s="179">
        <v>5000</v>
      </c>
      <c r="F86" s="152"/>
      <c r="G86" s="220" t="s">
        <v>838</v>
      </c>
      <c r="H86" s="220">
        <v>15785</v>
      </c>
      <c r="I86" s="220" t="s">
        <v>202</v>
      </c>
      <c r="J86" s="221"/>
      <c r="K86" s="5"/>
      <c r="M86" s="5"/>
      <c r="S86" s="58"/>
      <c r="T86" s="58"/>
      <c r="U86" s="58"/>
      <c r="V86" s="58"/>
    </row>
    <row r="87" spans="1:22" s="126" customFormat="1" x14ac:dyDescent="0.25">
      <c r="A87" s="178">
        <v>43551</v>
      </c>
      <c r="B87" s="152"/>
      <c r="C87" s="178" t="s">
        <v>383</v>
      </c>
      <c r="D87" s="179"/>
      <c r="E87" s="179">
        <v>600</v>
      </c>
      <c r="F87" s="152"/>
      <c r="G87" s="220" t="s">
        <v>839</v>
      </c>
      <c r="H87" s="220">
        <v>190877</v>
      </c>
      <c r="I87" s="220" t="s">
        <v>61</v>
      </c>
      <c r="J87" s="221"/>
      <c r="K87" s="5"/>
      <c r="M87" s="5"/>
      <c r="S87" s="58"/>
      <c r="T87" s="58"/>
      <c r="U87" s="58"/>
      <c r="V87" s="58"/>
    </row>
    <row r="88" spans="1:22" s="126" customFormat="1" x14ac:dyDescent="0.25">
      <c r="A88" s="178">
        <v>43551</v>
      </c>
      <c r="B88" s="152"/>
      <c r="C88" s="178" t="s">
        <v>287</v>
      </c>
      <c r="D88" s="179"/>
      <c r="E88" s="179">
        <v>1000</v>
      </c>
      <c r="F88" s="152"/>
      <c r="G88" s="220" t="s">
        <v>245</v>
      </c>
      <c r="H88" s="220">
        <v>256182</v>
      </c>
      <c r="I88" s="220" t="s">
        <v>61</v>
      </c>
      <c r="J88" s="221"/>
      <c r="K88" s="5"/>
      <c r="M88" s="5"/>
      <c r="S88" s="58"/>
      <c r="T88" s="58"/>
      <c r="U88" s="58"/>
      <c r="V88" s="58"/>
    </row>
    <row r="89" spans="1:22" s="126" customFormat="1" x14ac:dyDescent="0.25">
      <c r="A89" s="178">
        <v>43542</v>
      </c>
      <c r="B89" s="152"/>
      <c r="C89" s="178" t="s">
        <v>840</v>
      </c>
      <c r="D89" s="179"/>
      <c r="E89" s="179">
        <v>20000</v>
      </c>
      <c r="F89" s="152"/>
      <c r="G89" s="220" t="s">
        <v>246</v>
      </c>
      <c r="H89" s="220">
        <v>1094</v>
      </c>
      <c r="I89" s="220" t="s">
        <v>61</v>
      </c>
      <c r="J89" s="221"/>
      <c r="K89" s="5"/>
      <c r="M89" s="5"/>
      <c r="S89" s="58"/>
      <c r="T89" s="58"/>
      <c r="U89" s="58"/>
      <c r="V89" s="58"/>
    </row>
    <row r="90" spans="1:22" s="126" customFormat="1" x14ac:dyDescent="0.25">
      <c r="A90" s="178">
        <v>43532</v>
      </c>
      <c r="B90" s="152"/>
      <c r="C90" s="178" t="s">
        <v>841</v>
      </c>
      <c r="D90" s="179"/>
      <c r="E90" s="179">
        <v>7500</v>
      </c>
      <c r="F90" s="152"/>
      <c r="G90" s="220" t="s">
        <v>245</v>
      </c>
      <c r="H90" s="220">
        <v>173843</v>
      </c>
      <c r="I90" s="220" t="s">
        <v>202</v>
      </c>
      <c r="J90" s="221"/>
      <c r="K90" s="5"/>
      <c r="M90" s="5"/>
      <c r="S90" s="58"/>
      <c r="T90" s="58"/>
      <c r="U90" s="58"/>
      <c r="V90" s="58"/>
    </row>
    <row r="91" spans="1:22" s="126" customFormat="1" x14ac:dyDescent="0.25">
      <c r="A91" s="178">
        <v>43531</v>
      </c>
      <c r="B91" s="152"/>
      <c r="C91" s="178" t="s">
        <v>842</v>
      </c>
      <c r="D91" s="179"/>
      <c r="E91" s="179">
        <v>2020</v>
      </c>
      <c r="F91" s="152"/>
      <c r="G91" s="220" t="s">
        <v>843</v>
      </c>
      <c r="H91" s="220">
        <v>66440</v>
      </c>
      <c r="I91" s="220" t="s">
        <v>202</v>
      </c>
      <c r="J91" s="221"/>
      <c r="K91" s="5"/>
      <c r="M91" s="5"/>
      <c r="S91" s="58"/>
      <c r="T91" s="58"/>
      <c r="U91" s="58"/>
      <c r="V91" s="58"/>
    </row>
    <row r="92" spans="1:22" s="126" customFormat="1" x14ac:dyDescent="0.25">
      <c r="A92" s="178">
        <v>43532</v>
      </c>
      <c r="B92" s="152"/>
      <c r="C92" s="178" t="s">
        <v>287</v>
      </c>
      <c r="D92" s="179"/>
      <c r="E92" s="179">
        <v>1000</v>
      </c>
      <c r="F92" s="152"/>
      <c r="G92" s="220" t="s">
        <v>844</v>
      </c>
      <c r="H92" s="220">
        <v>246751</v>
      </c>
      <c r="I92" s="220" t="s">
        <v>61</v>
      </c>
      <c r="J92" s="221"/>
      <c r="K92" s="5"/>
      <c r="M92" s="5"/>
      <c r="S92" s="58"/>
      <c r="T92" s="58"/>
      <c r="U92" s="58"/>
      <c r="V92" s="58"/>
    </row>
    <row r="93" spans="1:22" s="126" customFormat="1" x14ac:dyDescent="0.25">
      <c r="A93" s="178">
        <v>43532</v>
      </c>
      <c r="B93" s="152"/>
      <c r="C93" s="178" t="s">
        <v>248</v>
      </c>
      <c r="D93" s="179"/>
      <c r="E93" s="179">
        <v>3200</v>
      </c>
      <c r="F93" s="152"/>
      <c r="G93" s="220" t="s">
        <v>246</v>
      </c>
      <c r="H93" s="220">
        <v>212266</v>
      </c>
      <c r="I93" s="220" t="s">
        <v>61</v>
      </c>
      <c r="J93" s="221"/>
      <c r="K93" s="5"/>
      <c r="M93" s="5"/>
      <c r="S93" s="58"/>
      <c r="T93" s="58"/>
      <c r="U93" s="58"/>
      <c r="V93" s="58"/>
    </row>
    <row r="94" spans="1:22" s="126" customFormat="1" x14ac:dyDescent="0.25">
      <c r="A94" s="178">
        <v>43544</v>
      </c>
      <c r="B94" s="152"/>
      <c r="C94" s="178" t="s">
        <v>845</v>
      </c>
      <c r="D94" s="179"/>
      <c r="E94" s="179">
        <v>6160</v>
      </c>
      <c r="F94" s="152"/>
      <c r="G94" s="220" t="s">
        <v>846</v>
      </c>
      <c r="H94" s="220">
        <v>3203074</v>
      </c>
      <c r="I94" s="220" t="s">
        <v>61</v>
      </c>
      <c r="J94" s="221"/>
      <c r="K94" s="5"/>
      <c r="M94" s="5"/>
      <c r="S94" s="58"/>
      <c r="T94" s="58"/>
      <c r="U94" s="58"/>
      <c r="V94" s="58"/>
    </row>
    <row r="95" spans="1:22" s="126" customFormat="1" x14ac:dyDescent="0.25">
      <c r="A95" s="178">
        <v>43543</v>
      </c>
      <c r="B95" s="152"/>
      <c r="C95" s="178" t="s">
        <v>833</v>
      </c>
      <c r="D95" s="179"/>
      <c r="E95" s="179">
        <v>3000</v>
      </c>
      <c r="F95" s="152"/>
      <c r="G95" s="220" t="s">
        <v>342</v>
      </c>
      <c r="H95" s="220">
        <v>44970</v>
      </c>
      <c r="I95" s="220" t="s">
        <v>202</v>
      </c>
      <c r="J95" s="221"/>
      <c r="K95" s="5"/>
      <c r="M95" s="5"/>
      <c r="S95" s="58"/>
      <c r="T95" s="58"/>
      <c r="U95" s="58"/>
      <c r="V95" s="58"/>
    </row>
    <row r="96" spans="1:22" s="126" customFormat="1" x14ac:dyDescent="0.25">
      <c r="A96" s="178">
        <v>43544</v>
      </c>
      <c r="B96" s="152"/>
      <c r="C96" s="178" t="s">
        <v>847</v>
      </c>
      <c r="D96" s="179"/>
      <c r="E96" s="179">
        <v>6700</v>
      </c>
      <c r="F96" s="152"/>
      <c r="G96" s="220" t="s">
        <v>296</v>
      </c>
      <c r="H96" s="220">
        <v>4674</v>
      </c>
      <c r="I96" s="220" t="s">
        <v>201</v>
      </c>
      <c r="J96" s="221"/>
      <c r="K96" s="5"/>
      <c r="M96" s="5"/>
      <c r="S96" s="58"/>
      <c r="T96" s="58"/>
      <c r="U96" s="58"/>
      <c r="V96" s="58"/>
    </row>
    <row r="97" spans="1:22" s="126" customFormat="1" x14ac:dyDescent="0.25">
      <c r="A97" s="178">
        <v>43535</v>
      </c>
      <c r="B97" s="152"/>
      <c r="C97" s="178" t="s">
        <v>848</v>
      </c>
      <c r="D97" s="179"/>
      <c r="E97" s="179">
        <v>8700</v>
      </c>
      <c r="F97" s="152"/>
      <c r="G97" s="220" t="s">
        <v>72</v>
      </c>
      <c r="H97" s="220">
        <v>22708857</v>
      </c>
      <c r="I97" s="220" t="s">
        <v>61</v>
      </c>
      <c r="J97" s="221"/>
      <c r="K97" s="5"/>
      <c r="M97" s="5"/>
      <c r="S97" s="58"/>
      <c r="T97" s="58"/>
      <c r="U97" s="58"/>
      <c r="V97" s="58"/>
    </row>
    <row r="98" spans="1:22" s="126" customFormat="1" x14ac:dyDescent="0.25">
      <c r="A98" s="178">
        <v>43531</v>
      </c>
      <c r="B98" s="152"/>
      <c r="C98" s="178" t="s">
        <v>849</v>
      </c>
      <c r="D98" s="179"/>
      <c r="E98" s="179">
        <v>2868</v>
      </c>
      <c r="F98" s="152"/>
      <c r="G98" s="220" t="s">
        <v>296</v>
      </c>
      <c r="H98" s="220">
        <v>27481</v>
      </c>
      <c r="I98" s="220" t="s">
        <v>203</v>
      </c>
      <c r="J98" s="221"/>
      <c r="K98" s="5"/>
      <c r="M98" s="5"/>
      <c r="S98" s="58"/>
      <c r="T98" s="58"/>
      <c r="U98" s="58"/>
      <c r="V98" s="58"/>
    </row>
    <row r="99" spans="1:22" s="126" customFormat="1" x14ac:dyDescent="0.25">
      <c r="A99" s="178">
        <v>43528</v>
      </c>
      <c r="B99" s="152"/>
      <c r="C99" s="178" t="s">
        <v>382</v>
      </c>
      <c r="D99" s="179"/>
      <c r="E99" s="179">
        <v>3920</v>
      </c>
      <c r="F99" s="152"/>
      <c r="G99" s="220" t="s">
        <v>268</v>
      </c>
      <c r="H99" s="220">
        <v>877204</v>
      </c>
      <c r="I99" s="220" t="s">
        <v>203</v>
      </c>
      <c r="J99" s="221"/>
      <c r="K99" s="5"/>
      <c r="M99" s="5"/>
      <c r="S99" s="58"/>
      <c r="T99" s="58"/>
      <c r="U99" s="58"/>
      <c r="V99" s="58"/>
    </row>
    <row r="100" spans="1:22" s="126" customFormat="1" x14ac:dyDescent="0.25">
      <c r="A100" s="178">
        <v>43529</v>
      </c>
      <c r="B100" s="152"/>
      <c r="C100" s="178" t="s">
        <v>842</v>
      </c>
      <c r="D100" s="179"/>
      <c r="E100" s="179">
        <v>3750</v>
      </c>
      <c r="F100" s="152"/>
      <c r="G100" s="220" t="s">
        <v>268</v>
      </c>
      <c r="H100" s="220">
        <v>877244</v>
      </c>
      <c r="I100" s="220" t="s">
        <v>202</v>
      </c>
      <c r="J100" s="221"/>
      <c r="K100" s="5"/>
      <c r="M100" s="5"/>
      <c r="S100" s="58"/>
      <c r="T100" s="58"/>
      <c r="U100" s="58"/>
      <c r="V100" s="58"/>
    </row>
    <row r="101" spans="1:22" s="126" customFormat="1" x14ac:dyDescent="0.25">
      <c r="A101" s="178">
        <v>43528</v>
      </c>
      <c r="B101" s="152"/>
      <c r="C101" s="178" t="s">
        <v>850</v>
      </c>
      <c r="D101" s="179"/>
      <c r="E101" s="179">
        <v>32500</v>
      </c>
      <c r="F101" s="152"/>
      <c r="G101" s="220" t="s">
        <v>343</v>
      </c>
      <c r="H101" s="220">
        <v>1707</v>
      </c>
      <c r="I101" s="220" t="s">
        <v>61</v>
      </c>
      <c r="J101" s="221"/>
      <c r="K101" s="5"/>
      <c r="M101" s="5"/>
      <c r="S101" s="58"/>
      <c r="T101" s="58"/>
      <c r="U101" s="58"/>
      <c r="V101" s="58"/>
    </row>
    <row r="102" spans="1:22" s="126" customFormat="1" x14ac:dyDescent="0.25">
      <c r="A102" s="178">
        <v>43528</v>
      </c>
      <c r="B102" s="152"/>
      <c r="C102" s="178" t="s">
        <v>851</v>
      </c>
      <c r="D102" s="179"/>
      <c r="E102" s="179">
        <v>7500</v>
      </c>
      <c r="F102" s="152"/>
      <c r="G102" s="220" t="s">
        <v>852</v>
      </c>
      <c r="H102" s="220" t="s">
        <v>853</v>
      </c>
      <c r="I102" s="220" t="s">
        <v>61</v>
      </c>
      <c r="J102" s="221"/>
      <c r="K102" s="5"/>
      <c r="M102" s="5"/>
      <c r="S102" s="58"/>
      <c r="T102" s="58"/>
      <c r="U102" s="58"/>
      <c r="V102" s="58"/>
    </row>
    <row r="103" spans="1:22" s="126" customFormat="1" x14ac:dyDescent="0.25">
      <c r="A103" s="178">
        <v>43529</v>
      </c>
      <c r="B103" s="152"/>
      <c r="C103" s="178" t="s">
        <v>854</v>
      </c>
      <c r="D103" s="179"/>
      <c r="E103" s="179">
        <v>2950</v>
      </c>
      <c r="F103" s="152"/>
      <c r="G103" s="220" t="s">
        <v>835</v>
      </c>
      <c r="H103" s="220">
        <v>49904</v>
      </c>
      <c r="I103" s="220" t="s">
        <v>202</v>
      </c>
      <c r="J103" s="221"/>
      <c r="K103" s="5"/>
      <c r="M103" s="5"/>
      <c r="S103" s="58"/>
      <c r="T103" s="58"/>
      <c r="U103" s="58"/>
      <c r="V103" s="58"/>
    </row>
    <row r="104" spans="1:22" s="126" customFormat="1" x14ac:dyDescent="0.25">
      <c r="A104" s="178">
        <v>43525</v>
      </c>
      <c r="B104" s="152"/>
      <c r="C104" s="178" t="s">
        <v>833</v>
      </c>
      <c r="D104" s="179"/>
      <c r="E104" s="179">
        <v>2000</v>
      </c>
      <c r="F104" s="152"/>
      <c r="G104" s="220" t="s">
        <v>855</v>
      </c>
      <c r="H104" s="220">
        <v>164577</v>
      </c>
      <c r="I104" s="220" t="s">
        <v>202</v>
      </c>
      <c r="J104" s="221"/>
      <c r="K104" s="5"/>
      <c r="M104" s="5"/>
      <c r="S104" s="58"/>
      <c r="T104" s="58"/>
      <c r="U104" s="58"/>
      <c r="V104" s="58"/>
    </row>
    <row r="105" spans="1:22" s="126" customFormat="1" x14ac:dyDescent="0.25">
      <c r="A105" s="178">
        <v>43539</v>
      </c>
      <c r="B105" s="152"/>
      <c r="C105" s="178" t="s">
        <v>248</v>
      </c>
      <c r="D105" s="179"/>
      <c r="E105" s="179">
        <v>1400</v>
      </c>
      <c r="F105" s="152"/>
      <c r="G105" s="220" t="s">
        <v>246</v>
      </c>
      <c r="H105" s="220">
        <v>214674</v>
      </c>
      <c r="I105" s="220" t="s">
        <v>61</v>
      </c>
      <c r="J105" s="221"/>
      <c r="K105" s="5"/>
      <c r="M105" s="5"/>
      <c r="S105" s="58"/>
      <c r="T105" s="58"/>
      <c r="U105" s="58"/>
      <c r="V105" s="58"/>
    </row>
    <row r="106" spans="1:22" s="126" customFormat="1" x14ac:dyDescent="0.25">
      <c r="A106" s="178">
        <v>43541</v>
      </c>
      <c r="B106" s="152"/>
      <c r="C106" s="178" t="s">
        <v>833</v>
      </c>
      <c r="D106" s="179"/>
      <c r="E106" s="179">
        <v>1720</v>
      </c>
      <c r="F106" s="152"/>
      <c r="G106" s="220" t="s">
        <v>342</v>
      </c>
      <c r="H106" s="220">
        <v>44849</v>
      </c>
      <c r="I106" s="220" t="s">
        <v>202</v>
      </c>
      <c r="J106" s="221"/>
      <c r="K106" s="5"/>
      <c r="M106" s="5"/>
      <c r="S106" s="58"/>
      <c r="T106" s="58"/>
      <c r="U106" s="58"/>
      <c r="V106" s="58"/>
    </row>
    <row r="107" spans="1:22" s="126" customFormat="1" x14ac:dyDescent="0.25">
      <c r="A107" s="178">
        <v>43539</v>
      </c>
      <c r="B107" s="152"/>
      <c r="C107" s="178" t="s">
        <v>841</v>
      </c>
      <c r="D107" s="179"/>
      <c r="E107" s="179">
        <v>7500</v>
      </c>
      <c r="F107" s="152"/>
      <c r="G107" s="220" t="s">
        <v>245</v>
      </c>
      <c r="H107" s="220">
        <v>174039</v>
      </c>
      <c r="I107" s="220" t="s">
        <v>202</v>
      </c>
      <c r="J107" s="221"/>
      <c r="K107" s="5"/>
      <c r="M107" s="5"/>
      <c r="S107" s="58"/>
      <c r="T107" s="58"/>
      <c r="U107" s="58"/>
      <c r="V107" s="58"/>
    </row>
    <row r="108" spans="1:22" s="126" customFormat="1" x14ac:dyDescent="0.25">
      <c r="A108" s="178">
        <v>43539</v>
      </c>
      <c r="B108" s="152"/>
      <c r="C108" s="178" t="s">
        <v>287</v>
      </c>
      <c r="D108" s="179"/>
      <c r="E108" s="179">
        <v>1000</v>
      </c>
      <c r="F108" s="152"/>
      <c r="G108" s="220" t="s">
        <v>245</v>
      </c>
      <c r="H108" s="220">
        <v>249721</v>
      </c>
      <c r="I108" s="220" t="s">
        <v>61</v>
      </c>
      <c r="J108" s="221"/>
      <c r="K108" s="5"/>
      <c r="M108" s="5"/>
      <c r="S108" s="58"/>
      <c r="T108" s="58"/>
      <c r="U108" s="58"/>
      <c r="V108" s="58"/>
    </row>
    <row r="109" spans="1:22" s="126" customFormat="1" x14ac:dyDescent="0.25">
      <c r="A109" s="178">
        <v>43539</v>
      </c>
      <c r="B109" s="152"/>
      <c r="C109" s="178" t="s">
        <v>383</v>
      </c>
      <c r="D109" s="179"/>
      <c r="E109" s="179">
        <v>800</v>
      </c>
      <c r="F109" s="152"/>
      <c r="G109" s="220" t="s">
        <v>856</v>
      </c>
      <c r="H109" s="220">
        <v>598252</v>
      </c>
      <c r="I109" s="220" t="s">
        <v>61</v>
      </c>
      <c r="J109" s="221"/>
      <c r="K109" s="5"/>
      <c r="M109" s="5"/>
      <c r="S109" s="58"/>
      <c r="T109" s="58"/>
      <c r="U109" s="58"/>
      <c r="V109" s="58"/>
    </row>
    <row r="110" spans="1:22" s="126" customFormat="1" x14ac:dyDescent="0.25">
      <c r="A110" s="178">
        <v>43540</v>
      </c>
      <c r="B110" s="152"/>
      <c r="C110" s="178" t="s">
        <v>833</v>
      </c>
      <c r="D110" s="179"/>
      <c r="E110" s="179">
        <v>2950</v>
      </c>
      <c r="F110" s="152"/>
      <c r="G110" s="220" t="s">
        <v>342</v>
      </c>
      <c r="H110" s="220">
        <v>44802</v>
      </c>
      <c r="I110" s="220" t="s">
        <v>202</v>
      </c>
      <c r="J110" s="221"/>
      <c r="K110" s="5"/>
      <c r="M110" s="5"/>
      <c r="S110" s="58"/>
      <c r="T110" s="58"/>
      <c r="U110" s="58"/>
      <c r="V110" s="58"/>
    </row>
    <row r="111" spans="1:22" s="126" customFormat="1" x14ac:dyDescent="0.25">
      <c r="A111" s="178">
        <v>43534</v>
      </c>
      <c r="B111" s="152"/>
      <c r="C111" s="178" t="s">
        <v>833</v>
      </c>
      <c r="D111" s="179"/>
      <c r="E111" s="179">
        <v>2140</v>
      </c>
      <c r="F111" s="152"/>
      <c r="G111" s="220" t="s">
        <v>342</v>
      </c>
      <c r="H111" s="220">
        <v>44570</v>
      </c>
      <c r="I111" s="220" t="s">
        <v>202</v>
      </c>
      <c r="J111" s="221"/>
      <c r="K111" s="5"/>
      <c r="M111" s="5"/>
      <c r="S111" s="58"/>
      <c r="T111" s="58"/>
      <c r="U111" s="58"/>
      <c r="V111" s="58"/>
    </row>
    <row r="112" spans="1:22" s="126" customFormat="1" x14ac:dyDescent="0.25">
      <c r="A112" s="178">
        <v>43536</v>
      </c>
      <c r="B112" s="152"/>
      <c r="C112" s="178" t="s">
        <v>833</v>
      </c>
      <c r="D112" s="179"/>
      <c r="E112" s="179">
        <v>3200</v>
      </c>
      <c r="F112" s="152"/>
      <c r="G112" s="220" t="s">
        <v>342</v>
      </c>
      <c r="H112" s="220">
        <v>44621</v>
      </c>
      <c r="I112" s="220" t="s">
        <v>202</v>
      </c>
      <c r="J112" s="221"/>
      <c r="K112" s="5"/>
      <c r="M112" s="5"/>
      <c r="S112" s="58"/>
      <c r="T112" s="58"/>
      <c r="U112" s="58"/>
      <c r="V112" s="58"/>
    </row>
    <row r="113" spans="1:22" s="126" customFormat="1" x14ac:dyDescent="0.25">
      <c r="A113" s="178">
        <v>43535</v>
      </c>
      <c r="B113" s="152"/>
      <c r="C113" s="178" t="s">
        <v>833</v>
      </c>
      <c r="D113" s="179"/>
      <c r="E113" s="179">
        <v>2200</v>
      </c>
      <c r="F113" s="152"/>
      <c r="G113" s="220" t="s">
        <v>342</v>
      </c>
      <c r="H113" s="220">
        <v>44598</v>
      </c>
      <c r="I113" s="220" t="s">
        <v>202</v>
      </c>
      <c r="J113" s="221"/>
      <c r="K113" s="5"/>
      <c r="M113" s="5"/>
      <c r="S113" s="58"/>
      <c r="T113" s="58"/>
      <c r="U113" s="58"/>
      <c r="V113" s="58"/>
    </row>
    <row r="114" spans="1:22" s="126" customFormat="1" x14ac:dyDescent="0.25">
      <c r="A114" s="178">
        <v>43542</v>
      </c>
      <c r="B114" s="152"/>
      <c r="C114" s="178" t="s">
        <v>248</v>
      </c>
      <c r="D114" s="179"/>
      <c r="E114" s="179">
        <v>3000</v>
      </c>
      <c r="F114" s="152"/>
      <c r="G114" s="220" t="s">
        <v>246</v>
      </c>
      <c r="H114" s="220">
        <v>12654</v>
      </c>
      <c r="I114" s="220" t="s">
        <v>61</v>
      </c>
      <c r="J114" s="221"/>
      <c r="K114" s="5"/>
      <c r="M114" s="5"/>
      <c r="S114" s="58"/>
      <c r="T114" s="58"/>
      <c r="U114" s="58"/>
      <c r="V114" s="58"/>
    </row>
    <row r="115" spans="1:22" s="126" customFormat="1" x14ac:dyDescent="0.25">
      <c r="A115" s="178">
        <v>43542</v>
      </c>
      <c r="B115" s="152"/>
      <c r="C115" s="178" t="s">
        <v>857</v>
      </c>
      <c r="D115" s="179"/>
      <c r="E115" s="179">
        <v>2990</v>
      </c>
      <c r="F115" s="152"/>
      <c r="G115" s="220" t="s">
        <v>858</v>
      </c>
      <c r="H115" s="220">
        <v>8873431</v>
      </c>
      <c r="I115" s="220" t="s">
        <v>205</v>
      </c>
      <c r="J115" s="221"/>
      <c r="K115" s="5"/>
      <c r="S115" s="58"/>
      <c r="T115" s="58"/>
      <c r="U115" s="58"/>
      <c r="V115" s="58"/>
    </row>
    <row r="116" spans="1:22" s="126" customFormat="1" x14ac:dyDescent="0.25">
      <c r="A116" s="178">
        <v>43542</v>
      </c>
      <c r="B116" s="152"/>
      <c r="C116" s="178" t="s">
        <v>859</v>
      </c>
      <c r="D116" s="179"/>
      <c r="E116" s="179">
        <v>1990</v>
      </c>
      <c r="F116" s="152"/>
      <c r="G116" s="220" t="s">
        <v>858</v>
      </c>
      <c r="H116" s="220">
        <v>8873430</v>
      </c>
      <c r="I116" s="220" t="s">
        <v>205</v>
      </c>
      <c r="J116" s="221"/>
      <c r="K116" s="5"/>
      <c r="S116" s="58"/>
      <c r="T116" s="58"/>
      <c r="U116" s="58"/>
      <c r="V116" s="58"/>
    </row>
    <row r="117" spans="1:22" s="126" customFormat="1" x14ac:dyDescent="0.25">
      <c r="A117" s="178">
        <v>43555</v>
      </c>
      <c r="B117" s="152"/>
      <c r="C117" s="178" t="s">
        <v>833</v>
      </c>
      <c r="D117" s="179"/>
      <c r="E117" s="179">
        <v>16089</v>
      </c>
      <c r="F117" s="152"/>
      <c r="G117" s="220" t="s">
        <v>297</v>
      </c>
      <c r="H117" s="220">
        <v>1361</v>
      </c>
      <c r="I117" s="220" t="s">
        <v>202</v>
      </c>
      <c r="J117" s="221"/>
      <c r="S117" s="58"/>
      <c r="T117" s="58"/>
      <c r="U117" s="58"/>
      <c r="V117" s="58"/>
    </row>
    <row r="118" spans="1:22" x14ac:dyDescent="0.25">
      <c r="A118" s="178">
        <v>43535</v>
      </c>
      <c r="B118" s="152"/>
      <c r="C118" s="178" t="s">
        <v>860</v>
      </c>
      <c r="D118" s="179"/>
      <c r="E118" s="179">
        <v>15000</v>
      </c>
      <c r="F118" s="152"/>
      <c r="G118" s="220" t="s">
        <v>861</v>
      </c>
      <c r="H118" s="220">
        <v>273</v>
      </c>
      <c r="I118" s="220" t="s">
        <v>80</v>
      </c>
      <c r="J118" s="221"/>
      <c r="K118" s="19"/>
      <c r="L118" s="19"/>
      <c r="M118" s="19"/>
      <c r="N118" s="19"/>
      <c r="O118" s="19"/>
      <c r="P118" s="19"/>
      <c r="Q118" s="19"/>
      <c r="R118" s="19"/>
      <c r="S118" s="58"/>
      <c r="T118" s="58"/>
      <c r="U118" s="58"/>
      <c r="V118" s="58"/>
    </row>
    <row r="119" spans="1:22" x14ac:dyDescent="0.25">
      <c r="A119" s="178"/>
      <c r="B119" s="152"/>
      <c r="C119" s="178"/>
      <c r="D119" s="179"/>
      <c r="E119" s="179"/>
      <c r="F119" s="152"/>
      <c r="G119" s="220"/>
      <c r="H119" s="220"/>
      <c r="I119" s="220"/>
      <c r="J119" s="221"/>
      <c r="K119" s="19"/>
      <c r="L119" s="19"/>
      <c r="M119" s="19"/>
      <c r="N119" s="19"/>
      <c r="O119" s="19"/>
      <c r="P119" s="19"/>
      <c r="Q119" s="19"/>
      <c r="R119" s="19"/>
      <c r="S119" s="58"/>
      <c r="T119" s="58"/>
      <c r="U119" s="58"/>
      <c r="V119" s="58"/>
    </row>
    <row r="120" spans="1:22" x14ac:dyDescent="0.25">
      <c r="A120" s="178"/>
      <c r="B120" s="152"/>
      <c r="C120" s="178"/>
      <c r="D120" s="179"/>
      <c r="E120" s="179"/>
      <c r="F120" s="152"/>
      <c r="G120" s="220"/>
      <c r="H120" s="220"/>
      <c r="I120" s="220"/>
      <c r="J120" s="221"/>
      <c r="K120" s="19"/>
      <c r="L120" s="19"/>
      <c r="M120" s="19"/>
      <c r="N120" s="19"/>
      <c r="O120" s="19"/>
      <c r="P120" s="19"/>
      <c r="Q120" s="19"/>
      <c r="R120" s="19"/>
      <c r="S120" s="58"/>
      <c r="T120" s="58"/>
      <c r="U120" s="58"/>
      <c r="V120" s="58"/>
    </row>
    <row r="121" spans="1:22" x14ac:dyDescent="0.25">
      <c r="A121" s="178"/>
      <c r="B121" s="152"/>
      <c r="C121" s="178"/>
      <c r="D121" s="179"/>
      <c r="E121" s="179"/>
      <c r="F121" s="152"/>
      <c r="G121" s="220"/>
      <c r="H121" s="220"/>
      <c r="I121" s="220"/>
      <c r="J121" s="221"/>
      <c r="K121" s="19"/>
      <c r="L121" s="19"/>
      <c r="M121" s="19"/>
      <c r="N121" s="19"/>
      <c r="O121" s="19"/>
      <c r="P121" s="19"/>
      <c r="Q121" s="19"/>
      <c r="R121" s="19"/>
      <c r="S121" s="58"/>
      <c r="T121" s="58"/>
      <c r="U121" s="58"/>
      <c r="V121" s="58"/>
    </row>
    <row r="122" spans="1:22" x14ac:dyDescent="0.25">
      <c r="A122" s="152"/>
      <c r="B122" s="152"/>
      <c r="C122" s="178"/>
      <c r="D122" s="179"/>
      <c r="E122" s="179"/>
      <c r="F122" s="152"/>
      <c r="G122" s="220"/>
      <c r="H122" s="220"/>
      <c r="I122" s="220"/>
      <c r="J122" s="177"/>
      <c r="K122" s="19"/>
      <c r="L122" s="19"/>
      <c r="M122" s="19"/>
      <c r="N122" s="19"/>
      <c r="O122" s="19"/>
      <c r="P122" s="19"/>
      <c r="Q122" s="19"/>
      <c r="R122" s="19"/>
      <c r="S122" s="58"/>
      <c r="T122" s="58"/>
      <c r="U122" s="58"/>
      <c r="V122" s="58"/>
    </row>
    <row r="123" spans="1:22" x14ac:dyDescent="0.25">
      <c r="A123" s="51"/>
      <c r="B123" s="51"/>
      <c r="C123" s="95"/>
      <c r="D123" s="48"/>
      <c r="E123" s="48"/>
      <c r="F123" s="51"/>
      <c r="G123" s="220"/>
      <c r="H123" s="220"/>
      <c r="I123" s="220"/>
      <c r="J123" s="54"/>
      <c r="K123" s="19"/>
      <c r="L123" s="19"/>
      <c r="M123" s="19"/>
      <c r="N123" s="19"/>
      <c r="O123" s="19"/>
      <c r="P123" s="19"/>
      <c r="Q123" s="19"/>
      <c r="R123" s="19"/>
      <c r="S123" s="58"/>
      <c r="T123" s="58"/>
      <c r="U123" s="58"/>
      <c r="V123" s="58"/>
    </row>
    <row r="124" spans="1:22" x14ac:dyDescent="0.25">
      <c r="A124" s="51"/>
      <c r="B124" s="51"/>
      <c r="C124" s="95"/>
      <c r="D124" s="48"/>
      <c r="E124" s="48"/>
      <c r="F124" s="51"/>
      <c r="G124" s="220"/>
      <c r="H124" s="220"/>
      <c r="I124" s="220"/>
      <c r="J124" s="54"/>
      <c r="K124" s="19"/>
      <c r="L124" s="19"/>
      <c r="M124" s="19"/>
      <c r="N124" s="19"/>
      <c r="O124" s="19"/>
      <c r="P124" s="19"/>
      <c r="Q124" s="19"/>
      <c r="R124" s="19"/>
      <c r="S124" s="58"/>
      <c r="T124" s="58"/>
      <c r="U124" s="58"/>
      <c r="V124" s="58"/>
    </row>
    <row r="125" spans="1:22" x14ac:dyDescent="0.25">
      <c r="A125" s="51"/>
      <c r="B125" s="51"/>
      <c r="C125" s="95"/>
      <c r="D125" s="48"/>
      <c r="E125" s="48"/>
      <c r="F125" s="51"/>
      <c r="G125" s="220"/>
      <c r="H125" s="220"/>
      <c r="I125" s="220"/>
      <c r="J125" s="54"/>
      <c r="K125" s="19"/>
      <c r="L125" s="19"/>
      <c r="M125" s="19"/>
      <c r="N125" s="19"/>
      <c r="O125" s="19"/>
      <c r="P125" s="19"/>
      <c r="Q125" s="19"/>
      <c r="R125" s="19"/>
      <c r="S125" s="58"/>
      <c r="T125" s="58"/>
      <c r="U125" s="58"/>
      <c r="V125" s="58"/>
    </row>
    <row r="126" spans="1:22" x14ac:dyDescent="0.25">
      <c r="A126" s="51"/>
      <c r="B126" s="51"/>
      <c r="C126" s="95"/>
      <c r="D126" s="48"/>
      <c r="E126" s="48"/>
      <c r="F126" s="51"/>
      <c r="G126" s="220"/>
      <c r="H126" s="220"/>
      <c r="I126" s="220"/>
      <c r="J126" s="54"/>
      <c r="K126" s="19"/>
      <c r="L126" s="19"/>
      <c r="M126" s="19"/>
      <c r="N126" s="19"/>
      <c r="O126" s="19"/>
      <c r="P126" s="19"/>
      <c r="Q126" s="19"/>
      <c r="R126" s="19"/>
      <c r="S126" s="58"/>
      <c r="T126" s="58"/>
      <c r="U126" s="58"/>
      <c r="V126" s="58"/>
    </row>
    <row r="127" spans="1:22" x14ac:dyDescent="0.25">
      <c r="A127" s="51"/>
      <c r="B127" s="51"/>
      <c r="C127" s="95"/>
      <c r="D127" s="48"/>
      <c r="E127" s="48"/>
      <c r="F127" s="51"/>
      <c r="G127" s="220"/>
      <c r="H127" s="220"/>
      <c r="I127" s="220"/>
      <c r="J127" s="54"/>
      <c r="K127" s="19"/>
      <c r="L127" s="19"/>
      <c r="M127" s="19"/>
      <c r="N127" s="19"/>
      <c r="O127" s="19"/>
      <c r="P127" s="19"/>
      <c r="Q127" s="19"/>
      <c r="R127" s="19"/>
      <c r="S127" s="58"/>
      <c r="T127" s="58"/>
      <c r="U127" s="58"/>
      <c r="V127" s="58"/>
    </row>
    <row r="128" spans="1:22" x14ac:dyDescent="0.25">
      <c r="A128" s="51"/>
      <c r="B128" s="51"/>
      <c r="C128" s="95"/>
      <c r="D128" s="48"/>
      <c r="E128" s="48"/>
      <c r="F128" s="51"/>
      <c r="G128" s="220"/>
      <c r="H128" s="220"/>
      <c r="I128" s="220"/>
      <c r="J128" s="54"/>
      <c r="K128" s="19"/>
      <c r="L128" s="19"/>
      <c r="M128" s="19"/>
      <c r="N128" s="19"/>
      <c r="O128" s="19"/>
      <c r="P128" s="19"/>
      <c r="Q128" s="19"/>
      <c r="R128" s="19"/>
      <c r="S128" s="58"/>
      <c r="T128" s="58"/>
      <c r="U128" s="58"/>
      <c r="V128" s="58"/>
    </row>
    <row r="129" spans="1:24" x14ac:dyDescent="0.25">
      <c r="A129" s="51"/>
      <c r="B129" s="51"/>
      <c r="C129" s="95"/>
      <c r="D129" s="48"/>
      <c r="E129" s="48"/>
      <c r="F129" s="51"/>
      <c r="G129" s="22"/>
      <c r="H129" s="51"/>
      <c r="I129" s="51"/>
      <c r="J129" s="54"/>
      <c r="K129" s="19"/>
      <c r="L129" s="19"/>
      <c r="M129" s="19"/>
      <c r="N129" s="19"/>
      <c r="O129" s="19"/>
      <c r="P129" s="19"/>
      <c r="Q129" s="19"/>
      <c r="R129" s="19"/>
      <c r="S129" s="58"/>
      <c r="T129" s="58"/>
      <c r="U129" s="58"/>
      <c r="V129" s="58"/>
    </row>
    <row r="130" spans="1:24" x14ac:dyDescent="0.25">
      <c r="A130" s="51"/>
      <c r="B130" s="51"/>
      <c r="C130" s="95"/>
      <c r="D130" s="48"/>
      <c r="E130" s="48"/>
      <c r="F130" s="51"/>
      <c r="G130" s="22"/>
      <c r="H130" s="51"/>
      <c r="I130" s="51"/>
      <c r="J130" s="54"/>
      <c r="K130" s="19"/>
      <c r="L130" s="19"/>
      <c r="M130" s="19"/>
      <c r="N130" s="19"/>
      <c r="O130" s="19"/>
      <c r="P130" s="19"/>
      <c r="Q130" s="19"/>
      <c r="R130" s="19"/>
      <c r="S130" s="58"/>
      <c r="T130" s="58"/>
      <c r="U130" s="58"/>
      <c r="V130" s="58"/>
    </row>
    <row r="131" spans="1:24" x14ac:dyDescent="0.25">
      <c r="A131" s="51"/>
      <c r="B131" s="51"/>
      <c r="C131" s="95"/>
      <c r="D131" s="48"/>
      <c r="E131" s="48"/>
      <c r="F131" s="51"/>
      <c r="G131" s="22"/>
      <c r="H131" s="51"/>
      <c r="I131" s="51"/>
      <c r="J131" s="54"/>
      <c r="K131" s="19"/>
      <c r="L131" s="19"/>
      <c r="M131" s="19"/>
      <c r="N131" s="19"/>
      <c r="O131" s="19"/>
      <c r="P131" s="19"/>
      <c r="Q131" s="19"/>
      <c r="R131" s="19"/>
      <c r="S131" s="58"/>
      <c r="T131" s="58"/>
      <c r="U131" s="58"/>
      <c r="V131" s="58"/>
    </row>
    <row r="132" spans="1:24" x14ac:dyDescent="0.25">
      <c r="A132" s="285"/>
      <c r="B132" s="285"/>
      <c r="C132" s="286"/>
      <c r="D132" s="287"/>
      <c r="E132" s="287">
        <f>SUM(E81:E131)</f>
        <v>216237</v>
      </c>
      <c r="F132" s="285"/>
      <c r="G132" s="288"/>
      <c r="H132" s="285"/>
      <c r="I132" s="285"/>
      <c r="J132" s="289"/>
      <c r="K132" s="19"/>
      <c r="L132" s="19"/>
      <c r="M132" s="19"/>
      <c r="N132" s="19"/>
      <c r="O132" s="19"/>
      <c r="P132" s="19"/>
      <c r="Q132" s="19"/>
      <c r="R132" s="19"/>
      <c r="S132" s="58"/>
      <c r="T132" s="58"/>
      <c r="U132" s="58"/>
      <c r="V132" s="58"/>
    </row>
    <row r="133" spans="1:24" x14ac:dyDescent="0.25">
      <c r="A133" s="51"/>
      <c r="B133" s="51"/>
      <c r="C133" s="95"/>
      <c r="D133" s="48"/>
      <c r="E133" s="48"/>
      <c r="F133" s="51"/>
      <c r="G133" s="22"/>
      <c r="H133" s="51"/>
      <c r="I133" s="51"/>
      <c r="J133" s="54"/>
      <c r="K133" s="19"/>
      <c r="L133" s="19"/>
      <c r="M133" s="19"/>
      <c r="N133" s="19"/>
      <c r="O133" s="19"/>
      <c r="P133" s="19"/>
      <c r="Q133" s="19"/>
      <c r="R133" s="19"/>
      <c r="S133" s="58"/>
      <c r="T133" s="58"/>
      <c r="U133" s="58"/>
      <c r="V133" s="58"/>
    </row>
    <row r="134" spans="1:24" x14ac:dyDescent="0.25">
      <c r="A134" s="25"/>
      <c r="B134" s="25"/>
      <c r="C134" s="25"/>
      <c r="D134" s="99"/>
      <c r="E134" s="99"/>
      <c r="F134" s="25"/>
      <c r="G134" s="100"/>
      <c r="H134" s="25"/>
      <c r="I134" s="25"/>
      <c r="J134" s="58"/>
      <c r="K134" s="19"/>
      <c r="L134" s="19"/>
      <c r="M134" s="19"/>
      <c r="N134" s="19"/>
      <c r="O134" s="19"/>
      <c r="P134" s="19"/>
      <c r="Q134" s="19"/>
      <c r="R134" s="19"/>
      <c r="S134" s="58"/>
      <c r="T134" s="58"/>
      <c r="U134" s="58"/>
      <c r="V134" s="58"/>
    </row>
    <row r="135" spans="1:24" x14ac:dyDescent="0.25">
      <c r="R135" s="58"/>
      <c r="S135" s="58"/>
      <c r="T135" s="58"/>
      <c r="U135" s="58"/>
      <c r="V135" s="58"/>
    </row>
    <row r="136" spans="1:24" x14ac:dyDescent="0.25">
      <c r="H136" s="21">
        <f>SUBTOTAL(9,D2:D133)</f>
        <v>0</v>
      </c>
      <c r="I136" s="21">
        <f>SUBTOTAL(9,E2:E131)</f>
        <v>5219695</v>
      </c>
      <c r="J136" s="21">
        <f>SUBTOTAL(9,F2:F133)</f>
        <v>5161238</v>
      </c>
      <c r="R136" s="58"/>
      <c r="S136" s="58"/>
      <c r="T136" s="58"/>
      <c r="U136" s="58"/>
      <c r="V136" s="58"/>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180</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1" t="s">
        <v>4</v>
      </c>
      <c r="C141" s="31" t="s">
        <v>72</v>
      </c>
      <c r="D141" s="32" t="s">
        <v>131</v>
      </c>
      <c r="E141" s="31" t="s">
        <v>132</v>
      </c>
      <c r="F141" s="31" t="s">
        <v>133</v>
      </c>
      <c r="G141" s="32" t="s">
        <v>96</v>
      </c>
      <c r="H141" s="32"/>
      <c r="N141" s="19"/>
      <c r="O141" s="19"/>
      <c r="P141" s="19"/>
      <c r="Q141" s="19"/>
      <c r="R141" s="19"/>
      <c r="S141" s="19"/>
      <c r="T141" s="19"/>
      <c r="U141" s="19"/>
      <c r="V141" s="21"/>
      <c r="W141" s="21"/>
      <c r="X141" s="21"/>
    </row>
    <row r="142" spans="1:24" x14ac:dyDescent="0.25">
      <c r="B142" s="48" t="s">
        <v>186</v>
      </c>
      <c r="C142" s="48">
        <f>'BCI '!H158</f>
        <v>18326</v>
      </c>
      <c r="D142" s="51">
        <f>Security!F67</f>
        <v>827</v>
      </c>
      <c r="E142" s="48"/>
      <c r="F142" s="48">
        <f>C142+D142</f>
        <v>19153</v>
      </c>
      <c r="G142" s="51"/>
      <c r="H142" s="51">
        <f>+F142-G142</f>
        <v>19153</v>
      </c>
      <c r="J142" s="22"/>
      <c r="K142" s="50"/>
      <c r="N142" s="19"/>
      <c r="O142" s="19"/>
      <c r="P142" s="19"/>
      <c r="Q142" s="19"/>
      <c r="R142" s="19"/>
      <c r="S142" s="19"/>
      <c r="T142" s="19"/>
      <c r="U142" s="19"/>
      <c r="V142" s="21"/>
      <c r="W142" s="21"/>
      <c r="X142" s="21"/>
    </row>
    <row r="143" spans="1:24" x14ac:dyDescent="0.25">
      <c r="B143" s="48" t="s">
        <v>31</v>
      </c>
      <c r="C143" s="48">
        <f>'BCI '!H159</f>
        <v>2555384</v>
      </c>
      <c r="D143" s="51">
        <f>Security!F68</f>
        <v>0</v>
      </c>
      <c r="E143" s="48"/>
      <c r="F143" s="48">
        <f t="shared" ref="F143:F158" si="2">C143+D143</f>
        <v>2555384</v>
      </c>
      <c r="G143" s="51"/>
      <c r="H143" s="51">
        <f t="shared" ref="H143:H158" si="3">+F143-G143</f>
        <v>2555384</v>
      </c>
      <c r="J143" s="22">
        <v>0</v>
      </c>
      <c r="K143" s="145" t="s">
        <v>81</v>
      </c>
      <c r="N143" s="19"/>
      <c r="O143" s="19"/>
      <c r="P143" s="19"/>
      <c r="Q143" s="19"/>
      <c r="R143" s="19"/>
      <c r="S143" s="19"/>
      <c r="T143" s="19"/>
      <c r="U143" s="19"/>
      <c r="V143" s="21"/>
      <c r="W143" s="21"/>
      <c r="X143" s="21"/>
    </row>
    <row r="144" spans="1:24" x14ac:dyDescent="0.25">
      <c r="B144" s="48" t="s">
        <v>113</v>
      </c>
      <c r="C144" s="48">
        <f>'BCI '!H160</f>
        <v>1570887</v>
      </c>
      <c r="D144" s="51">
        <f>Security!F69</f>
        <v>0</v>
      </c>
      <c r="E144" s="48"/>
      <c r="F144" s="48">
        <f t="shared" si="2"/>
        <v>1570887</v>
      </c>
      <c r="G144" s="51"/>
      <c r="H144" s="51">
        <f t="shared" si="3"/>
        <v>1570887</v>
      </c>
      <c r="J144" s="22">
        <f>F76</f>
        <v>2580619</v>
      </c>
      <c r="K144" s="50" t="s">
        <v>83</v>
      </c>
      <c r="L144" s="19"/>
      <c r="N144" s="19"/>
      <c r="O144" s="19"/>
      <c r="P144" s="19"/>
      <c r="Q144" s="19"/>
      <c r="R144" s="19"/>
      <c r="S144" s="19"/>
      <c r="T144" s="19"/>
      <c r="U144" s="19"/>
      <c r="V144" s="21"/>
    </row>
    <row r="145" spans="2:24" x14ac:dyDescent="0.25">
      <c r="B145" s="48" t="s">
        <v>185</v>
      </c>
      <c r="C145" s="48">
        <f>'BCI '!H161</f>
        <v>197683.87999999998</v>
      </c>
      <c r="D145" s="51">
        <f>Security!F70</f>
        <v>0</v>
      </c>
      <c r="E145" s="48"/>
      <c r="F145" s="48">
        <f t="shared" si="2"/>
        <v>197683.87999999998</v>
      </c>
      <c r="G145" s="51"/>
      <c r="H145" s="51">
        <f t="shared" si="3"/>
        <v>197683.87999999998</v>
      </c>
      <c r="J145" s="22">
        <f>J144+J143-J157</f>
        <v>122653</v>
      </c>
      <c r="K145" s="50" t="s">
        <v>82</v>
      </c>
      <c r="L145" s="19"/>
      <c r="N145" s="19"/>
      <c r="O145" s="19"/>
      <c r="P145" s="19"/>
      <c r="Q145" s="19"/>
      <c r="R145" s="19"/>
      <c r="S145" s="19"/>
      <c r="T145" s="19"/>
      <c r="U145" s="19"/>
      <c r="V145" s="21"/>
    </row>
    <row r="146" spans="2:24" x14ac:dyDescent="0.25">
      <c r="B146" s="48" t="s">
        <v>8</v>
      </c>
      <c r="C146" s="48">
        <f>'BCI '!H162</f>
        <v>493743</v>
      </c>
      <c r="D146" s="51">
        <f>Security!F71</f>
        <v>0</v>
      </c>
      <c r="E146" s="48"/>
      <c r="F146" s="48">
        <f t="shared" si="2"/>
        <v>493743</v>
      </c>
      <c r="G146" s="51">
        <f t="shared" ref="G146:G151" si="4">F146*0.19</f>
        <v>93811.17</v>
      </c>
      <c r="H146" s="51">
        <f t="shared" si="3"/>
        <v>399931.83</v>
      </c>
      <c r="J146" s="22"/>
      <c r="K146" s="50"/>
      <c r="L146" s="19"/>
      <c r="N146" s="19"/>
      <c r="O146" s="19"/>
      <c r="P146" s="19"/>
      <c r="Q146" s="19"/>
      <c r="R146" s="19"/>
      <c r="S146" s="19"/>
      <c r="T146" s="19"/>
      <c r="U146" s="19"/>
      <c r="V146" s="21"/>
    </row>
    <row r="147" spans="2:24" x14ac:dyDescent="0.25">
      <c r="B147" s="48"/>
      <c r="C147" s="48">
        <f>'BCI '!H163</f>
        <v>2500000</v>
      </c>
      <c r="D147" s="51">
        <f>Security!F72</f>
        <v>0</v>
      </c>
      <c r="E147" s="48"/>
      <c r="F147" s="48">
        <f t="shared" si="2"/>
        <v>2500000</v>
      </c>
      <c r="G147" s="51">
        <f t="shared" si="4"/>
        <v>475000</v>
      </c>
      <c r="H147" s="51">
        <f t="shared" si="3"/>
        <v>2025000</v>
      </c>
      <c r="J147" s="56" t="s">
        <v>55</v>
      </c>
      <c r="K147" s="55" t="s">
        <v>54</v>
      </c>
      <c r="L147" s="19"/>
      <c r="N147" s="19"/>
      <c r="O147" s="19"/>
      <c r="P147" s="19"/>
      <c r="Q147" s="19"/>
      <c r="R147" s="19"/>
      <c r="S147" s="19"/>
      <c r="T147" s="19"/>
      <c r="U147" s="19"/>
      <c r="V147" s="21"/>
    </row>
    <row r="148" spans="2:24" x14ac:dyDescent="0.25">
      <c r="B148" s="48" t="s">
        <v>189</v>
      </c>
      <c r="C148" s="48">
        <f>'BCI '!H164</f>
        <v>761741</v>
      </c>
      <c r="D148" s="51">
        <f>Security!F73</f>
        <v>0</v>
      </c>
      <c r="E148" s="48"/>
      <c r="F148" s="48">
        <f t="shared" si="2"/>
        <v>761741</v>
      </c>
      <c r="G148" s="51"/>
      <c r="H148" s="51">
        <f t="shared" si="3"/>
        <v>761741</v>
      </c>
      <c r="J148" s="237">
        <f>SUMIF($I$2:$I$133,K148,$E$2:$E$133)</f>
        <v>359703</v>
      </c>
      <c r="K148" s="54" t="s">
        <v>203</v>
      </c>
      <c r="L148" s="169">
        <f>-J148</f>
        <v>-359703</v>
      </c>
      <c r="N148" s="19"/>
      <c r="O148" s="19"/>
      <c r="P148" s="19"/>
      <c r="Q148" s="19"/>
      <c r="R148" s="19"/>
      <c r="S148" s="19"/>
      <c r="T148" s="19"/>
      <c r="U148" s="19"/>
      <c r="V148" s="21"/>
    </row>
    <row r="149" spans="2:24" x14ac:dyDescent="0.25">
      <c r="B149" s="48" t="s">
        <v>188</v>
      </c>
      <c r="C149" s="48">
        <f>'BCI '!H165</f>
        <v>747584.01</v>
      </c>
      <c r="D149" s="51">
        <f>Security!F74</f>
        <v>0</v>
      </c>
      <c r="E149" s="48"/>
      <c r="F149" s="48">
        <f t="shared" si="2"/>
        <v>747584.01</v>
      </c>
      <c r="G149" s="51">
        <f t="shared" si="4"/>
        <v>142040.96189999999</v>
      </c>
      <c r="H149" s="51">
        <f t="shared" si="3"/>
        <v>605543.04810000001</v>
      </c>
      <c r="J149" s="237">
        <f t="shared" ref="J149:J156" si="5">SUMIF($I$2:$I$133,K149,$E$2:$E$133)</f>
        <v>117710</v>
      </c>
      <c r="K149" s="54" t="s">
        <v>201</v>
      </c>
      <c r="L149" s="169">
        <f t="shared" ref="L149:L156" si="6">-J149</f>
        <v>-117710</v>
      </c>
      <c r="N149" s="19"/>
      <c r="O149" s="19"/>
      <c r="P149" s="19"/>
      <c r="Q149" s="19"/>
      <c r="R149" s="19"/>
      <c r="S149" s="19"/>
      <c r="T149" s="19"/>
      <c r="U149" s="19"/>
      <c r="V149" s="21"/>
    </row>
    <row r="150" spans="2:24" x14ac:dyDescent="0.25">
      <c r="B150" s="48" t="s">
        <v>24</v>
      </c>
      <c r="C150" s="48">
        <f>'BCI '!H166</f>
        <v>0</v>
      </c>
      <c r="D150" s="51">
        <f>Security!F75</f>
        <v>1819288</v>
      </c>
      <c r="E150" s="48"/>
      <c r="F150" s="48">
        <f t="shared" si="2"/>
        <v>1819288</v>
      </c>
      <c r="G150" s="51"/>
      <c r="H150" s="51">
        <f t="shared" si="3"/>
        <v>1819288</v>
      </c>
      <c r="J150" s="237">
        <f t="shared" si="5"/>
        <v>12002</v>
      </c>
      <c r="K150" s="54" t="s">
        <v>294</v>
      </c>
      <c r="L150" s="169">
        <f t="shared" si="6"/>
        <v>-12002</v>
      </c>
      <c r="N150" s="19"/>
      <c r="O150" s="19"/>
      <c r="P150" s="19"/>
      <c r="Q150" s="19"/>
      <c r="R150" s="19"/>
      <c r="S150" s="19"/>
      <c r="T150" s="19"/>
      <c r="U150" s="19"/>
      <c r="V150" s="21"/>
    </row>
    <row r="151" spans="2:24" x14ac:dyDescent="0.25">
      <c r="B151" s="48" t="s">
        <v>11</v>
      </c>
      <c r="C151" s="48">
        <f>'BCI '!H167</f>
        <v>0</v>
      </c>
      <c r="D151" s="51">
        <f>Security!F76</f>
        <v>0</v>
      </c>
      <c r="E151" s="48"/>
      <c r="F151" s="48">
        <f t="shared" si="2"/>
        <v>0</v>
      </c>
      <c r="G151" s="51">
        <f t="shared" si="4"/>
        <v>0</v>
      </c>
      <c r="H151" s="51">
        <f t="shared" si="3"/>
        <v>0</v>
      </c>
      <c r="J151" s="237">
        <f t="shared" si="5"/>
        <v>85600</v>
      </c>
      <c r="K151" s="54" t="s">
        <v>200</v>
      </c>
      <c r="L151" s="169">
        <f t="shared" si="6"/>
        <v>-85600</v>
      </c>
      <c r="N151" s="19"/>
      <c r="O151" s="19"/>
      <c r="P151" s="19"/>
      <c r="Q151" s="19"/>
      <c r="R151" s="19"/>
      <c r="S151" s="19"/>
      <c r="T151" s="19"/>
      <c r="U151" s="19"/>
      <c r="V151" s="21"/>
    </row>
    <row r="152" spans="2:24" x14ac:dyDescent="0.25">
      <c r="B152" s="48" t="s">
        <v>19</v>
      </c>
      <c r="C152" s="48">
        <f>'BCI '!H168</f>
        <v>4289108</v>
      </c>
      <c r="D152" s="51">
        <f>Security!F77</f>
        <v>906768</v>
      </c>
      <c r="E152" s="48"/>
      <c r="F152" s="48">
        <f t="shared" si="2"/>
        <v>5195876</v>
      </c>
      <c r="G152" s="51"/>
      <c r="H152" s="51">
        <f t="shared" si="3"/>
        <v>5195876</v>
      </c>
      <c r="J152" s="237">
        <f t="shared" si="5"/>
        <v>1099029</v>
      </c>
      <c r="K152" s="54" t="s">
        <v>202</v>
      </c>
      <c r="L152" s="169">
        <f t="shared" si="6"/>
        <v>-1099029</v>
      </c>
      <c r="N152" s="19"/>
      <c r="O152" s="19"/>
      <c r="P152" s="19"/>
      <c r="Q152" s="19"/>
      <c r="R152" s="19"/>
      <c r="S152" s="19"/>
      <c r="T152" s="19"/>
      <c r="U152" s="19"/>
      <c r="V152" s="21"/>
      <c r="W152" s="21"/>
      <c r="X152" s="21"/>
    </row>
    <row r="153" spans="2:24" x14ac:dyDescent="0.25">
      <c r="B153" s="48" t="s">
        <v>190</v>
      </c>
      <c r="C153" s="48">
        <f>'BCI '!H169</f>
        <v>1853545</v>
      </c>
      <c r="D153" s="51">
        <f>Security!F78</f>
        <v>0</v>
      </c>
      <c r="E153" s="48"/>
      <c r="F153" s="48">
        <f t="shared" si="2"/>
        <v>1853545</v>
      </c>
      <c r="G153" s="51">
        <f>F153*0.19</f>
        <v>352173.55</v>
      </c>
      <c r="H153" s="51">
        <f t="shared" si="3"/>
        <v>1501371.45</v>
      </c>
      <c r="J153" s="237">
        <f t="shared" si="5"/>
        <v>522412</v>
      </c>
      <c r="K153" s="54" t="s">
        <v>61</v>
      </c>
      <c r="L153" s="169">
        <f t="shared" si="6"/>
        <v>-522412</v>
      </c>
      <c r="M153" s="84"/>
      <c r="N153" s="19"/>
      <c r="O153" s="19"/>
      <c r="P153" s="19"/>
      <c r="Q153" s="19"/>
      <c r="R153" s="19"/>
      <c r="S153" s="19"/>
      <c r="T153" s="19"/>
      <c r="U153" s="19"/>
      <c r="V153" s="21"/>
      <c r="W153" s="21"/>
      <c r="X153" s="21"/>
    </row>
    <row r="154" spans="2:24" x14ac:dyDescent="0.25">
      <c r="B154" s="48" t="s">
        <v>30</v>
      </c>
      <c r="C154" s="48">
        <f>'BCI '!H170</f>
        <v>7920080</v>
      </c>
      <c r="D154" s="51">
        <f>Security!F79</f>
        <v>1688501</v>
      </c>
      <c r="E154" s="48"/>
      <c r="F154" s="48">
        <f t="shared" si="2"/>
        <v>9608581</v>
      </c>
      <c r="G154" s="51"/>
      <c r="H154" s="51">
        <f t="shared" si="3"/>
        <v>9608581</v>
      </c>
      <c r="J154" s="237">
        <f t="shared" si="5"/>
        <v>12750</v>
      </c>
      <c r="K154" s="54" t="s">
        <v>205</v>
      </c>
      <c r="L154" s="169">
        <f t="shared" si="6"/>
        <v>-12750</v>
      </c>
      <c r="Q154" s="19"/>
      <c r="R154" s="19"/>
      <c r="S154" s="19"/>
      <c r="T154" s="19"/>
      <c r="U154" s="21"/>
      <c r="V154" s="21"/>
      <c r="W154" s="21"/>
      <c r="X154" s="21"/>
    </row>
    <row r="155" spans="2:24" x14ac:dyDescent="0.25">
      <c r="B155" s="48" t="s">
        <v>146</v>
      </c>
      <c r="C155" s="48">
        <f>'BCI '!H171</f>
        <v>0</v>
      </c>
      <c r="D155" s="51">
        <f>Security!F80</f>
        <v>25030000</v>
      </c>
      <c r="E155" s="48"/>
      <c r="F155" s="48">
        <f t="shared" si="2"/>
        <v>25030000</v>
      </c>
      <c r="G155" s="51"/>
      <c r="H155" s="51">
        <f t="shared" si="3"/>
        <v>25030000</v>
      </c>
      <c r="J155" s="237">
        <f t="shared" si="5"/>
        <v>15000</v>
      </c>
      <c r="K155" s="54" t="s">
        <v>80</v>
      </c>
      <c r="L155" s="169">
        <f t="shared" si="6"/>
        <v>-15000</v>
      </c>
      <c r="O155" s="21"/>
      <c r="Q155" s="19"/>
      <c r="R155" s="19"/>
      <c r="S155" s="19"/>
      <c r="T155" s="19"/>
      <c r="U155" s="21"/>
      <c r="V155" s="21"/>
      <c r="W155" s="21"/>
      <c r="X155" s="21"/>
    </row>
    <row r="156" spans="2:24" x14ac:dyDescent="0.25">
      <c r="B156" s="48" t="s">
        <v>147</v>
      </c>
      <c r="C156" s="48">
        <f>'BCI '!H172</f>
        <v>-25000000</v>
      </c>
      <c r="D156" s="51">
        <f>Security!F81</f>
        <v>-23326286.319999997</v>
      </c>
      <c r="E156" s="48"/>
      <c r="F156" s="48">
        <f t="shared" si="2"/>
        <v>-48326286.319999993</v>
      </c>
      <c r="G156" s="51"/>
      <c r="H156" s="51">
        <f t="shared" si="3"/>
        <v>-48326286.319999993</v>
      </c>
      <c r="J156" s="237">
        <f t="shared" si="5"/>
        <v>233760</v>
      </c>
      <c r="K156" s="54" t="s">
        <v>162</v>
      </c>
      <c r="L156" s="169">
        <f t="shared" si="6"/>
        <v>-233760</v>
      </c>
      <c r="N156" s="19"/>
      <c r="O156" s="21"/>
      <c r="Q156" s="19"/>
      <c r="R156" s="19"/>
      <c r="S156" s="19"/>
      <c r="T156" s="19"/>
      <c r="U156" s="21"/>
      <c r="V156" s="21"/>
      <c r="W156" s="21"/>
      <c r="X156" s="21"/>
    </row>
    <row r="157" spans="2:24" x14ac:dyDescent="0.25">
      <c r="B157" s="48" t="s">
        <v>191</v>
      </c>
      <c r="C157" s="48">
        <f>'BCI '!H173</f>
        <v>-1142263</v>
      </c>
      <c r="D157" s="51">
        <f>Security!F82</f>
        <v>0</v>
      </c>
      <c r="E157" s="48"/>
      <c r="F157" s="48">
        <f t="shared" si="2"/>
        <v>-1142263</v>
      </c>
      <c r="G157" s="51"/>
      <c r="H157" s="51">
        <f t="shared" si="3"/>
        <v>-1142263</v>
      </c>
      <c r="J157" s="74">
        <f>SUM(J148:J156)</f>
        <v>2457966</v>
      </c>
      <c r="K157" s="73"/>
      <c r="L157" s="19"/>
      <c r="N157" s="19"/>
      <c r="O157" s="21"/>
      <c r="Q157" s="19"/>
      <c r="R157" s="19"/>
      <c r="S157" s="19"/>
      <c r="T157" s="19"/>
      <c r="U157" s="21"/>
      <c r="V157" s="21"/>
      <c r="W157" s="21"/>
      <c r="X157" s="21"/>
    </row>
    <row r="158" spans="2:24" x14ac:dyDescent="0.25">
      <c r="B158" s="48" t="s">
        <v>192</v>
      </c>
      <c r="C158" s="48">
        <f>'BCI '!H174</f>
        <v>6150</v>
      </c>
      <c r="D158" s="51">
        <f>Security!F83</f>
        <v>0</v>
      </c>
      <c r="E158" s="48"/>
      <c r="F158" s="48">
        <f t="shared" si="2"/>
        <v>6150</v>
      </c>
      <c r="G158" s="51"/>
      <c r="H158" s="51">
        <f t="shared" si="3"/>
        <v>6150</v>
      </c>
      <c r="J158" s="19"/>
      <c r="K158" s="19"/>
      <c r="L158" s="19"/>
      <c r="N158" s="19"/>
      <c r="O158" s="21"/>
      <c r="Q158" s="19"/>
      <c r="R158" s="19"/>
      <c r="S158" s="19"/>
      <c r="T158" s="19"/>
      <c r="U158" s="21"/>
      <c r="V158" s="21"/>
      <c r="W158" s="21"/>
      <c r="X158" s="21"/>
    </row>
    <row r="159" spans="2:24" x14ac:dyDescent="0.25">
      <c r="B159" s="136" t="s">
        <v>22</v>
      </c>
      <c r="C159" s="136">
        <f>SUM(C142:C158)</f>
        <v>-3228031.1099999994</v>
      </c>
      <c r="D159" s="137">
        <f>SUM(D142:D158)</f>
        <v>6119097.6800000034</v>
      </c>
      <c r="E159" s="136"/>
      <c r="F159" s="136">
        <f>SUM(F142:F158)</f>
        <v>2891066.5700000077</v>
      </c>
      <c r="G159" s="137">
        <f>SUM(G142:G158)</f>
        <v>1063025.6819</v>
      </c>
      <c r="H159" s="137"/>
      <c r="J159" s="19"/>
      <c r="K159" s="19"/>
      <c r="L159" s="19"/>
      <c r="N159" s="19"/>
      <c r="O159" s="21"/>
      <c r="Q159" s="21"/>
      <c r="R159" s="21"/>
      <c r="S159" s="21"/>
      <c r="T159" s="21"/>
      <c r="U159" s="21"/>
      <c r="V159" s="21"/>
      <c r="W159" s="21"/>
      <c r="X159" s="21"/>
    </row>
    <row r="160" spans="2:24" x14ac:dyDescent="0.25">
      <c r="B160" s="48"/>
      <c r="C160" s="48"/>
      <c r="D160" s="51"/>
      <c r="E160" s="48"/>
      <c r="F160" s="48"/>
      <c r="K160" s="19"/>
      <c r="L160" s="19"/>
      <c r="N160" s="19"/>
      <c r="O160" s="21"/>
      <c r="Q160" s="21"/>
      <c r="R160" s="21"/>
      <c r="S160" s="21"/>
      <c r="T160" s="21"/>
      <c r="U160" s="21"/>
      <c r="V160" s="21"/>
      <c r="W160" s="21"/>
      <c r="X160" s="21"/>
    </row>
    <row r="161" spans="1:24" ht="18.75" x14ac:dyDescent="0.3">
      <c r="B161" s="48"/>
      <c r="C161" s="48"/>
      <c r="D161" s="51"/>
      <c r="E161" s="48"/>
      <c r="F161" s="139"/>
      <c r="G161" s="139"/>
      <c r="H161" s="140"/>
      <c r="K161" s="19"/>
      <c r="L161" s="19"/>
      <c r="N161" s="19"/>
      <c r="O161" s="21"/>
      <c r="Q161" s="21"/>
      <c r="R161" s="21"/>
      <c r="S161" s="21"/>
      <c r="T161" s="21"/>
      <c r="U161" s="21"/>
      <c r="V161" s="21"/>
      <c r="W161" s="21"/>
      <c r="X161" s="21"/>
    </row>
    <row r="162" spans="1:24" ht="18.75" x14ac:dyDescent="0.3">
      <c r="A162" s="21"/>
      <c r="B162" s="48"/>
      <c r="C162" s="48"/>
      <c r="D162" s="51"/>
      <c r="E162" s="51"/>
      <c r="F162" s="139"/>
      <c r="G162" s="139"/>
      <c r="H162" s="140"/>
      <c r="K162" s="19"/>
      <c r="L162" s="19"/>
      <c r="O162" s="21"/>
      <c r="Q162" s="21"/>
      <c r="R162" s="21"/>
      <c r="S162" s="21"/>
      <c r="T162" s="21"/>
      <c r="U162" s="21"/>
      <c r="V162" s="21"/>
      <c r="W162" s="21"/>
      <c r="X162" s="21"/>
    </row>
    <row r="163" spans="1:24" ht="18.75" x14ac:dyDescent="0.3">
      <c r="A163" s="21"/>
      <c r="B163" s="136" t="s">
        <v>22</v>
      </c>
      <c r="C163" s="136"/>
      <c r="D163" s="137"/>
      <c r="E163" s="31"/>
      <c r="F163" s="31"/>
      <c r="G163" s="31"/>
      <c r="H163" s="141">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disablePrompts="1" count="2">
    <dataValidation type="list" allowBlank="1" showInputMessage="1" showErrorMessage="1" sqref="I61 K23:K25 I116:I121">
      <formula1>Clasificación</formula1>
    </dataValidation>
    <dataValidation type="list" allowBlank="1" showInputMessage="1" showErrorMessage="1" sqref="I80:I115 I2:I6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opLeftCell="A10" workbookViewId="0"/>
  </sheetViews>
  <sheetFormatPr baseColWidth="10" defaultRowHeight="15" x14ac:dyDescent="0.25"/>
  <cols>
    <col min="1" max="1" width="51" customWidth="1"/>
  </cols>
  <sheetData>
    <row r="1" spans="1:1" ht="26.25" x14ac:dyDescent="0.4">
      <c r="A1" s="232" t="s">
        <v>184</v>
      </c>
    </row>
    <row r="2" spans="1:1" ht="26.25" x14ac:dyDescent="0.4">
      <c r="A2" s="233" t="s">
        <v>186</v>
      </c>
    </row>
    <row r="3" spans="1:1" ht="26.25" x14ac:dyDescent="0.4">
      <c r="A3" s="233" t="s">
        <v>31</v>
      </c>
    </row>
    <row r="4" spans="1:1" ht="26.25" x14ac:dyDescent="0.4">
      <c r="A4" s="233" t="s">
        <v>113</v>
      </c>
    </row>
    <row r="5" spans="1:1" ht="26.25" x14ac:dyDescent="0.4">
      <c r="A5" s="234" t="s">
        <v>185</v>
      </c>
    </row>
    <row r="6" spans="1:1" ht="26.25" x14ac:dyDescent="0.4">
      <c r="A6" s="234" t="s">
        <v>8</v>
      </c>
    </row>
    <row r="7" spans="1:1" ht="26.25" x14ac:dyDescent="0.4">
      <c r="A7" s="235" t="s">
        <v>187</v>
      </c>
    </row>
    <row r="8" spans="1:1" ht="26.25" x14ac:dyDescent="0.4">
      <c r="A8" s="233" t="s">
        <v>189</v>
      </c>
    </row>
    <row r="9" spans="1:1" ht="26.25" x14ac:dyDescent="0.4">
      <c r="A9" s="233" t="s">
        <v>188</v>
      </c>
    </row>
    <row r="10" spans="1:1" ht="26.25" x14ac:dyDescent="0.4">
      <c r="A10" s="235" t="s">
        <v>24</v>
      </c>
    </row>
    <row r="11" spans="1:1" ht="26.25" x14ac:dyDescent="0.4">
      <c r="A11" s="233" t="s">
        <v>11</v>
      </c>
    </row>
    <row r="12" spans="1:1" ht="26.25" x14ac:dyDescent="0.4">
      <c r="A12" s="233" t="s">
        <v>19</v>
      </c>
    </row>
    <row r="13" spans="1:1" ht="26.25" x14ac:dyDescent="0.4">
      <c r="A13" s="234" t="s">
        <v>190</v>
      </c>
    </row>
    <row r="14" spans="1:1" ht="26.25" x14ac:dyDescent="0.4">
      <c r="A14" s="233" t="s">
        <v>30</v>
      </c>
    </row>
    <row r="15" spans="1:1" ht="26.25" x14ac:dyDescent="0.4">
      <c r="A15" s="234" t="s">
        <v>146</v>
      </c>
    </row>
    <row r="16" spans="1:1" ht="26.25" x14ac:dyDescent="0.4">
      <c r="A16" s="233" t="s">
        <v>147</v>
      </c>
    </row>
    <row r="17" spans="1:1" ht="26.25" x14ac:dyDescent="0.4">
      <c r="A17" s="233" t="s">
        <v>191</v>
      </c>
    </row>
    <row r="18" spans="1:1" ht="26.25" x14ac:dyDescent="0.4">
      <c r="A18" s="233" t="s">
        <v>192</v>
      </c>
    </row>
    <row r="19" spans="1:1" ht="26.25" x14ac:dyDescent="0.4">
      <c r="A19" s="236" t="s">
        <v>217</v>
      </c>
    </row>
    <row r="20" spans="1:1" ht="21.6" customHeight="1" x14ac:dyDescent="0.4">
      <c r="A20" s="236" t="s">
        <v>231</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228</v>
      </c>
    </row>
    <row r="3" spans="2:7" x14ac:dyDescent="0.25">
      <c r="B3" t="s">
        <v>225</v>
      </c>
      <c r="C3" t="s">
        <v>135</v>
      </c>
      <c r="D3" t="s">
        <v>140</v>
      </c>
      <c r="E3" t="s">
        <v>163</v>
      </c>
      <c r="F3" s="243">
        <v>1817451</v>
      </c>
      <c r="G3" t="s">
        <v>227</v>
      </c>
    </row>
    <row r="4" spans="2:7" x14ac:dyDescent="0.25">
      <c r="B4" s="210">
        <v>42867</v>
      </c>
      <c r="C4" t="s">
        <v>226</v>
      </c>
      <c r="D4">
        <v>18220448</v>
      </c>
      <c r="E4">
        <v>0</v>
      </c>
      <c r="F4" s="243">
        <v>4684019</v>
      </c>
      <c r="G4" t="s">
        <v>229</v>
      </c>
    </row>
    <row r="5" spans="2:7" x14ac:dyDescent="0.25">
      <c r="F5" s="243">
        <f>SUM(F3:F4)</f>
        <v>6501470</v>
      </c>
    </row>
    <row r="6" spans="2:7" x14ac:dyDescent="0.25">
      <c r="E6" t="s">
        <v>94</v>
      </c>
      <c r="F6" s="243">
        <f>+F5/1.19</f>
        <v>5463420.1680672271</v>
      </c>
    </row>
    <row r="7" spans="2:7" x14ac:dyDescent="0.25">
      <c r="E7" t="s">
        <v>95</v>
      </c>
      <c r="F7" s="243">
        <f>+F6*0.19</f>
        <v>1038049.8319327731</v>
      </c>
    </row>
    <row r="8" spans="2:7" x14ac:dyDescent="0.25">
      <c r="F8" s="2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Abr</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2020-04-26T23:15:14Z</dcterms:modified>
</cp:coreProperties>
</file>